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0948D25E-95C3-4C9A-A52A-CDF3EFA933FE}" xr6:coauthVersionLast="47" xr6:coauthVersionMax="47" xr10:uidLastSave="{00000000-0000-0000-0000-000000000000}"/>
  <bookViews>
    <workbookView xWindow="-120" yWindow="-90" windowWidth="29040" windowHeight="15690"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8" l="1"/>
  <c r="M33" i="8"/>
  <c r="M31" i="8"/>
  <c r="M29" i="8"/>
  <c r="M27" i="8"/>
  <c r="M25" i="8"/>
  <c r="M23" i="8"/>
  <c r="M21" i="8"/>
  <c r="M19" i="8"/>
  <c r="M17" i="8"/>
  <c r="M15" i="8"/>
  <c r="M13" i="8"/>
  <c r="M11" i="8"/>
  <c r="M9" i="8"/>
  <c r="M7" i="8"/>
  <c r="M5" i="8"/>
  <c r="M3" i="8"/>
  <c r="F78" i="9"/>
  <c r="M43" i="9"/>
  <c r="I7" i="7"/>
  <c r="F43" i="9"/>
  <c r="F27" i="9"/>
  <c r="I4" i="7"/>
  <c r="I5" i="7"/>
  <c r="I6" i="7"/>
  <c r="I8" i="7"/>
  <c r="I9" i="7"/>
  <c r="I10" i="7"/>
  <c r="I11" i="7"/>
  <c r="I12" i="7"/>
  <c r="I13" i="7"/>
  <c r="I14" i="7"/>
  <c r="I15" i="7"/>
  <c r="I16" i="7"/>
  <c r="I17" i="7"/>
  <c r="I18" i="7"/>
  <c r="I19" i="7"/>
  <c r="I3" i="7"/>
  <c r="K20" i="7"/>
  <c r="K19" i="7"/>
  <c r="K18" i="7"/>
  <c r="K17" i="7"/>
  <c r="K16" i="7"/>
  <c r="K15" i="7"/>
  <c r="K14" i="7"/>
  <c r="K13" i="7"/>
  <c r="K12" i="7"/>
  <c r="K11" i="7"/>
  <c r="K10" i="7"/>
  <c r="K9" i="7"/>
  <c r="K8" i="7"/>
  <c r="K7" i="7"/>
  <c r="K6" i="7"/>
  <c r="K4" i="7"/>
  <c r="K5" i="7"/>
  <c r="I20" i="7"/>
  <c r="N15" i="9"/>
  <c r="K3" i="7" s="1"/>
  <c r="K11"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X68" i="9"/>
  <c r="X69" i="9"/>
  <c r="X70" i="9"/>
  <c r="X71" i="9"/>
  <c r="X127" i="9"/>
  <c r="X128" i="9"/>
  <c r="X129" i="9"/>
  <c r="X130" i="9"/>
  <c r="X131" i="9"/>
  <c r="X132" i="9"/>
  <c r="X13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X74" i="9" s="1"/>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X126" i="9" s="1"/>
  <c r="W121" i="9"/>
  <c r="W122" i="9"/>
  <c r="W123" i="9"/>
  <c r="W124" i="9"/>
  <c r="W125" i="9"/>
  <c r="W126" i="9"/>
  <c r="W127" i="9"/>
  <c r="W128" i="9"/>
  <c r="W129" i="9"/>
  <c r="W130" i="9"/>
  <c r="W131" i="9"/>
  <c r="W132" i="9"/>
  <c r="W133" i="9"/>
  <c r="W134" i="9"/>
  <c r="W135" i="9"/>
  <c r="W15" i="9"/>
  <c r="X15" i="9" s="1"/>
  <c r="T16" i="9"/>
  <c r="T17" i="9"/>
  <c r="T18" i="9"/>
  <c r="T19" i="9"/>
  <c r="T20" i="9"/>
  <c r="T21" i="9"/>
  <c r="U27" i="9" s="1"/>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X133" i="9" l="1"/>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33" i="9"/>
  <c r="X38" i="9"/>
  <c r="X45" i="9"/>
  <c r="X43" i="9"/>
  <c r="X47" i="9"/>
  <c r="X44" i="9"/>
  <c r="X42" i="9"/>
  <c r="X41" i="9"/>
  <c r="X40" i="9"/>
  <c r="X39" i="9"/>
  <c r="X36" i="9"/>
  <c r="X35" i="9"/>
  <c r="X16" i="9"/>
  <c r="X34" i="9"/>
  <c r="X32" i="9"/>
  <c r="X37" i="9"/>
  <c r="X31" i="9"/>
  <c r="X29" i="9"/>
  <c r="X27" i="9"/>
  <c r="X25" i="9"/>
  <c r="X28" i="9"/>
  <c r="X26" i="9"/>
  <c r="X24" i="9"/>
  <c r="X23" i="9"/>
  <c r="X22" i="9"/>
  <c r="U26" i="9"/>
  <c r="U25" i="9"/>
  <c r="U24" i="9"/>
  <c r="U23" i="9"/>
  <c r="U22" i="9"/>
  <c r="X21" i="9"/>
  <c r="X20" i="9"/>
  <c r="X19" i="9"/>
  <c r="X18" i="9"/>
  <c r="X17" i="9"/>
  <c r="M15" i="9" l="1"/>
  <c r="P14" i="9"/>
  <c r="N14" i="9"/>
  <c r="P13" i="9" s="1"/>
  <c r="P20" i="9" s="1"/>
  <c r="P27" i="9" s="1"/>
  <c r="P34" i="9" s="1"/>
  <c r="P41" i="9" s="1"/>
  <c r="N134" i="9"/>
  <c r="N133" i="9"/>
  <c r="N127" i="9"/>
  <c r="N126" i="9"/>
  <c r="N120" i="9"/>
  <c r="N119" i="9"/>
  <c r="N113" i="9"/>
  <c r="N112" i="9"/>
  <c r="N106" i="9"/>
  <c r="N105" i="9"/>
  <c r="N99" i="9"/>
  <c r="N98" i="9"/>
  <c r="N92" i="9"/>
  <c r="N91" i="9"/>
  <c r="N85" i="9"/>
  <c r="N84" i="9"/>
  <c r="N78" i="9"/>
  <c r="N77" i="9"/>
  <c r="N71" i="9"/>
  <c r="N70" i="9"/>
  <c r="N64" i="9"/>
  <c r="N63" i="9"/>
  <c r="N57" i="9"/>
  <c r="N56" i="9"/>
  <c r="N50" i="9"/>
  <c r="N49" i="9"/>
  <c r="N43" i="9"/>
  <c r="N42" i="9"/>
  <c r="N36" i="9"/>
  <c r="N35" i="9"/>
  <c r="N29" i="9"/>
  <c r="N28" i="9"/>
  <c r="N22" i="9"/>
  <c r="N21" i="9"/>
  <c r="M134" i="9"/>
  <c r="M120" i="9"/>
  <c r="M106" i="9"/>
  <c r="M92" i="9"/>
  <c r="M78" i="9"/>
  <c r="M64" i="9"/>
  <c r="M50" i="9"/>
  <c r="M36" i="9"/>
  <c r="M127" i="9"/>
  <c r="M113" i="9"/>
  <c r="M99" i="9"/>
  <c r="M85" i="9"/>
  <c r="M71" i="9"/>
  <c r="M57" i="9"/>
  <c r="M22" i="9"/>
  <c r="M29" i="9"/>
  <c r="P15" i="9"/>
  <c r="P21" i="4"/>
  <c r="Q20" i="4" s="1"/>
  <c r="G4" i="7"/>
  <c r="G5" i="7"/>
  <c r="G6" i="7"/>
  <c r="G7" i="7"/>
  <c r="G8" i="7"/>
  <c r="G9" i="7"/>
  <c r="G10" i="7"/>
  <c r="G11" i="7"/>
  <c r="G12" i="7"/>
  <c r="G13" i="7"/>
  <c r="G14" i="7"/>
  <c r="G15" i="7"/>
  <c r="G16" i="7"/>
  <c r="G17" i="7"/>
  <c r="G18" i="7"/>
  <c r="G19" i="7"/>
  <c r="G3" i="7"/>
  <c r="N135" i="9"/>
  <c r="P48" i="9" l="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<sst xmlns="http://schemas.openxmlformats.org/spreadsheetml/2006/main" count="1229" uniqueCount="483">
  <si>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</si>
  <si>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</si>
  <si>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</si>
  <si>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</si>
  <si>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</si>
  <si>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</si>
  <si>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</si>
  <si>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</si>
  <si>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</si>
  <si>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</si>
  <si>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</si>
  <si>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</si>
  <si>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</si>
  <si>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</si>
  <si>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</si>
  <si>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</si>
  <si>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</si>
  <si>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</si>
  <si>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</si>
  <si>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</si>
  <si>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</si>
  <si>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</si>
  <si>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</si>
  <si>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</si>
  <si>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</si>
  <si>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</si>
  <si>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</si>
  <si>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</si>
  <si>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</si>
  <si>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</si>
  <si>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</si>
  <si>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</si>
  <si>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</si>
  <si>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</si>
  <si>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</si>
  <si>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</si>
  <si>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</si>
  <si>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</si>
  <si>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</si>
  <si>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</si>
  <si>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</si>
  <si>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</si>
  <si>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</si>
  <si>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</si>
  <si>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</si>
  <si>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</si>
  <si>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</si>
  <si>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</si>
  <si>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</si>
  <si>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</si>
  <si>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</si>
  <si>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</si>
  <si>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</si>
  <si>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</si>
  <si>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</si>
  <si>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</si>
  <si>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</si>
  <si>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</si>
  <si>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</si>
  <si>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</si>
  <si>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</si>
  <si>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</si>
  <si>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</si>
  <si>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</si>
  <si>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</si>
  <si>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</si>
  <si>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</si>
  <si>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</si>
  <si>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</si>
  <si>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</si>
  <si>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</si>
  <si>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</si>
  <si>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</si>
  <si>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</si>
  <si>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</si>
  <si>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</si>
  <si>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</si>
  <si>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</si>
  <si>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</si>
  <si>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</si>
  <si>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</si>
  <si>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</si>
  <si>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</si>
  <si>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</si>
  <si>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</si>
  <si>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</si>
  <si>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</si>
  <si>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</si>
  <si>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</si>
  <si>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</si>
  <si>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</si>
  <si>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</si>
  <si>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</si>
  <si>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</si>
  <si>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</si>
  <si>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</si>
  <si>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</si>
  <si>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</si>
  <si>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</si>
  <si>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</si>
  <si>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</si>
  <si>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</si>
  <si>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</si>
  <si>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</si>
  <si>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</si>
  <si>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</si>
  <si>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</si>
  <si>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</si>
  <si>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</si>
  <si>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</si>
  <si>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</si>
  <si>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</si>
  <si>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</si>
  <si>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</si>
  <si>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</si>
  <si>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</si>
  <si>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</si>
  <si>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</si>
  <si>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</si>
  <si>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</si>
  <si>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</si>
  <si>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</si>
  <si>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</si>
  <si>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</si>
  <si>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</si>
  <si>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</si>
  <si>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</si>
  <si>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</si>
  <si>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</si>
  <si>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</si>
  <si>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</si>
  <si>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</si>
  <si>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</si>
  <si>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</si>
  <si>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</si>
  <si>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</si>
  <si>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</si>
  <si>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</si>
  <si>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</si>
  <si>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</si>
  <si>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</si>
  <si>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</si>
  <si>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</si>
  <si>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</si>
  <si>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</si>
  <si>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</si>
  <si>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</si>
  <si>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</si>
  <si>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</si>
  <si>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</si>
  <si>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</si>
  <si>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</si>
  <si>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</si>
  <si>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</si>
  <si>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</si>
  <si>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</si>
  <si>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</si>
  <si>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</si>
  <si>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</si>
  <si>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</si>
  <si>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</si>
  <si>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</si>
  <si>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</si>
  <si>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</si>
  <si>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</si>
  <si>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</si>
  <si>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</si>
  <si>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</si>
  <si>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</si>
  <si>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</si>
  <si>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</si>
  <si>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</si>
  <si>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</si>
  <si>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</si>
  <si>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</si>
  <si>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</si>
  <si>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</si>
  <si>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</si>
  <si>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</si>
  <si>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</si>
  <si>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</si>
  <si>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</si>
  <si>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</si>
  <si>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</si>
  <si>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</si>
  <si>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</si>
  <si>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</si>
  <si>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</si>
  <si>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</si>
  <si>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</si>
  <si>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</si>
  <si>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</si>
  <si>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</si>
  <si>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</si>
  <si>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</si>
  <si>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</si>
  <si>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</si>
  <si>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</si>
  <si>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</si>
  <si>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</si>
  <si>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</si>
  <si>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</si>
  <si>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</si>
  <si>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</si>
  <si>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</si>
  <si>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</si>
  <si>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</si>
  <si>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</si>
  <si>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</si>
  <si>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</si>
  <si>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</si>
  <si>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</si>
  <si>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</si>
  <si>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</si>
  <si>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</si>
  <si>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</si>
  <si>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</si>
  <si>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</si>
  <si>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</si>
  <si>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</si>
  <si>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</si>
  <si>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</si>
  <si>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</si>
  <si>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</si>
  <si>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</si>
  <si>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</si>
  <si>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</si>
  <si>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</si>
  <si>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</si>
  <si>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</si>
  <si>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</si>
  <si>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</si>
  <si>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</si>
  <si>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</si>
  <si>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</si>
  <si>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</si>
  <si>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</si>
  <si>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</si>
  <si>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</si>
  <si>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</si>
  <si>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</si>
  <si>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</si>
  <si>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</si>
  <si>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</si>
  <si>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</si>
  <si>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</si>
  <si>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</si>
  <si>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</si>
  <si>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</si>
  <si>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</si>
  <si>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</si>
  <si>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</si>
  <si>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</si>
  <si>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</si>
  <si>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</si>
  <si>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</si>
  <si>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</si>
  <si>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</si>
  <si>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</si>
  <si>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</si>
  <si>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</si>
  <si>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</si>
  <si>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</si>
  <si>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</si>
  <si>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</si>
  <si>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</si>
  <si>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</si>
  <si>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</si>
  <si>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</si>
  <si>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</si>
  <si>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</si>
  <si>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</si>
  <si>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</si>
  <si>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</si>
  <si>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</si>
  <si>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</si>
  <si>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</si>
  <si>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</si>
  <si>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</si>
  <si>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</si>
  <si>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</si>
  <si>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</si>
  <si>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</si>
  <si>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</si>
  <si>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</si>
  <si>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</si>
  <si>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</si>
  <si>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</si>
  <si>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</si>
  <si>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</si>
  <si>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</si>
  <si>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</si>
  <si>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</si>
  <si>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</si>
  <si>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</si>
  <si>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</si>
  <si>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</si>
  <si>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</si>
  <si>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</si>
  <si>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</si>
  <si>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</si>
  <si>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</si>
  <si>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</si>
  <si>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</si>
  <si>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</si>
  <si>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</si>
  <si>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</si>
  <si>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</si>
  <si>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</si>
  <si>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</si>
  <si>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</si>
  <si>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</si>
  <si>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</si>
  <si>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</si>
  <si>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</si>
  <si>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</si>
  <si>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</si>
  <si>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</si>
  <si>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</si>
  <si>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</si>
  <si>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</si>
  <si>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</si>
  <si>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</si>
  <si>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</si>
  <si>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</si>
  <si>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</si>
  <si>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</si>
  <si>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</si>
  <si>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</si>
  <si>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</si>
  <si>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</si>
  <si>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</si>
  <si>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</si>
  <si>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</si>
  <si>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</si>
  <si>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</si>
  <si>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</si>
  <si>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</si>
  <si>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</si>
  <si>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</si>
  <si>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</si>
  <si>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</si>
  <si>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</si>
  <si>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</si>
  <si>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</si>
  <si>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</si>
  <si>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</si>
  <si>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</si>
  <si>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</si>
  <si>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</si>
  <si>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</si>
  <si>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</si>
  <si>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</si>
  <si>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</si>
  <si>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</si>
  <si>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</si>
  <si>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</si>
  <si>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</si>
  <si>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</si>
  <si>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</si>
  <si>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</si>
  <si>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</si>
  <si>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</si>
  <si>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</si>
  <si>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</si>
  <si>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</si>
  <si>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</si>
  <si>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</si>
  <si>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</si>
  <si>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</si>
  <si>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</si>
  <si>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</si>
  <si>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</si>
  <si>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</si>
  <si>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</si>
  <si>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</si>
  <si>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</si>
  <si>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</si>
  <si>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</si>
  <si>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</si>
  <si>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</si>
  <si>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</si>
  <si>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</si>
  <si>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</si>
  <si>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</si>
  <si>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</si>
  <si>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</si>
  <si>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</si>
  <si>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</si>
  <si>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</si>
  <si>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</si>
  <si>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</si>
  <si>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</si>
  <si>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</si>
  <si>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</si>
  <si>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</si>
  <si>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</si>
  <si>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</si>
  <si>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</si>
  <si>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</si>
  <si>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</si>
  <si>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</si>
  <si>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</si>
  <si>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</si>
  <si>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</si>
  <si>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</si>
  <si>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</si>
  <si>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</si>
  <si>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</si>
  <si>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</si>
  <si>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</si>
  <si>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</si>
  <si>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</si>
  <si>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</si>
  <si>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</si>
  <si>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</si>
  <si>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</si>
  <si>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</si>
  <si>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</si>
  <si>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</si>
  <si>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</si>
  <si>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</si>
  <si>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</si>
  <si>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</si>
  <si>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</si>
  <si>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</si>
  <si>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</si>
  <si>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</si>
  <si>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</si>
  <si>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</si>
  <si>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</si>
  <si>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</si>
  <si>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</si>
  <si>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</si>
  <si>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</si>
  <si>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</si>
  <si>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</si>
  <si>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</si>
  <si>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</si>
  <si>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</si>
  <si>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</si>
  <si>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</si>
  <si>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</si>
  <si>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</si>
  <si>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</si>
  <si>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</si>
  <si>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</si>
  <si>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</si>
  <si>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</si>
  <si>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</si>
  <si>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</si>
  <si>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</si>
  <si>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</si>
  <si>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</si>
  <si>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</si>
  <si>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</si>
  <si>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</si>
  <si>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</si>
  <si>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</si>
  <si>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</si>
  <si>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</si>
  <si>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</si>
  <si>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</si>
  <si>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</si>
  <si>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</si>
  <si>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Endicott Easy - Push Prescott</t>
  </si>
  <si>
    <t>Pre-rehersal workout</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</si>
  <si>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</si>
  <si>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</si>
  <si>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</si>
  <si>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</si>
  <si>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</si>
  <si>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</si>
  <si>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</si>
  <si>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</si>
  <si>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</si>
  <si>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</si>
  <si>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</si>
  <si>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</si>
  <si>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</si>
  <si>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</si>
  <si>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1E + 3T + 10E + 3T + 1E</t>
  </si>
  <si>
    <t>5E + 6M + 1T + 5M + 3E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</si>
</sst>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0" fillId="0" borderId="0" xfId="0"/>
    <xf numFmtId="0" fontId="1" fillId="4" borderId="0" xfId="0" applyFont="1" applyFill="1" applyAlignment="1">
      <alignment horizontal="center" vertic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3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36.74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49.17</c:v>
                </c:pt>
                <c:pt idx="7">
                  <c:v>36.74</c:v>
                </c:pt>
                <c:pt idx="8">
                  <c:v>33.619999999999997</c:v>
                </c:pt>
                <c:pt idx="9">
                  <c:v>27.59</c:v>
                </c:pt>
                <c:pt idx="10">
                  <c:v>14.75</c:v>
                </c:pt>
                <c:pt idx="11">
                  <c:v>6.05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32.205714285714286</c:v>
                </c:pt>
                <c:pt idx="7" formatCode="0">
                  <c:v>35.678571428571438</c:v>
                </c:pt>
                <c:pt idx="8" formatCode="0">
                  <c:v>38.260000000000005</c:v>
                </c:pt>
                <c:pt idx="9" formatCode="0">
                  <c:v>39.118571428571428</c:v>
                </c:pt>
                <c:pt idx="10" formatCode="0">
                  <c:v>36.308571428571433</c:v>
                </c:pt>
                <c:pt idx="11" formatCode="0">
                  <c:v>31.012857142857147</c:v>
                </c:pt>
                <c:pt idx="12" formatCode="0">
                  <c:v>23.988571428571429</c:v>
                </c:pt>
                <c:pt idx="13" formatCode="0">
                  <c:v>16.964285714285715</c:v>
                </c:pt>
                <c:pt idx="14" formatCode="0">
                  <c:v>11.715714285714284</c:v>
                </c:pt>
                <c:pt idx="15" formatCode="0">
                  <c:v>6.9128571428571428</c:v>
                </c:pt>
                <c:pt idx="16" formatCode="0">
                  <c:v>2.9714285714285715</c:v>
                </c:pt>
                <c:pt idx="17" formatCode="0">
                  <c:v>0.86428571428571421</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49.17</c:v>
                      </c:pt>
                      <c:pt idx="7">
                        <c:v>36.74</c:v>
                      </c:pt>
                      <c:pt idx="8">
                        <c:v>33.619999999999997</c:v>
                      </c:pt>
                      <c:pt idx="9">
                        <c:v>27.59</c:v>
                      </c:pt>
                      <c:pt idx="10">
                        <c:v>14.75</c:v>
                      </c:pt>
                      <c:pt idx="11">
                        <c:v>6.05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5" t="s">
        <v>1</v>
      </c>
      <c r="D1" s="876"/>
      <c r="E1" s="877"/>
      <c r="F1" s="3" t="s">
        <v>382</v>
      </c>
      <c r="G1" s="878" t="s">
        <v>453</v>
      </c>
      <c r="H1" s="878"/>
      <c r="I1" s="23" t="s">
        <v>2</v>
      </c>
      <c r="J1" s="878" t="s">
        <v>451</v>
      </c>
      <c r="K1" s="878"/>
      <c r="L1" s="879"/>
      <c r="M1" s="876"/>
      <c r="N1" s="877"/>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3" t="s">
        <v>5</v>
      </c>
      <c r="D2" s="873"/>
      <c r="E2" s="880"/>
      <c r="F2" s="7" t="s">
        <v>33</v>
      </c>
      <c r="G2" s="878" t="s">
        <v>452</v>
      </c>
      <c r="H2" s="878"/>
      <c r="I2" s="6"/>
      <c r="J2" s="4"/>
      <c r="L2" s="873"/>
      <c r="M2" s="873"/>
      <c r="N2" s="880"/>
      <c r="O2" s="16"/>
      <c r="P2" s="8"/>
      <c r="Q2" s="9"/>
      <c r="R2" s="4"/>
      <c r="S2" s="4"/>
      <c r="T2" s="4"/>
      <c r="U2" s="4"/>
      <c r="V2" s="4"/>
      <c r="W2" s="4"/>
      <c r="X2" s="4"/>
      <c r="Y2" s="4"/>
      <c r="Z2" s="4"/>
      <c r="AA2" s="4"/>
    </row>
    <row r="3" spans="1:27" ht="15.75" customHeight="1" x14ac:dyDescent="0.2">
      <c r="A3" s="10" t="s">
        <v>6</v>
      </c>
      <c r="B3" s="11">
        <v>45963</v>
      </c>
      <c r="C3" s="884" t="s">
        <v>7</v>
      </c>
      <c r="D3" s="881"/>
      <c r="E3" s="882"/>
      <c r="F3" s="7" t="s">
        <v>34</v>
      </c>
      <c r="G3" s="878" t="s">
        <v>449</v>
      </c>
      <c r="H3" s="878"/>
      <c r="I3" s="6"/>
      <c r="J3" s="4"/>
      <c r="L3" s="873"/>
      <c r="M3" s="873"/>
      <c r="N3" s="880"/>
      <c r="O3" s="16"/>
      <c r="P3" s="6"/>
      <c r="Q3" s="4"/>
      <c r="R3" s="4"/>
      <c r="S3" s="4"/>
      <c r="T3" s="4"/>
      <c r="U3" s="4"/>
      <c r="V3" s="4"/>
      <c r="W3" s="4"/>
      <c r="X3" s="4"/>
      <c r="Y3" s="4"/>
      <c r="Z3" s="4"/>
      <c r="AA3" s="4"/>
    </row>
    <row r="4" spans="1:27" ht="15.75" customHeight="1" x14ac:dyDescent="0.2">
      <c r="A4" s="16"/>
      <c r="B4" s="6"/>
      <c r="C4" s="6"/>
      <c r="D4" s="6"/>
      <c r="E4" s="4"/>
      <c r="F4" s="12" t="s">
        <v>383</v>
      </c>
      <c r="G4" s="871" t="s">
        <v>450</v>
      </c>
      <c r="H4" s="871"/>
      <c r="I4" s="13"/>
      <c r="J4" s="850"/>
      <c r="K4" s="851"/>
      <c r="L4" s="881"/>
      <c r="M4" s="881"/>
      <c r="N4" s="882"/>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2" t="s">
        <v>9</v>
      </c>
      <c r="F6" s="873"/>
      <c r="G6" s="873"/>
      <c r="H6" s="873"/>
      <c r="I6" s="873"/>
      <c r="J6" s="873"/>
      <c r="K6" s="873"/>
      <c r="L6" s="873"/>
      <c r="M6" s="873"/>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87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87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87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87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87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87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87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0"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0"/>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0"/>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0"/>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0"/>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0"/>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0"/>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869"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869"/>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869"/>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869"/>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869"/>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869"/>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869"/>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0"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0"/>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0"/>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0"/>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0"/>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0"/>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0"/>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869"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869"/>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869"/>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869"/>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869"/>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869"/>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869"/>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0"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0"/>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0"/>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0"/>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0"/>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0"/>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0"/>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869"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869"/>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869"/>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869"/>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869"/>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869"/>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869"/>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0"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0"/>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0"/>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0"/>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0"/>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0"/>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0"/>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869"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869"/>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869"/>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869"/>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869"/>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869"/>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869"/>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0"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0"/>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0"/>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0"/>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0"/>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0"/>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0"/>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869"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869"/>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869"/>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869"/>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869"/>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869"/>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869"/>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0"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0"/>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0"/>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0"/>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0"/>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0"/>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0"/>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869"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869"/>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869"/>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869"/>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869"/>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869"/>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869"/>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0"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0"/>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0"/>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0"/>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0"/>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0"/>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0"/>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869"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869"/>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869"/>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869"/>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869"/>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869"/>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869"/>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0"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0"/>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0"/>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0"/>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0"/>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0"/>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0"/>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869"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869"/>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869"/>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869"/>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869"/>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869"/>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869"/>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0"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0"/>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0"/>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0"/>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0"/>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0"/>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0"/>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869"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869"/>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869"/>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869"/>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869"/>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869"/>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869"/>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869"/>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8" activePane="bottomLeft" state="frozen"/>
      <selection pane="bottomLeft" sqref="A1:Q135"/>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8" ht="15.75" customHeight="1" x14ac:dyDescent="0.2">
      <c r="A1" s="1" t="s">
        <v>0</v>
      </c>
      <c r="B1" s="2">
        <v>0.10989583333333335</v>
      </c>
      <c r="C1" s="875" t="s">
        <v>1</v>
      </c>
      <c r="D1" s="876"/>
      <c r="E1" s="877"/>
      <c r="F1" s="3" t="s">
        <v>382</v>
      </c>
      <c r="G1" s="878" t="s">
        <v>460</v>
      </c>
      <c r="H1" s="878"/>
      <c r="I1" s="23" t="s">
        <v>2</v>
      </c>
      <c r="J1" s="878" t="s">
        <v>462</v>
      </c>
      <c r="K1" s="878"/>
      <c r="L1" s="886"/>
      <c r="M1" s="876"/>
      <c r="N1" s="877"/>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
      <c r="A2" s="5" t="s">
        <v>4</v>
      </c>
      <c r="B2" s="6" t="str">
        <f>CONCATENATE(FLOOR((HOUR(B1)*60+MINUTE(B1)+SECOND(B1)/60)/26.2,1),":",ROUND((((HOUR(B1)*60+MINUTE(B1)+SECOND(B1)/60)/26.2)-(FLOOR((HOUR(B1)*60+MINUTE(B1)+SECOND(B1)/60)/26.2,1)))*60,0))</f>
        <v>6:2</v>
      </c>
      <c r="C2" s="883" t="s">
        <v>5</v>
      </c>
      <c r="D2" s="873"/>
      <c r="E2" s="880"/>
      <c r="F2" s="7" t="s">
        <v>33</v>
      </c>
      <c r="G2" s="878" t="s">
        <v>457</v>
      </c>
      <c r="H2" s="878"/>
      <c r="I2" s="6"/>
      <c r="J2" s="4"/>
      <c r="L2" s="873"/>
      <c r="M2" s="873"/>
      <c r="N2" s="880"/>
      <c r="O2" s="16"/>
      <c r="P2" s="8"/>
      <c r="Q2" s="9"/>
      <c r="R2" s="4"/>
      <c r="S2" s="4"/>
      <c r="T2" s="4"/>
      <c r="U2" s="4"/>
      <c r="V2" s="4"/>
      <c r="W2" s="4"/>
      <c r="X2" s="4"/>
      <c r="Y2" s="4"/>
      <c r="Z2" s="4"/>
      <c r="AA2" s="4"/>
      <c r="AB2" s="4"/>
    </row>
    <row r="3" spans="1:28" ht="15.75" customHeight="1" x14ac:dyDescent="0.2">
      <c r="A3" s="10" t="s">
        <v>6</v>
      </c>
      <c r="B3" s="11">
        <v>45942</v>
      </c>
      <c r="C3" s="884" t="s">
        <v>7</v>
      </c>
      <c r="D3" s="881"/>
      <c r="E3" s="882"/>
      <c r="F3" s="7" t="s">
        <v>34</v>
      </c>
      <c r="G3" s="878" t="s">
        <v>458</v>
      </c>
      <c r="H3" s="878"/>
      <c r="I3" s="6"/>
      <c r="J3" s="4"/>
      <c r="L3" s="873"/>
      <c r="M3" s="873"/>
      <c r="N3" s="880"/>
      <c r="O3" s="16"/>
      <c r="P3" s="6"/>
      <c r="Q3" s="4"/>
      <c r="R3" s="4"/>
      <c r="S3" s="4"/>
      <c r="T3" s="4"/>
      <c r="U3" s="4"/>
      <c r="V3" s="4"/>
      <c r="W3" s="4"/>
      <c r="X3" s="4"/>
      <c r="Y3" s="4"/>
      <c r="Z3" s="4"/>
      <c r="AA3" s="4"/>
      <c r="AB3" s="4"/>
    </row>
    <row r="4" spans="1:28" ht="15.75" customHeight="1" x14ac:dyDescent="0.2">
      <c r="A4" s="16"/>
      <c r="B4" s="6"/>
      <c r="C4" s="6"/>
      <c r="D4" s="6"/>
      <c r="E4" s="4"/>
      <c r="F4" s="12" t="s">
        <v>383</v>
      </c>
      <c r="G4" s="871" t="s">
        <v>461</v>
      </c>
      <c r="H4" s="871"/>
      <c r="I4" s="13"/>
      <c r="J4" s="850"/>
      <c r="K4" s="851"/>
      <c r="L4" s="881"/>
      <c r="M4" s="881"/>
      <c r="N4" s="882"/>
      <c r="O4" s="16"/>
      <c r="P4" s="6"/>
      <c r="Q4" s="4"/>
      <c r="R4" s="4"/>
      <c r="S4" s="4"/>
      <c r="T4" s="4"/>
      <c r="U4" s="4"/>
      <c r="V4" s="4"/>
      <c r="W4" s="4"/>
      <c r="X4" s="4"/>
      <c r="Y4" s="4"/>
      <c r="Z4" s="4"/>
      <c r="AA4" s="4"/>
      <c r="AB4" s="4"/>
    </row>
    <row r="5" spans="1:28"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
      <c r="A6" s="16"/>
      <c r="B6" s="6"/>
      <c r="C6" s="6"/>
      <c r="D6" s="6"/>
      <c r="E6" s="872" t="s">
        <v>9</v>
      </c>
      <c r="F6" s="873"/>
      <c r="G6" s="873"/>
      <c r="H6" s="873"/>
      <c r="I6" s="873"/>
      <c r="J6" s="873"/>
      <c r="K6" s="873"/>
      <c r="L6" s="873"/>
      <c r="M6" s="873"/>
      <c r="N6" s="6"/>
      <c r="O6" s="16"/>
      <c r="P6" s="6"/>
      <c r="Q6" s="4"/>
      <c r="R6" s="4"/>
      <c r="S6" s="4"/>
      <c r="T6" s="4"/>
      <c r="U6" s="4"/>
      <c r="V6" s="4"/>
      <c r="W6" s="4"/>
      <c r="X6" s="4"/>
      <c r="Y6" s="4"/>
      <c r="Z6" s="4"/>
      <c r="AA6" s="4"/>
      <c r="AB6" s="4"/>
    </row>
    <row r="7" spans="1:28"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469</v>
      </c>
      <c r="T7" s="16" t="s">
        <v>475</v>
      </c>
      <c r="U7" s="16" t="s">
        <v>474</v>
      </c>
      <c r="V7" s="16" t="s">
        <v>471</v>
      </c>
      <c r="W7" s="16" t="s">
        <v>472</v>
      </c>
      <c r="X7" s="16" t="s">
        <v>473</v>
      </c>
      <c r="Y7" s="16"/>
      <c r="Z7" s="16"/>
      <c r="AA7" s="16"/>
      <c r="AB7" s="16"/>
    </row>
    <row r="8" spans="1:28"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468</v>
      </c>
      <c r="P8" s="861"/>
      <c r="Q8" s="862"/>
      <c r="R8" s="4"/>
      <c r="S8" s="825" t="s">
        <v>470</v>
      </c>
      <c r="T8" s="16">
        <f>SUM(G8:G8)</f>
        <v>12.43</v>
      </c>
      <c r="U8" s="16"/>
      <c r="V8" s="4">
        <v>70</v>
      </c>
      <c r="W8" s="4"/>
      <c r="Y8" s="4"/>
      <c r="Z8" s="4"/>
      <c r="AA8" s="4"/>
      <c r="AB8" s="4"/>
    </row>
    <row r="9" spans="1:28" ht="15.75" customHeight="1" x14ac:dyDescent="0.2">
      <c r="A9" s="88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470</v>
      </c>
      <c r="T9" s="16">
        <f>SUM(G8:G9)</f>
        <v>15.55</v>
      </c>
      <c r="U9" s="16"/>
      <c r="V9" s="4">
        <v>70</v>
      </c>
      <c r="W9" s="4"/>
      <c r="Y9" s="4"/>
      <c r="Z9" s="4"/>
      <c r="AA9" s="4"/>
      <c r="AB9" s="4"/>
    </row>
    <row r="10" spans="1:28" ht="15.75" customHeight="1" x14ac:dyDescent="0.2">
      <c r="A10" s="88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470</v>
      </c>
      <c r="T10" s="16">
        <f>SUM(G8:G10)</f>
        <v>21.580000000000002</v>
      </c>
      <c r="U10" s="16"/>
      <c r="V10" s="4">
        <v>70</v>
      </c>
      <c r="W10" s="4"/>
      <c r="Y10" s="4"/>
      <c r="Z10" s="4"/>
      <c r="AA10" s="4"/>
      <c r="AB10" s="4"/>
    </row>
    <row r="11" spans="1:28" ht="15.75" customHeight="1" x14ac:dyDescent="0.2">
      <c r="A11" s="885"/>
      <c r="B11" s="854">
        <v>124</v>
      </c>
      <c r="C11" s="855">
        <f t="shared" si="0"/>
        <v>45818</v>
      </c>
      <c r="D11" s="854" t="s">
        <v>34</v>
      </c>
      <c r="E11" s="856" t="s">
        <v>476</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477</v>
      </c>
      <c r="T11" s="16">
        <f>SUM(G8:G11)</f>
        <v>34.42</v>
      </c>
      <c r="U11" s="16"/>
      <c r="V11" s="4">
        <v>70</v>
      </c>
      <c r="W11" s="4"/>
      <c r="Y11" s="4"/>
      <c r="Z11" s="4"/>
      <c r="AA11" s="4"/>
      <c r="AB11" s="4"/>
    </row>
    <row r="12" spans="1:28" ht="15.75" customHeight="1" x14ac:dyDescent="0.2">
      <c r="A12" s="88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470</v>
      </c>
      <c r="T12" s="16">
        <f>SUM(G8:G12)</f>
        <v>43.120000000000005</v>
      </c>
      <c r="U12" s="16"/>
      <c r="V12" s="4">
        <v>70</v>
      </c>
      <c r="W12" s="4"/>
      <c r="Y12" s="4"/>
      <c r="Z12" s="4"/>
      <c r="AA12" s="4"/>
      <c r="AB12" s="4"/>
    </row>
    <row r="13" spans="1:28" ht="15.75" customHeight="1" x14ac:dyDescent="0.2">
      <c r="A13" s="88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0.25115740740740738</v>
      </c>
      <c r="Q13" s="865"/>
      <c r="R13" s="4"/>
      <c r="T13" s="16">
        <f>SUM(G8:G13)</f>
        <v>49.17</v>
      </c>
      <c r="U13" s="16"/>
      <c r="V13" s="4">
        <v>70</v>
      </c>
      <c r="W13" s="4"/>
      <c r="Y13" s="4"/>
      <c r="Z13" s="4"/>
      <c r="AA13" s="4"/>
      <c r="AB13" s="4"/>
    </row>
    <row r="14" spans="1:28" ht="15.75" customHeight="1" x14ac:dyDescent="0.2">
      <c r="A14" s="885"/>
      <c r="B14" s="854">
        <v>121</v>
      </c>
      <c r="C14" s="855">
        <f t="shared" si="0"/>
        <v>45821</v>
      </c>
      <c r="D14" s="854" t="s">
        <v>28</v>
      </c>
      <c r="E14" s="856" t="s">
        <v>381</v>
      </c>
      <c r="F14" s="854">
        <v>6</v>
      </c>
      <c r="G14" s="854"/>
      <c r="H14" s="857"/>
      <c r="I14" s="854" t="str">
        <f t="shared" si="1"/>
        <v>0:00</v>
      </c>
      <c r="J14" s="854"/>
      <c r="K14" s="854"/>
      <c r="L14" s="854" t="str">
        <f t="shared" si="2"/>
        <v>0:00</v>
      </c>
      <c r="M14" s="854"/>
      <c r="N14" s="859">
        <f>SUM(H8:H15)</f>
        <v>0.25115740740740738</v>
      </c>
      <c r="O14" s="858"/>
      <c r="P14" s="863">
        <f>N15</f>
        <v>36.74</v>
      </c>
      <c r="Q14" s="866"/>
      <c r="R14" s="4"/>
      <c r="T14" s="16">
        <f t="shared" ref="T14:T77" si="3">SUM(G8:G14)</f>
        <v>49.17</v>
      </c>
      <c r="U14" s="868">
        <f>SUM(T8:T14)/7</f>
        <v>32.205714285714286</v>
      </c>
      <c r="V14" s="4">
        <v>70</v>
      </c>
      <c r="W14" s="4"/>
      <c r="Y14" s="4"/>
      <c r="Z14" s="4"/>
      <c r="AA14" s="4"/>
      <c r="AB14" s="4"/>
    </row>
    <row r="15" spans="1:28" ht="15.75" customHeight="1" x14ac:dyDescent="0.2">
      <c r="A15" s="885"/>
      <c r="B15" s="854">
        <v>120</v>
      </c>
      <c r="C15" s="855">
        <f t="shared" si="0"/>
        <v>45822</v>
      </c>
      <c r="D15" s="854" t="s">
        <v>30</v>
      </c>
      <c r="E15" s="856" t="s">
        <v>455</v>
      </c>
      <c r="F15" s="854">
        <v>16</v>
      </c>
      <c r="G15" s="854"/>
      <c r="H15" s="857"/>
      <c r="I15" s="854" t="str">
        <f t="shared" si="1"/>
        <v>0:00</v>
      </c>
      <c r="J15" s="854"/>
      <c r="K15" s="854"/>
      <c r="L15" s="854" t="str">
        <f t="shared" si="2"/>
        <v>0:00</v>
      </c>
      <c r="M15" s="856">
        <f>SUM(F8:F15)</f>
        <v>63</v>
      </c>
      <c r="N15" s="854">
        <f>SUM(G9:G15)</f>
        <v>36.74</v>
      </c>
      <c r="O15" s="858"/>
      <c r="P15" s="863">
        <f>M15</f>
        <v>63</v>
      </c>
      <c r="Q15" s="862">
        <f>P14/P15</f>
        <v>0.58317460317460323</v>
      </c>
      <c r="R15" s="4"/>
      <c r="S15" s="4"/>
      <c r="T15" s="16">
        <f t="shared" si="3"/>
        <v>36.74</v>
      </c>
      <c r="U15" s="868">
        <f>SUM(T9:T15)/7</f>
        <v>35.678571428571438</v>
      </c>
      <c r="V15" s="4">
        <v>70</v>
      </c>
      <c r="W15" s="4">
        <f>SUM(F9:F15)</f>
        <v>63</v>
      </c>
      <c r="X15" s="868">
        <f>SUM(W9:W15)/7</f>
        <v>9</v>
      </c>
      <c r="Y15" s="4"/>
      <c r="Z15" s="4"/>
      <c r="AA15" s="4"/>
      <c r="AB15" s="4"/>
    </row>
    <row r="16" spans="1:28" ht="15.75" customHeight="1" x14ac:dyDescent="0.2">
      <c r="A16" s="870" t="s">
        <v>343</v>
      </c>
      <c r="B16" s="6">
        <v>119</v>
      </c>
      <c r="C16" s="17">
        <f t="shared" si="0"/>
        <v>45823</v>
      </c>
      <c r="D16" s="6" t="s">
        <v>31</v>
      </c>
      <c r="E16" s="4" t="s">
        <v>385</v>
      </c>
      <c r="F16" s="6">
        <v>8</v>
      </c>
      <c r="G16" s="6"/>
      <c r="H16" s="29"/>
      <c r="I16" s="6" t="str">
        <f t="shared" si="1"/>
        <v>0:00</v>
      </c>
      <c r="J16" s="29"/>
      <c r="K16" s="6"/>
      <c r="L16" s="6" t="str">
        <f t="shared" si="2"/>
        <v>0:00</v>
      </c>
      <c r="M16" s="4"/>
      <c r="N16" s="4"/>
      <c r="O16" s="16" t="s">
        <v>463</v>
      </c>
      <c r="P16" s="866"/>
      <c r="Q16" s="866"/>
      <c r="R16" s="4"/>
      <c r="S16" s="4"/>
      <c r="T16" s="16">
        <f t="shared" si="3"/>
        <v>33.619999999999997</v>
      </c>
      <c r="U16" s="868">
        <f t="shared" ref="U16:U79" si="4">SUM(T10:T16)/7</f>
        <v>38.260000000000005</v>
      </c>
      <c r="V16" s="4">
        <v>70</v>
      </c>
      <c r="W16" s="4">
        <f t="shared" ref="W16:W79" si="5">SUM(F10:F16)</f>
        <v>65</v>
      </c>
      <c r="X16" s="868">
        <f t="shared" ref="X16:X79" si="6">SUM(W10:W16)/7</f>
        <v>18.285714285714285</v>
      </c>
      <c r="Y16" s="4"/>
      <c r="Z16" s="4"/>
      <c r="AA16" s="4"/>
      <c r="AB16" s="4"/>
    </row>
    <row r="17" spans="1:28" ht="15.75" customHeight="1" x14ac:dyDescent="0.2">
      <c r="A17" s="870"/>
      <c r="B17" s="6">
        <v>118</v>
      </c>
      <c r="C17" s="17">
        <f t="shared" si="0"/>
        <v>45824</v>
      </c>
      <c r="D17" s="6" t="s">
        <v>33</v>
      </c>
      <c r="E17" s="4" t="s">
        <v>381</v>
      </c>
      <c r="F17" s="6">
        <v>6</v>
      </c>
      <c r="G17" s="6"/>
      <c r="H17" s="29"/>
      <c r="I17" s="6" t="str">
        <f t="shared" si="1"/>
        <v>0:00</v>
      </c>
      <c r="J17" s="6"/>
      <c r="K17" s="6"/>
      <c r="L17" s="6" t="str">
        <f t="shared" si="2"/>
        <v>0:00</v>
      </c>
      <c r="M17" s="6"/>
      <c r="N17" s="6"/>
      <c r="O17" s="16"/>
      <c r="P17" s="866"/>
      <c r="Q17" s="866"/>
      <c r="R17" s="4"/>
      <c r="T17" s="16">
        <f t="shared" si="3"/>
        <v>27.59</v>
      </c>
      <c r="U17" s="868">
        <f t="shared" si="4"/>
        <v>39.118571428571428</v>
      </c>
      <c r="V17" s="4">
        <v>70</v>
      </c>
      <c r="W17" s="4">
        <f t="shared" si="5"/>
        <v>64</v>
      </c>
      <c r="X17" s="868">
        <f t="shared" si="6"/>
        <v>27.428571428571427</v>
      </c>
      <c r="Y17" s="4"/>
      <c r="Z17" s="4"/>
      <c r="AA17" s="4"/>
      <c r="AB17" s="4"/>
    </row>
    <row r="18" spans="1:28" ht="15.75" customHeight="1" x14ac:dyDescent="0.2">
      <c r="A18" s="870"/>
      <c r="B18" s="6">
        <v>117</v>
      </c>
      <c r="C18" s="17">
        <f t="shared" si="0"/>
        <v>45825</v>
      </c>
      <c r="D18" s="6" t="s">
        <v>34</v>
      </c>
      <c r="E18" s="4" t="s">
        <v>444</v>
      </c>
      <c r="F18" s="6">
        <v>15</v>
      </c>
      <c r="G18" s="6"/>
      <c r="H18" s="29"/>
      <c r="I18" s="6" t="str">
        <f t="shared" si="1"/>
        <v>0:00</v>
      </c>
      <c r="J18" s="6"/>
      <c r="K18" s="6"/>
      <c r="L18" s="6" t="str">
        <f t="shared" si="2"/>
        <v>0:00</v>
      </c>
      <c r="M18" s="6"/>
      <c r="N18" s="6"/>
      <c r="O18" s="16" t="s">
        <v>464</v>
      </c>
      <c r="P18" s="863"/>
      <c r="Q18" s="864"/>
      <c r="R18" s="4"/>
      <c r="S18" s="4"/>
      <c r="T18" s="16">
        <f t="shared" si="3"/>
        <v>14.75</v>
      </c>
      <c r="U18" s="868">
        <f t="shared" si="4"/>
        <v>36.308571428571433</v>
      </c>
      <c r="V18" s="4">
        <v>70</v>
      </c>
      <c r="W18" s="4">
        <f t="shared" si="5"/>
        <v>64</v>
      </c>
      <c r="X18" s="868">
        <f t="shared" si="6"/>
        <v>36.571428571428569</v>
      </c>
      <c r="Y18" s="4"/>
      <c r="Z18" s="4"/>
      <c r="AA18" s="4"/>
      <c r="AB18" s="4"/>
    </row>
    <row r="19" spans="1:28" ht="15.75" customHeight="1" x14ac:dyDescent="0.2">
      <c r="A19" s="870"/>
      <c r="B19" s="6">
        <v>116</v>
      </c>
      <c r="C19" s="17">
        <f t="shared" si="0"/>
        <v>45826</v>
      </c>
      <c r="D19" s="6" t="s">
        <v>26</v>
      </c>
      <c r="E19" s="4" t="s">
        <v>381</v>
      </c>
      <c r="F19" s="6">
        <v>6</v>
      </c>
      <c r="G19" s="6"/>
      <c r="H19" s="29"/>
      <c r="I19" s="6" t="str">
        <f t="shared" si="1"/>
        <v>0:00</v>
      </c>
      <c r="J19" s="29"/>
      <c r="K19" s="6"/>
      <c r="L19" s="6" t="str">
        <f t="shared" si="2"/>
        <v>0:00</v>
      </c>
      <c r="M19" s="6"/>
      <c r="N19" s="6"/>
      <c r="O19" s="16"/>
      <c r="P19" s="863"/>
      <c r="Q19" s="865"/>
      <c r="R19" s="4"/>
      <c r="S19" s="4"/>
      <c r="T19" s="16">
        <f t="shared" si="3"/>
        <v>6.05</v>
      </c>
      <c r="U19" s="868">
        <f t="shared" si="4"/>
        <v>31.012857142857147</v>
      </c>
      <c r="V19" s="4">
        <v>70</v>
      </c>
      <c r="W19" s="4">
        <f t="shared" si="5"/>
        <v>63</v>
      </c>
      <c r="X19" s="868">
        <f t="shared" si="6"/>
        <v>45.571428571428569</v>
      </c>
      <c r="Y19" s="4"/>
      <c r="Z19" s="4"/>
      <c r="AA19" s="4"/>
      <c r="AB19" s="4"/>
    </row>
    <row r="20" spans="1:28" ht="15.75" customHeight="1" x14ac:dyDescent="0.2">
      <c r="A20" s="870"/>
      <c r="B20" s="6">
        <v>115</v>
      </c>
      <c r="C20" s="17">
        <f t="shared" si="0"/>
        <v>45827</v>
      </c>
      <c r="D20" s="6" t="s">
        <v>27</v>
      </c>
      <c r="E20" s="4" t="s">
        <v>385</v>
      </c>
      <c r="F20" s="6">
        <v>8</v>
      </c>
      <c r="G20" s="6"/>
      <c r="H20" s="29"/>
      <c r="I20" s="6" t="str">
        <f t="shared" si="1"/>
        <v>0:00</v>
      </c>
      <c r="J20" s="6"/>
      <c r="K20" s="6"/>
      <c r="L20" s="6" t="str">
        <f t="shared" si="2"/>
        <v>0:00</v>
      </c>
      <c r="M20" s="6"/>
      <c r="N20" s="28"/>
      <c r="O20" s="16" t="s">
        <v>465</v>
      </c>
      <c r="P20" s="861">
        <f>N21+P13</f>
        <v>0.25115740740740738</v>
      </c>
      <c r="Q20" s="865"/>
      <c r="R20" s="4"/>
      <c r="S20" s="4"/>
      <c r="T20" s="16">
        <f t="shared" si="3"/>
        <v>0</v>
      </c>
      <c r="U20" s="868">
        <f t="shared" si="4"/>
        <v>23.988571428571429</v>
      </c>
      <c r="V20" s="4">
        <v>70</v>
      </c>
      <c r="W20" s="4">
        <f t="shared" si="5"/>
        <v>65</v>
      </c>
      <c r="X20" s="868">
        <f t="shared" si="6"/>
        <v>54.857142857142854</v>
      </c>
      <c r="Y20" s="4"/>
      <c r="Z20" s="4"/>
      <c r="AA20" s="4"/>
      <c r="AB20" s="4"/>
    </row>
    <row r="21" spans="1:28" ht="15.75" customHeight="1" x14ac:dyDescent="0.2">
      <c r="A21" s="870"/>
      <c r="B21" s="6">
        <v>114</v>
      </c>
      <c r="C21" s="17">
        <f t="shared" si="0"/>
        <v>45828</v>
      </c>
      <c r="D21" s="6" t="s">
        <v>28</v>
      </c>
      <c r="E21" s="4" t="s">
        <v>392</v>
      </c>
      <c r="F21" s="6">
        <v>19</v>
      </c>
      <c r="G21" s="6"/>
      <c r="H21" s="29"/>
      <c r="I21" s="6" t="str">
        <f t="shared" si="1"/>
        <v>0:00</v>
      </c>
      <c r="J21" s="6"/>
      <c r="K21" s="6"/>
      <c r="L21" s="6" t="str">
        <f t="shared" si="2"/>
        <v>0:00</v>
      </c>
      <c r="M21" s="6"/>
      <c r="N21" s="28">
        <f>SUM(H16:H22)</f>
        <v>0</v>
      </c>
      <c r="O21" s="16" t="s">
        <v>466</v>
      </c>
      <c r="P21" s="863">
        <f>N22+P14</f>
        <v>36.74</v>
      </c>
      <c r="Q21" s="866"/>
      <c r="R21" s="4"/>
      <c r="S21" s="4"/>
      <c r="T21" s="16">
        <f t="shared" si="3"/>
        <v>0</v>
      </c>
      <c r="U21" s="868">
        <f t="shared" si="4"/>
        <v>16.964285714285715</v>
      </c>
      <c r="V21" s="4">
        <v>70</v>
      </c>
      <c r="W21" s="4">
        <f t="shared" si="5"/>
        <v>78</v>
      </c>
      <c r="X21" s="868">
        <f t="shared" si="6"/>
        <v>66</v>
      </c>
      <c r="Y21" s="4"/>
      <c r="Z21" s="4"/>
      <c r="AA21" s="4"/>
      <c r="AB21" s="4"/>
    </row>
    <row r="22" spans="1:28" ht="15.75" customHeight="1" x14ac:dyDescent="0.2">
      <c r="A22" s="870"/>
      <c r="B22" s="6">
        <v>113</v>
      </c>
      <c r="C22" s="17">
        <f t="shared" si="0"/>
        <v>45829</v>
      </c>
      <c r="D22" s="6" t="s">
        <v>30</v>
      </c>
      <c r="E22" s="4" t="s">
        <v>385</v>
      </c>
      <c r="F22" s="6">
        <v>8</v>
      </c>
      <c r="G22" s="6"/>
      <c r="H22" s="29"/>
      <c r="I22" s="6" t="str">
        <f t="shared" si="1"/>
        <v>0:00</v>
      </c>
      <c r="J22" s="6"/>
      <c r="K22" s="6"/>
      <c r="L22" s="6" t="str">
        <f t="shared" si="2"/>
        <v>0:00</v>
      </c>
      <c r="M22" s="4">
        <f>SUM(F16:F22)</f>
        <v>70</v>
      </c>
      <c r="N22" s="6">
        <f>SUM(G16:G22)</f>
        <v>0</v>
      </c>
      <c r="O22" s="16"/>
      <c r="P22" s="863">
        <f>M22+P15</f>
        <v>133</v>
      </c>
      <c r="Q22" s="862">
        <f>P21/P22</f>
        <v>0.2762406015037594</v>
      </c>
      <c r="R22" s="4"/>
      <c r="S22" s="4"/>
      <c r="T22" s="16">
        <f t="shared" si="3"/>
        <v>0</v>
      </c>
      <c r="U22" s="868">
        <f t="shared" si="4"/>
        <v>11.715714285714284</v>
      </c>
      <c r="V22" s="4">
        <v>70</v>
      </c>
      <c r="W22" s="4">
        <f t="shared" si="5"/>
        <v>70</v>
      </c>
      <c r="X22" s="868">
        <f t="shared" si="6"/>
        <v>67</v>
      </c>
      <c r="Y22" s="4"/>
      <c r="Z22" s="4"/>
      <c r="AA22" s="4"/>
      <c r="AB22" s="4"/>
    </row>
    <row r="23" spans="1:28" ht="15.75" customHeight="1" x14ac:dyDescent="0.2">
      <c r="A23" s="885" t="s">
        <v>35</v>
      </c>
      <c r="B23" s="854">
        <v>112</v>
      </c>
      <c r="C23" s="855">
        <f t="shared" si="0"/>
        <v>45830</v>
      </c>
      <c r="D23" s="854" t="s">
        <v>31</v>
      </c>
      <c r="E23" s="856" t="s">
        <v>437</v>
      </c>
      <c r="F23" s="854">
        <v>10</v>
      </c>
      <c r="G23" s="854"/>
      <c r="H23" s="857"/>
      <c r="I23" s="854" t="str">
        <f t="shared" si="1"/>
        <v>0:00</v>
      </c>
      <c r="J23" s="854"/>
      <c r="K23" s="854"/>
      <c r="L23" s="854" t="str">
        <f t="shared" si="2"/>
        <v>0:00</v>
      </c>
      <c r="M23" s="856"/>
      <c r="N23" s="856"/>
      <c r="O23" s="858" t="s">
        <v>467</v>
      </c>
      <c r="P23" s="863"/>
      <c r="Q23" s="862"/>
      <c r="R23" s="4"/>
      <c r="S23" s="4"/>
      <c r="T23" s="16">
        <f t="shared" si="3"/>
        <v>0</v>
      </c>
      <c r="U23" s="868">
        <f t="shared" si="4"/>
        <v>6.9128571428571428</v>
      </c>
      <c r="V23" s="4">
        <v>70</v>
      </c>
      <c r="W23" s="4">
        <f t="shared" si="5"/>
        <v>72</v>
      </c>
      <c r="X23" s="868">
        <f t="shared" si="6"/>
        <v>68</v>
      </c>
      <c r="Y23" s="4"/>
      <c r="Z23" s="4"/>
      <c r="AA23" s="4"/>
      <c r="AB23" s="4"/>
    </row>
    <row r="24" spans="1:28" ht="15.75" customHeight="1" x14ac:dyDescent="0.2">
      <c r="A24" s="885"/>
      <c r="B24" s="854">
        <v>111</v>
      </c>
      <c r="C24" s="855">
        <f t="shared" si="0"/>
        <v>45831</v>
      </c>
      <c r="D24" s="854" t="s">
        <v>33</v>
      </c>
      <c r="E24" s="856" t="s">
        <v>385</v>
      </c>
      <c r="F24" s="854">
        <v>8</v>
      </c>
      <c r="G24" s="854"/>
      <c r="H24" s="857"/>
      <c r="I24" s="854" t="str">
        <f t="shared" si="1"/>
        <v>0:00</v>
      </c>
      <c r="J24" s="854"/>
      <c r="K24" s="854"/>
      <c r="L24" s="854" t="str">
        <f t="shared" si="2"/>
        <v>0:00</v>
      </c>
      <c r="M24" s="854"/>
      <c r="N24" s="854"/>
      <c r="O24" s="858"/>
      <c r="P24" s="863"/>
      <c r="Q24" s="864"/>
      <c r="R24" s="4"/>
      <c r="S24" s="4"/>
      <c r="T24" s="16">
        <f t="shared" si="3"/>
        <v>0</v>
      </c>
      <c r="U24" s="868">
        <f t="shared" si="4"/>
        <v>2.9714285714285715</v>
      </c>
      <c r="V24" s="4">
        <v>70</v>
      </c>
      <c r="W24" s="4">
        <f t="shared" si="5"/>
        <v>74</v>
      </c>
      <c r="X24" s="868">
        <f t="shared" si="6"/>
        <v>69.428571428571431</v>
      </c>
      <c r="Y24" s="4"/>
      <c r="Z24" s="4"/>
      <c r="AA24" s="4"/>
      <c r="AB24" s="4"/>
    </row>
    <row r="25" spans="1:28" ht="15.75" customHeight="1" x14ac:dyDescent="0.2">
      <c r="A25" s="885"/>
      <c r="B25" s="854">
        <v>110</v>
      </c>
      <c r="C25" s="855">
        <f t="shared" si="0"/>
        <v>45832</v>
      </c>
      <c r="D25" s="854" t="s">
        <v>34</v>
      </c>
      <c r="E25" s="856" t="s">
        <v>480</v>
      </c>
      <c r="F25" s="854">
        <v>10</v>
      </c>
      <c r="G25" s="854"/>
      <c r="H25" s="857"/>
      <c r="I25" s="854" t="str">
        <f t="shared" si="1"/>
        <v>0:00</v>
      </c>
      <c r="J25" s="857"/>
      <c r="K25" s="854"/>
      <c r="L25" s="854" t="str">
        <f t="shared" si="2"/>
        <v>0:00</v>
      </c>
      <c r="M25" s="854"/>
      <c r="N25" s="854"/>
      <c r="O25" s="858"/>
      <c r="P25" s="863"/>
      <c r="Q25" s="864"/>
      <c r="R25" s="4"/>
      <c r="S25" s="4"/>
      <c r="T25" s="16">
        <f t="shared" si="3"/>
        <v>0</v>
      </c>
      <c r="U25" s="868">
        <f t="shared" si="4"/>
        <v>0.86428571428571421</v>
      </c>
      <c r="V25" s="4">
        <v>70</v>
      </c>
      <c r="W25" s="4">
        <f t="shared" si="5"/>
        <v>69</v>
      </c>
      <c r="X25" s="868">
        <f t="shared" si="6"/>
        <v>70.142857142857139</v>
      </c>
      <c r="Y25" s="4"/>
      <c r="Z25" s="4"/>
      <c r="AA25" s="4"/>
      <c r="AB25" s="4"/>
    </row>
    <row r="26" spans="1:28" ht="15.75" customHeight="1" x14ac:dyDescent="0.2">
      <c r="A26" s="885"/>
      <c r="B26" s="854">
        <v>109</v>
      </c>
      <c r="C26" s="855">
        <f t="shared" si="0"/>
        <v>45833</v>
      </c>
      <c r="D26" s="854" t="s">
        <v>26</v>
      </c>
      <c r="E26" s="856" t="s">
        <v>381</v>
      </c>
      <c r="F26" s="854">
        <v>6</v>
      </c>
      <c r="G26" s="854"/>
      <c r="H26" s="857"/>
      <c r="I26" s="854" t="str">
        <f t="shared" si="1"/>
        <v>0:00</v>
      </c>
      <c r="J26" s="854"/>
      <c r="K26" s="854"/>
      <c r="L26" s="854" t="str">
        <f t="shared" si="2"/>
        <v>0:00</v>
      </c>
      <c r="M26" s="854"/>
      <c r="N26" s="854"/>
      <c r="O26" s="858"/>
      <c r="P26" s="861"/>
      <c r="Q26" s="865"/>
      <c r="R26" s="4"/>
      <c r="S26" s="4"/>
      <c r="T26" s="16">
        <f t="shared" si="3"/>
        <v>0</v>
      </c>
      <c r="U26" s="868">
        <f t="shared" si="4"/>
        <v>0</v>
      </c>
      <c r="V26" s="4">
        <v>70</v>
      </c>
      <c r="W26" s="4">
        <f t="shared" si="5"/>
        <v>69</v>
      </c>
      <c r="X26" s="868">
        <f t="shared" si="6"/>
        <v>71</v>
      </c>
      <c r="Y26" s="4"/>
      <c r="Z26" s="4"/>
      <c r="AA26" s="4"/>
      <c r="AB26" s="4"/>
    </row>
    <row r="27" spans="1:28" ht="15.75" customHeight="1" x14ac:dyDescent="0.2">
      <c r="A27" s="885"/>
      <c r="B27" s="854">
        <v>108</v>
      </c>
      <c r="C27" s="855">
        <f t="shared" si="0"/>
        <v>45834</v>
      </c>
      <c r="D27" s="854" t="s">
        <v>27</v>
      </c>
      <c r="E27" s="856" t="s">
        <v>403</v>
      </c>
      <c r="F27" s="854">
        <f>4+3+3+2+1+2</f>
        <v>15</v>
      </c>
      <c r="G27" s="854"/>
      <c r="H27" s="857"/>
      <c r="I27" s="854" t="str">
        <f t="shared" si="1"/>
        <v>0:00</v>
      </c>
      <c r="J27" s="854"/>
      <c r="K27" s="854"/>
      <c r="L27" s="854" t="str">
        <f t="shared" si="2"/>
        <v>0:00</v>
      </c>
      <c r="M27" s="854"/>
      <c r="N27" s="859"/>
      <c r="O27" s="858"/>
      <c r="P27" s="861">
        <f>N28+P20</f>
        <v>0.25115740740740738</v>
      </c>
      <c r="Q27" s="865"/>
      <c r="R27" s="4"/>
      <c r="S27" s="4"/>
      <c r="T27" s="16">
        <f t="shared" si="3"/>
        <v>0</v>
      </c>
      <c r="U27" s="868">
        <f t="shared" si="4"/>
        <v>0</v>
      </c>
      <c r="V27" s="4">
        <v>70</v>
      </c>
      <c r="W27" s="4">
        <f t="shared" si="5"/>
        <v>76</v>
      </c>
      <c r="X27" s="868">
        <f t="shared" si="6"/>
        <v>72.571428571428569</v>
      </c>
      <c r="Y27" s="4"/>
      <c r="Z27" s="4"/>
      <c r="AA27" s="4"/>
      <c r="AB27" s="4"/>
    </row>
    <row r="28" spans="1:28" ht="15.75" customHeight="1" x14ac:dyDescent="0.2">
      <c r="A28" s="885"/>
      <c r="B28" s="854">
        <v>107</v>
      </c>
      <c r="C28" s="855">
        <f t="shared" si="0"/>
        <v>45835</v>
      </c>
      <c r="D28" s="854" t="s">
        <v>28</v>
      </c>
      <c r="E28" s="856" t="s">
        <v>379</v>
      </c>
      <c r="F28" s="854">
        <v>6</v>
      </c>
      <c r="G28" s="854"/>
      <c r="H28" s="857"/>
      <c r="I28" s="854" t="str">
        <f t="shared" si="1"/>
        <v>0:00</v>
      </c>
      <c r="J28" s="854"/>
      <c r="K28" s="854"/>
      <c r="L28" s="854" t="str">
        <f t="shared" si="2"/>
        <v>0:00</v>
      </c>
      <c r="M28" s="854"/>
      <c r="N28" s="859">
        <f>SUM(H23:H29)</f>
        <v>0</v>
      </c>
      <c r="O28" s="858"/>
      <c r="P28" s="863">
        <f>N29+P21</f>
        <v>36.74</v>
      </c>
      <c r="Q28" s="866"/>
      <c r="R28" s="4"/>
      <c r="S28" s="16"/>
      <c r="T28" s="16">
        <f t="shared" si="3"/>
        <v>0</v>
      </c>
      <c r="U28" s="868">
        <f t="shared" si="4"/>
        <v>0</v>
      </c>
      <c r="V28" s="4">
        <v>70</v>
      </c>
      <c r="W28" s="4">
        <f t="shared" si="5"/>
        <v>63</v>
      </c>
      <c r="X28" s="868">
        <f t="shared" si="6"/>
        <v>70.428571428571431</v>
      </c>
      <c r="Y28" s="4"/>
      <c r="Z28" s="4"/>
      <c r="AA28" s="4"/>
      <c r="AB28" s="4"/>
    </row>
    <row r="29" spans="1:28" ht="15.75" customHeight="1" x14ac:dyDescent="0.2">
      <c r="A29" s="885"/>
      <c r="B29" s="854">
        <v>106</v>
      </c>
      <c r="C29" s="855">
        <f t="shared" si="0"/>
        <v>45836</v>
      </c>
      <c r="D29" s="854" t="s">
        <v>30</v>
      </c>
      <c r="E29" s="856" t="s">
        <v>393</v>
      </c>
      <c r="F29" s="854">
        <v>18</v>
      </c>
      <c r="G29" s="854"/>
      <c r="H29" s="857"/>
      <c r="I29" s="854" t="str">
        <f t="shared" si="1"/>
        <v>0:00</v>
      </c>
      <c r="J29" s="854"/>
      <c r="K29" s="854"/>
      <c r="L29" s="854" t="str">
        <f t="shared" si="2"/>
        <v>0:00</v>
      </c>
      <c r="M29" s="856">
        <f>SUM(F23:F29)</f>
        <v>73</v>
      </c>
      <c r="N29" s="854">
        <f>SUM(G23:G29)</f>
        <v>0</v>
      </c>
      <c r="O29" s="858"/>
      <c r="P29" s="863">
        <f>M29+P22</f>
        <v>206</v>
      </c>
      <c r="Q29" s="862">
        <f>P28/P29</f>
        <v>0.1783495145631068</v>
      </c>
      <c r="R29" s="4"/>
      <c r="T29" s="16">
        <f t="shared" si="3"/>
        <v>0</v>
      </c>
      <c r="U29" s="868">
        <f t="shared" si="4"/>
        <v>0</v>
      </c>
      <c r="V29" s="4">
        <v>70</v>
      </c>
      <c r="W29" s="4">
        <f t="shared" si="5"/>
        <v>73</v>
      </c>
      <c r="X29" s="868">
        <f t="shared" si="6"/>
        <v>70.857142857142861</v>
      </c>
      <c r="Y29" s="4"/>
      <c r="Z29" s="4"/>
      <c r="AA29" s="4"/>
      <c r="AB29" s="4"/>
    </row>
    <row r="30" spans="1:28" ht="15.75" customHeight="1" x14ac:dyDescent="0.2">
      <c r="A30" s="870" t="s">
        <v>36</v>
      </c>
      <c r="B30" s="6">
        <v>105</v>
      </c>
      <c r="C30" s="17">
        <f t="shared" si="0"/>
        <v>45837</v>
      </c>
      <c r="D30" s="6" t="s">
        <v>31</v>
      </c>
      <c r="E30" s="4" t="s">
        <v>385</v>
      </c>
      <c r="F30" s="6">
        <v>8</v>
      </c>
      <c r="G30" s="6"/>
      <c r="H30" s="29"/>
      <c r="I30" s="6" t="str">
        <f t="shared" si="1"/>
        <v>0:00</v>
      </c>
      <c r="J30" s="6"/>
      <c r="K30" s="6"/>
      <c r="L30" s="6" t="str">
        <f t="shared" si="2"/>
        <v>0:00</v>
      </c>
      <c r="M30" s="4"/>
      <c r="N30" s="4"/>
      <c r="O30" s="16"/>
      <c r="P30" s="863"/>
      <c r="Q30" s="862"/>
      <c r="R30" s="4"/>
      <c r="T30" s="16">
        <f t="shared" si="3"/>
        <v>0</v>
      </c>
      <c r="U30" s="868">
        <f t="shared" si="4"/>
        <v>0</v>
      </c>
      <c r="V30" s="4">
        <v>70</v>
      </c>
      <c r="W30" s="4">
        <f t="shared" si="5"/>
        <v>71</v>
      </c>
      <c r="X30" s="868">
        <f t="shared" si="6"/>
        <v>70.714285714285708</v>
      </c>
      <c r="Y30" s="4"/>
      <c r="Z30" s="4"/>
      <c r="AA30" s="4"/>
      <c r="AB30" s="4"/>
    </row>
    <row r="31" spans="1:28" ht="15.75" customHeight="1" x14ac:dyDescent="0.2">
      <c r="A31" s="870"/>
      <c r="B31" s="6">
        <v>104</v>
      </c>
      <c r="C31" s="17">
        <f t="shared" si="0"/>
        <v>45838</v>
      </c>
      <c r="D31" s="6" t="s">
        <v>33</v>
      </c>
      <c r="E31" s="4" t="s">
        <v>381</v>
      </c>
      <c r="F31" s="6">
        <v>6</v>
      </c>
      <c r="G31" s="6"/>
      <c r="H31" s="29"/>
      <c r="I31" s="6" t="str">
        <f t="shared" si="1"/>
        <v>0:00</v>
      </c>
      <c r="J31" s="6"/>
      <c r="K31" s="6"/>
      <c r="L31" s="6" t="str">
        <f t="shared" si="2"/>
        <v>0:00</v>
      </c>
      <c r="M31" s="6"/>
      <c r="N31" s="6"/>
      <c r="O31" s="16"/>
      <c r="P31" s="863"/>
      <c r="Q31" s="864"/>
      <c r="R31" s="4"/>
      <c r="T31" s="16">
        <f t="shared" si="3"/>
        <v>0</v>
      </c>
      <c r="U31" s="868">
        <f t="shared" si="4"/>
        <v>0</v>
      </c>
      <c r="V31" s="4">
        <v>70</v>
      </c>
      <c r="W31" s="4">
        <f t="shared" si="5"/>
        <v>69</v>
      </c>
      <c r="X31" s="868">
        <f t="shared" si="6"/>
        <v>70</v>
      </c>
      <c r="Y31" s="4"/>
      <c r="Z31" s="4"/>
      <c r="AA31" s="4"/>
      <c r="AB31" s="4"/>
    </row>
    <row r="32" spans="1:28" ht="15.75" customHeight="1" x14ac:dyDescent="0.2">
      <c r="A32" s="870"/>
      <c r="B32" s="6">
        <v>103</v>
      </c>
      <c r="C32" s="17">
        <f t="shared" si="0"/>
        <v>45839</v>
      </c>
      <c r="D32" s="6" t="s">
        <v>34</v>
      </c>
      <c r="E32" s="4" t="s">
        <v>399</v>
      </c>
      <c r="F32" s="6">
        <v>16</v>
      </c>
      <c r="G32" s="6"/>
      <c r="H32" s="29"/>
      <c r="I32" s="6" t="str">
        <f t="shared" si="1"/>
        <v>0:00</v>
      </c>
      <c r="J32" s="6"/>
      <c r="K32" s="6"/>
      <c r="L32" s="6" t="str">
        <f t="shared" si="2"/>
        <v>0:00</v>
      </c>
      <c r="M32" s="6"/>
      <c r="N32" s="6"/>
      <c r="O32" s="16"/>
      <c r="P32" s="863"/>
      <c r="Q32" s="864"/>
      <c r="R32" s="4"/>
      <c r="T32" s="16">
        <f t="shared" si="3"/>
        <v>0</v>
      </c>
      <c r="U32" s="868">
        <f t="shared" si="4"/>
        <v>0</v>
      </c>
      <c r="V32" s="4">
        <v>70</v>
      </c>
      <c r="W32" s="4">
        <f t="shared" si="5"/>
        <v>75</v>
      </c>
      <c r="X32" s="868">
        <f t="shared" si="6"/>
        <v>70.857142857142861</v>
      </c>
      <c r="Y32" s="4"/>
      <c r="Z32" s="4"/>
      <c r="AA32" s="4"/>
      <c r="AB32" s="4"/>
    </row>
    <row r="33" spans="1:28" ht="15.75" customHeight="1" x14ac:dyDescent="0.2">
      <c r="A33" s="870"/>
      <c r="B33" s="6">
        <v>102</v>
      </c>
      <c r="C33" s="17">
        <f t="shared" si="0"/>
        <v>45840</v>
      </c>
      <c r="D33" s="6" t="s">
        <v>26</v>
      </c>
      <c r="E33" s="4" t="s">
        <v>381</v>
      </c>
      <c r="F33" s="6">
        <v>6</v>
      </c>
      <c r="G33" s="6"/>
      <c r="H33" s="29"/>
      <c r="I33" s="6" t="str">
        <f t="shared" si="1"/>
        <v>0:00</v>
      </c>
      <c r="J33" s="6"/>
      <c r="K33" s="6"/>
      <c r="L33" s="6" t="str">
        <f t="shared" si="2"/>
        <v>0:00</v>
      </c>
      <c r="M33" s="6"/>
      <c r="N33" s="6"/>
      <c r="O33" s="16"/>
      <c r="P33" s="863"/>
      <c r="Q33" s="865"/>
      <c r="R33" s="4"/>
      <c r="T33" s="16">
        <f t="shared" si="3"/>
        <v>0</v>
      </c>
      <c r="U33" s="868">
        <f t="shared" si="4"/>
        <v>0</v>
      </c>
      <c r="V33" s="4">
        <v>70</v>
      </c>
      <c r="W33" s="4">
        <f t="shared" si="5"/>
        <v>75</v>
      </c>
      <c r="X33" s="868">
        <f t="shared" si="6"/>
        <v>71.714285714285708</v>
      </c>
      <c r="Y33" s="4"/>
      <c r="Z33" s="4"/>
      <c r="AA33" s="4"/>
      <c r="AB33" s="4"/>
    </row>
    <row r="34" spans="1:28" ht="15.75" customHeight="1" x14ac:dyDescent="0.2">
      <c r="A34" s="870"/>
      <c r="B34" s="6">
        <v>101</v>
      </c>
      <c r="C34" s="17">
        <f t="shared" si="0"/>
        <v>45841</v>
      </c>
      <c r="D34" s="6" t="s">
        <v>27</v>
      </c>
      <c r="E34" s="4" t="s">
        <v>437</v>
      </c>
      <c r="F34" s="6">
        <v>10</v>
      </c>
      <c r="G34" s="6"/>
      <c r="H34" s="29"/>
      <c r="I34" s="6" t="str">
        <f t="shared" si="1"/>
        <v>0:00</v>
      </c>
      <c r="J34" s="6"/>
      <c r="K34" s="6"/>
      <c r="L34" s="6" t="str">
        <f t="shared" si="2"/>
        <v>0:00</v>
      </c>
      <c r="M34" s="6"/>
      <c r="N34" s="28"/>
      <c r="O34" s="16"/>
      <c r="P34" s="861">
        <f>N35+P27</f>
        <v>0.25115740740740738</v>
      </c>
      <c r="Q34" s="865"/>
      <c r="R34" s="4"/>
      <c r="T34" s="16">
        <f t="shared" si="3"/>
        <v>0</v>
      </c>
      <c r="U34" s="868">
        <f t="shared" si="4"/>
        <v>0</v>
      </c>
      <c r="V34" s="4">
        <v>70</v>
      </c>
      <c r="W34" s="4">
        <f t="shared" si="5"/>
        <v>70</v>
      </c>
      <c r="X34" s="868">
        <f t="shared" si="6"/>
        <v>70.857142857142861</v>
      </c>
      <c r="Y34" s="4"/>
      <c r="Z34" s="4"/>
      <c r="AA34" s="4"/>
      <c r="AB34" s="4"/>
    </row>
    <row r="35" spans="1:28" ht="15.75" customHeight="1" x14ac:dyDescent="0.2">
      <c r="A35" s="870"/>
      <c r="B35" s="6">
        <v>100</v>
      </c>
      <c r="C35" s="17">
        <f t="shared" si="0"/>
        <v>45842</v>
      </c>
      <c r="D35" s="6" t="s">
        <v>28</v>
      </c>
      <c r="E35" s="4" t="s">
        <v>395</v>
      </c>
      <c r="F35" s="6">
        <v>18</v>
      </c>
      <c r="G35" s="6"/>
      <c r="H35" s="29"/>
      <c r="I35" s="6" t="str">
        <f t="shared" si="1"/>
        <v>0:00</v>
      </c>
      <c r="J35" s="6"/>
      <c r="K35" s="6"/>
      <c r="L35" s="6" t="str">
        <f t="shared" si="2"/>
        <v>0:00</v>
      </c>
      <c r="M35" s="6"/>
      <c r="N35" s="28">
        <f>SUM(H30:H36)</f>
        <v>0</v>
      </c>
      <c r="O35" s="16"/>
      <c r="P35" s="863">
        <f>N36+P28</f>
        <v>36.74</v>
      </c>
      <c r="Q35" s="866"/>
      <c r="R35" s="4"/>
      <c r="T35" s="16">
        <f t="shared" si="3"/>
        <v>0</v>
      </c>
      <c r="U35" s="868">
        <f t="shared" si="4"/>
        <v>0</v>
      </c>
      <c r="V35" s="4">
        <v>70</v>
      </c>
      <c r="W35" s="4">
        <f t="shared" si="5"/>
        <v>82</v>
      </c>
      <c r="X35" s="868">
        <f t="shared" si="6"/>
        <v>73.571428571428569</v>
      </c>
      <c r="Y35" s="4"/>
      <c r="Z35" s="4"/>
      <c r="AA35" s="4"/>
      <c r="AB35" s="4"/>
    </row>
    <row r="36" spans="1:28" ht="15.75" customHeight="1" x14ac:dyDescent="0.2">
      <c r="A36" s="870"/>
      <c r="B36" s="6">
        <v>99</v>
      </c>
      <c r="C36" s="17">
        <f t="shared" si="0"/>
        <v>45843</v>
      </c>
      <c r="D36" s="6" t="s">
        <v>30</v>
      </c>
      <c r="E36" s="4" t="s">
        <v>437</v>
      </c>
      <c r="F36" s="6">
        <v>10</v>
      </c>
      <c r="G36" s="6"/>
      <c r="H36" s="29"/>
      <c r="I36" s="6" t="str">
        <f t="shared" si="1"/>
        <v>0:00</v>
      </c>
      <c r="J36" s="6"/>
      <c r="K36" s="6"/>
      <c r="L36" s="6" t="str">
        <f t="shared" si="2"/>
        <v>0:00</v>
      </c>
      <c r="M36" s="4">
        <f>SUM(F30:F36)</f>
        <v>74</v>
      </c>
      <c r="N36" s="6">
        <f>SUM(G30:G36)</f>
        <v>0</v>
      </c>
      <c r="O36" s="16"/>
      <c r="P36" s="863">
        <f>M36+P29</f>
        <v>280</v>
      </c>
      <c r="Q36" s="862">
        <f>P35/P36</f>
        <v>0.13121428571428573</v>
      </c>
      <c r="R36" s="4"/>
      <c r="T36" s="16">
        <f t="shared" si="3"/>
        <v>0</v>
      </c>
      <c r="U36" s="868">
        <f t="shared" si="4"/>
        <v>0</v>
      </c>
      <c r="V36" s="4">
        <v>70</v>
      </c>
      <c r="W36" s="4">
        <f t="shared" si="5"/>
        <v>74</v>
      </c>
      <c r="X36" s="868">
        <f t="shared" si="6"/>
        <v>73.714285714285708</v>
      </c>
      <c r="Y36" s="4"/>
      <c r="Z36" s="4"/>
      <c r="AA36" s="4"/>
      <c r="AB36" s="4"/>
    </row>
    <row r="37" spans="1:28" ht="15.75" customHeight="1" x14ac:dyDescent="0.2">
      <c r="A37" s="885"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0</v>
      </c>
      <c r="V37" s="4">
        <v>70</v>
      </c>
      <c r="W37" s="4">
        <f t="shared" si="5"/>
        <v>74</v>
      </c>
      <c r="X37" s="868">
        <f t="shared" si="6"/>
        <v>74.142857142857139</v>
      </c>
      <c r="Y37" s="4"/>
      <c r="Z37" s="4"/>
      <c r="AA37" s="4"/>
      <c r="AB37" s="4"/>
    </row>
    <row r="38" spans="1:28" ht="15.75" customHeight="1" x14ac:dyDescent="0.2">
      <c r="A38" s="885"/>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0</v>
      </c>
      <c r="V38" s="4">
        <v>70</v>
      </c>
      <c r="W38" s="4">
        <f t="shared" si="5"/>
        <v>74</v>
      </c>
      <c r="X38" s="868">
        <f t="shared" si="6"/>
        <v>74.857142857142861</v>
      </c>
      <c r="Y38" s="4"/>
      <c r="Z38" s="4"/>
      <c r="AA38" s="4"/>
      <c r="AB38" s="4"/>
    </row>
    <row r="39" spans="1:28" ht="15.75" customHeight="1" x14ac:dyDescent="0.2">
      <c r="A39" s="885"/>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0</v>
      </c>
      <c r="V39" s="4">
        <v>70</v>
      </c>
      <c r="W39" s="4">
        <f t="shared" si="5"/>
        <v>75</v>
      </c>
      <c r="X39" s="868">
        <f t="shared" si="6"/>
        <v>74.857142857142861</v>
      </c>
      <c r="Y39" s="4"/>
      <c r="Z39" s="4"/>
      <c r="AA39" s="4"/>
      <c r="AB39" s="4"/>
    </row>
    <row r="40" spans="1:28" ht="15.75" customHeight="1" x14ac:dyDescent="0.2">
      <c r="A40" s="885"/>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0</v>
      </c>
      <c r="V40" s="4">
        <v>70</v>
      </c>
      <c r="W40" s="4">
        <f t="shared" si="5"/>
        <v>76</v>
      </c>
      <c r="X40" s="868">
        <f t="shared" si="6"/>
        <v>75</v>
      </c>
      <c r="Y40" s="4"/>
      <c r="Z40" s="4"/>
      <c r="AA40" s="4"/>
      <c r="AB40" s="4"/>
    </row>
    <row r="41" spans="1:28" ht="15.75" customHeight="1" x14ac:dyDescent="0.2">
      <c r="A41" s="885"/>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0.25115740740740738</v>
      </c>
      <c r="Q41" s="865"/>
      <c r="R41" s="4"/>
      <c r="T41" s="16">
        <f t="shared" si="3"/>
        <v>0</v>
      </c>
      <c r="U41" s="868">
        <f t="shared" si="4"/>
        <v>0</v>
      </c>
      <c r="V41" s="4">
        <v>70</v>
      </c>
      <c r="W41" s="4">
        <f t="shared" si="5"/>
        <v>76</v>
      </c>
      <c r="X41" s="868">
        <f t="shared" si="6"/>
        <v>75.857142857142861</v>
      </c>
      <c r="Y41" s="4"/>
      <c r="Z41" s="4"/>
      <c r="AA41" s="4"/>
      <c r="AB41" s="4"/>
    </row>
    <row r="42" spans="1:28" ht="15.75" customHeight="1" x14ac:dyDescent="0.2">
      <c r="A42" s="885"/>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36.74</v>
      </c>
      <c r="Q42" s="866"/>
      <c r="R42" s="4"/>
      <c r="T42" s="16">
        <f t="shared" si="3"/>
        <v>0</v>
      </c>
      <c r="U42" s="868">
        <f t="shared" si="4"/>
        <v>0</v>
      </c>
      <c r="V42" s="4">
        <v>70</v>
      </c>
      <c r="W42" s="4">
        <f t="shared" si="5"/>
        <v>64</v>
      </c>
      <c r="X42" s="868">
        <f t="shared" si="6"/>
        <v>73.285714285714292</v>
      </c>
      <c r="Y42" s="4"/>
      <c r="Z42" s="4"/>
      <c r="AA42" s="4"/>
      <c r="AB42" s="4"/>
    </row>
    <row r="43" spans="1:28" ht="15.75" customHeight="1" x14ac:dyDescent="0.2">
      <c r="A43" s="885"/>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0.10437500000000001</v>
      </c>
      <c r="R43" s="4"/>
      <c r="T43" s="16">
        <f t="shared" si="3"/>
        <v>0</v>
      </c>
      <c r="U43" s="868">
        <f t="shared" si="4"/>
        <v>0</v>
      </c>
      <c r="V43" s="4">
        <v>70</v>
      </c>
      <c r="W43" s="4">
        <f t="shared" si="5"/>
        <v>72</v>
      </c>
      <c r="X43" s="868">
        <f t="shared" si="6"/>
        <v>73</v>
      </c>
      <c r="Y43" s="4"/>
      <c r="Z43" s="4"/>
      <c r="AA43" s="4"/>
      <c r="AB43" s="4"/>
    </row>
    <row r="44" spans="1:28" ht="15.75" customHeight="1" x14ac:dyDescent="0.2">
      <c r="A44" s="870"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72</v>
      </c>
      <c r="X44" s="868">
        <f t="shared" si="6"/>
        <v>72.714285714285708</v>
      </c>
      <c r="Y44" s="4"/>
      <c r="Z44" s="4"/>
      <c r="AA44" s="4"/>
      <c r="AB44" s="4"/>
    </row>
    <row r="45" spans="1:28" ht="15.75" customHeight="1" x14ac:dyDescent="0.2">
      <c r="A45" s="870"/>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72.285714285714292</v>
      </c>
      <c r="Y45" s="4"/>
      <c r="Z45" s="4"/>
      <c r="AA45" s="4"/>
      <c r="AB45" s="4"/>
    </row>
    <row r="46" spans="1:28" ht="15.75" customHeight="1" x14ac:dyDescent="0.2">
      <c r="A46" s="870"/>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70.428571428571431</v>
      </c>
      <c r="Y46" s="4"/>
      <c r="Z46" s="4"/>
      <c r="AA46" s="4"/>
      <c r="AB46" s="4"/>
    </row>
    <row r="47" spans="1:28" ht="15.75" customHeight="1" x14ac:dyDescent="0.2">
      <c r="A47" s="870"/>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
      <c r="A48" s="870"/>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0.25115740740740738</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
      <c r="A49" s="870"/>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36.74</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
      <c r="A50" s="870"/>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8.7268408551068891E-2</v>
      </c>
      <c r="R50" s="4"/>
      <c r="T50" s="16">
        <f t="shared" si="3"/>
        <v>0</v>
      </c>
      <c r="U50" s="868">
        <f t="shared" si="4"/>
        <v>0</v>
      </c>
      <c r="V50" s="4">
        <v>70</v>
      </c>
      <c r="W50" s="4">
        <f t="shared" si="5"/>
        <v>69</v>
      </c>
      <c r="X50" s="868">
        <f t="shared" si="6"/>
        <v>67.285714285714292</v>
      </c>
      <c r="Y50" s="4"/>
      <c r="Z50" s="4"/>
      <c r="AA50" s="4"/>
      <c r="AB50" s="4"/>
    </row>
    <row r="51" spans="1:28" ht="15.75" customHeight="1" x14ac:dyDescent="0.2">
      <c r="A51" s="885"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
      <c r="A52" s="885"/>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
      <c r="A53" s="885"/>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
      <c r="A54" s="885"/>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
      <c r="A55" s="885"/>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0.25115740740740738</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
      <c r="A56" s="885"/>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36.74</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
      <c r="A57" s="885"/>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7.3333333333333334E-2</v>
      </c>
      <c r="R57" s="4"/>
      <c r="T57" s="16">
        <f t="shared" si="3"/>
        <v>0</v>
      </c>
      <c r="U57" s="868">
        <f t="shared" si="4"/>
        <v>0</v>
      </c>
      <c r="V57" s="4">
        <v>70</v>
      </c>
      <c r="W57" s="4">
        <f t="shared" si="5"/>
        <v>80</v>
      </c>
      <c r="X57" s="868">
        <f t="shared" si="6"/>
        <v>76.714285714285708</v>
      </c>
      <c r="Y57" s="4"/>
      <c r="Z57" s="4"/>
      <c r="AA57" s="4"/>
      <c r="AB57" s="4"/>
    </row>
    <row r="58" spans="1:28" ht="15.75" customHeight="1" x14ac:dyDescent="0.2">
      <c r="A58" s="870"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
      <c r="A59" s="870"/>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
      <c r="A60" s="870"/>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
      <c r="A61" s="870"/>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
      <c r="A62" s="870"/>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0.25115740740740738</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
      <c r="A63" s="870"/>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36.74</v>
      </c>
      <c r="Q63" s="866"/>
      <c r="R63" s="4"/>
      <c r="T63" s="16">
        <f t="shared" si="3"/>
        <v>0</v>
      </c>
      <c r="U63" s="868">
        <f t="shared" si="4"/>
        <v>0</v>
      </c>
      <c r="V63" s="4">
        <v>70</v>
      </c>
      <c r="W63" s="4">
        <f t="shared" si="5"/>
        <v>73</v>
      </c>
      <c r="X63" s="868">
        <f t="shared" si="6"/>
        <v>78</v>
      </c>
      <c r="Y63" s="4"/>
      <c r="Z63" s="4"/>
      <c r="AA63" s="4"/>
      <c r="AB63" s="4"/>
    </row>
    <row r="64" spans="1:28" ht="15.75" customHeight="1" x14ac:dyDescent="0.2">
      <c r="A64" s="870"/>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6.4118673647469468E-2</v>
      </c>
      <c r="R64" s="4"/>
      <c r="T64" s="16">
        <f t="shared" si="3"/>
        <v>0</v>
      </c>
      <c r="U64" s="868">
        <f t="shared" si="4"/>
        <v>0</v>
      </c>
      <c r="V64" s="4">
        <v>70</v>
      </c>
      <c r="W64" s="4">
        <f t="shared" si="5"/>
        <v>72</v>
      </c>
      <c r="X64" s="868">
        <f t="shared" si="6"/>
        <v>76.857142857142861</v>
      </c>
      <c r="Y64" s="4"/>
      <c r="Z64" s="4"/>
      <c r="AA64" s="4"/>
      <c r="AB64" s="4"/>
    </row>
    <row r="65" spans="1:28" ht="15.75" customHeight="1" x14ac:dyDescent="0.2">
      <c r="A65" s="885"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
      <c r="A66" s="885"/>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
      <c r="A67" s="885"/>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
      <c r="A68" s="885"/>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
      <c r="A69" s="885"/>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0.25115740740740738</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
      <c r="A70" s="885"/>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36.74</v>
      </c>
      <c r="Q70" s="866"/>
      <c r="R70" s="4"/>
      <c r="T70" s="16">
        <f t="shared" si="3"/>
        <v>0</v>
      </c>
      <c r="U70" s="868">
        <f t="shared" si="4"/>
        <v>0</v>
      </c>
      <c r="V70" s="4">
        <v>70</v>
      </c>
      <c r="W70" s="4">
        <f t="shared" si="5"/>
        <v>62</v>
      </c>
      <c r="X70" s="868">
        <f t="shared" si="6"/>
        <v>67</v>
      </c>
      <c r="Y70" s="4"/>
      <c r="Z70" s="4"/>
      <c r="AA70" s="4"/>
      <c r="AB70" s="4"/>
    </row>
    <row r="71" spans="1:28" ht="15.75" customHeight="1" x14ac:dyDescent="0.2">
      <c r="A71" s="885"/>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5.7767295597484281E-2</v>
      </c>
      <c r="R71" s="4"/>
      <c r="T71" s="16">
        <f t="shared" si="3"/>
        <v>0</v>
      </c>
      <c r="U71" s="868">
        <f t="shared" si="4"/>
        <v>0</v>
      </c>
      <c r="V71" s="4">
        <v>70</v>
      </c>
      <c r="W71" s="4">
        <f t="shared" si="5"/>
        <v>63</v>
      </c>
      <c r="X71" s="868">
        <f t="shared" si="6"/>
        <v>65.714285714285708</v>
      </c>
      <c r="Y71" s="4"/>
      <c r="Z71" s="4"/>
      <c r="AA71" s="4"/>
      <c r="AB71" s="4"/>
    </row>
    <row r="72" spans="1:28" ht="15.75" customHeight="1" x14ac:dyDescent="0.2">
      <c r="A72" s="870"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
      <c r="A73" s="870"/>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
      <c r="A74" s="870"/>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
      <c r="A75" s="870"/>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
      <c r="A76" s="870"/>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0.25115740740740738</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
      <c r="A77" s="870"/>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36.74</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
      <c r="A78" s="870"/>
      <c r="B78" s="6">
        <v>57</v>
      </c>
      <c r="C78" s="17">
        <f t="shared" si="0"/>
        <v>45885</v>
      </c>
      <c r="D78" s="6" t="s">
        <v>30</v>
      </c>
      <c r="E78" s="4" t="s">
        <v>482</v>
      </c>
      <c r="F78" s="6">
        <f>5+6+1+5+3</f>
        <v>20</v>
      </c>
      <c r="G78" s="6"/>
      <c r="H78" s="29"/>
      <c r="I78" s="6" t="str">
        <f t="shared" si="8"/>
        <v>0:00</v>
      </c>
      <c r="J78" s="29"/>
      <c r="K78" s="6"/>
      <c r="L78" s="6" t="str">
        <f t="shared" si="2"/>
        <v>0:00</v>
      </c>
      <c r="M78" s="4">
        <f>SUM(F72:F78)</f>
        <v>80</v>
      </c>
      <c r="N78" s="6">
        <f>SUM(G72:G78)</f>
        <v>0</v>
      </c>
      <c r="O78" s="16"/>
      <c r="P78" s="863">
        <f>M78+P71</f>
        <v>716</v>
      </c>
      <c r="Q78" s="862">
        <f>P77/P78</f>
        <v>5.1312849162011176E-2</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
      <c r="A79" s="885"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
      <c r="A80" s="885"/>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
      <c r="A81" s="885"/>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
      <c r="A82" s="885"/>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
      <c r="A83" s="885"/>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0.25115740740740738</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
      <c r="A84" s="885"/>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36.74</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
      <c r="A85" s="885"/>
      <c r="B85" s="854">
        <v>50</v>
      </c>
      <c r="C85" s="855">
        <f t="shared" si="0"/>
        <v>45892</v>
      </c>
      <c r="D85" s="854" t="s">
        <v>30</v>
      </c>
      <c r="E85" s="856" t="s">
        <v>481</v>
      </c>
      <c r="F85" s="854">
        <v>18</v>
      </c>
      <c r="G85" s="854"/>
      <c r="H85" s="857"/>
      <c r="I85" s="854" t="str">
        <f t="shared" si="8"/>
        <v>0:00</v>
      </c>
      <c r="J85" s="854"/>
      <c r="K85" s="854"/>
      <c r="L85" s="854" t="str">
        <f t="shared" si="2"/>
        <v>0:00</v>
      </c>
      <c r="M85" s="856">
        <f>SUM(F79:F85)</f>
        <v>74</v>
      </c>
      <c r="N85" s="854">
        <f>SUM(G79:G85)</f>
        <v>0</v>
      </c>
      <c r="O85" s="858"/>
      <c r="P85" s="863">
        <f>M85+P78</f>
        <v>790</v>
      </c>
      <c r="Q85" s="862">
        <f>P84/P85</f>
        <v>4.650632911392405E-2</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
      <c r="A86" s="870"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
      <c r="A87" s="870"/>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
      <c r="A88" s="870"/>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
      <c r="A89" s="870"/>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
      <c r="A90" s="870"/>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0.25115740740740738</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
      <c r="A91" s="870"/>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36.74</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
      <c r="A92" s="870"/>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4.2621809744779582E-2</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
      <c r="A93" s="885"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
      <c r="A94" s="885"/>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
      <c r="A95" s="885"/>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
      <c r="A96" s="885"/>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
      <c r="A97" s="885"/>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0.25115740740740738</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
      <c r="A98" s="885"/>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36.74</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
      <c r="A99" s="885"/>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3.900212314225053E-2</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
      <c r="A100" s="870"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
      <c r="A101" s="870"/>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
      <c r="A102" s="870"/>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
      <c r="A103" s="870"/>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
      <c r="A104" s="870"/>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0.25115740740740738</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
      <c r="A105" s="870"/>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36.74</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
      <c r="A106" s="870"/>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3.6161417322834649E-2</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
      <c r="A107" s="885"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
      <c r="A108" s="885"/>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
      <c r="A109" s="885"/>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
      <c r="A110" s="885"/>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
      <c r="A111" s="885"/>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0.25115740740740738</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
      <c r="A112" s="885"/>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36.74</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
      <c r="A113" s="885"/>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3.3892988929889303E-2</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
      <c r="A114" s="870"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
      <c r="A115" s="870"/>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
      <c r="A116" s="870"/>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
      <c r="A117" s="870"/>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
      <c r="A118" s="870"/>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0.25115740740740738</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
      <c r="A119" s="870"/>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36.74</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
      <c r="A120" s="870"/>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3.1947826086956524E-2</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
      <c r="A121" s="885"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
      <c r="A122" s="885"/>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
      <c r="A123" s="885"/>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
      <c r="A124" s="885"/>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
      <c r="A125" s="885"/>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0.25115740740740738</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
      <c r="A126" s="885"/>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36.74</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
      <c r="A127" s="885"/>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3.0413907284768213E-2</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
      <c r="A128" s="870"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
      <c r="A129" s="870"/>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
      <c r="A130" s="870"/>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
      <c r="A131" s="870"/>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
      <c r="A132" s="870"/>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0.25115740740740738</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
      <c r="A133" s="870"/>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36.74</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
      <c r="A134" s="870"/>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2.9321628092577816E-2</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2.75" x14ac:dyDescent="0.2">
      <c r="H995" s="6"/>
      <c r="R995" s="4"/>
      <c r="S995" s="4"/>
      <c r="T995" s="4"/>
      <c r="U995" s="4"/>
      <c r="V995" s="4"/>
      <c r="W995" s="4"/>
      <c r="X995" s="4"/>
      <c r="Y995" s="4"/>
      <c r="Z995" s="4"/>
      <c r="AA995" s="4"/>
      <c r="AB995" s="4"/>
    </row>
    <row r="996" spans="1:28" ht="12.75" x14ac:dyDescent="0.2">
      <c r="R996" s="4"/>
      <c r="S996" s="4"/>
      <c r="T996" s="4"/>
      <c r="U996" s="4"/>
      <c r="V996" s="4"/>
      <c r="W996" s="4"/>
      <c r="X996" s="4"/>
      <c r="Y996" s="4"/>
      <c r="Z996" s="4"/>
      <c r="AA996" s="4"/>
      <c r="AB996" s="4"/>
    </row>
    <row r="997" spans="1:28" ht="12.75" x14ac:dyDescent="0.2">
      <c r="R997" s="4"/>
      <c r="S997" s="4"/>
      <c r="T997" s="4"/>
      <c r="U997" s="4"/>
      <c r="V997" s="4"/>
      <c r="W997" s="4"/>
      <c r="X997" s="4"/>
      <c r="Y997" s="4"/>
      <c r="Z997" s="4"/>
      <c r="AA997" s="4"/>
      <c r="AB997" s="4"/>
    </row>
    <row r="998" spans="1:28" ht="12.75" x14ac:dyDescent="0.2">
      <c r="R998" s="4"/>
      <c r="S998" s="4"/>
      <c r="T998" s="4"/>
      <c r="U998" s="4"/>
      <c r="V998" s="4"/>
      <c r="W998" s="4"/>
      <c r="X998" s="4"/>
      <c r="Y998" s="4"/>
      <c r="Z998" s="4"/>
      <c r="AA998" s="4"/>
      <c r="AB998" s="4"/>
    </row>
    <row r="999" spans="1:28" ht="12.75" x14ac:dyDescent="0.2">
      <c r="R999" s="4"/>
      <c r="S999" s="4"/>
      <c r="T999" s="4"/>
      <c r="U999" s="4"/>
      <c r="V999" s="4"/>
      <c r="W999" s="4"/>
      <c r="X999" s="4"/>
      <c r="Y999" s="4"/>
      <c r="Z999" s="4"/>
      <c r="AA999" s="4"/>
      <c r="AB999" s="4"/>
    </row>
  </sheetData>
  <mergeCells count="28">
    <mergeCell ref="C1:E1"/>
    <mergeCell ref="G1:H1"/>
    <mergeCell ref="J1:K1"/>
    <mergeCell ref="L1:N4"/>
    <mergeCell ref="C2:E2"/>
    <mergeCell ref="G2:H2"/>
    <mergeCell ref="C3:E3"/>
    <mergeCell ref="G3:H3"/>
    <mergeCell ref="A51:A57"/>
    <mergeCell ref="A44:A50"/>
    <mergeCell ref="A72:A78"/>
    <mergeCell ref="A79:A85"/>
    <mergeCell ref="A86:A92"/>
    <mergeCell ref="A65:A71"/>
    <mergeCell ref="G4:H4"/>
    <mergeCell ref="E6:M6"/>
    <mergeCell ref="A9:A15"/>
    <mergeCell ref="A16:A22"/>
    <mergeCell ref="A37:A43"/>
    <mergeCell ref="A30:A36"/>
    <mergeCell ref="A23:A29"/>
    <mergeCell ref="A58:A64"/>
    <mergeCell ref="A107:A113"/>
    <mergeCell ref="A100:A106"/>
    <mergeCell ref="A93:A99"/>
    <mergeCell ref="A128:A134"/>
    <mergeCell ref="A121:A127"/>
    <mergeCell ref="A114:A120"/>
  </mergeCells>
  <pageMargins left="0.7" right="0.7" top="0.75" bottom="0.75" header="0.3" footer="0.3"/>
  <pageSetup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J3" sqref="J3"/>
    </sheetView>
  </sheetViews>
  <sheetFormatPr defaultRowHeight="12.75" x14ac:dyDescent="0.2"/>
  <cols>
    <col min="12" max="12" width="17.85546875" customWidth="1"/>
  </cols>
  <sheetData>
    <row r="1" spans="1:12" x14ac:dyDescent="0.2">
      <c r="C1" s="887" t="s">
        <v>333</v>
      </c>
      <c r="D1" s="888"/>
      <c r="G1" s="887" t="s">
        <v>479</v>
      </c>
      <c r="H1" s="888"/>
      <c r="I1" s="33"/>
    </row>
    <row r="2" spans="1:12" x14ac:dyDescent="0.2">
      <c r="B2" s="825" t="s">
        <v>331</v>
      </c>
      <c r="C2" s="825" t="s">
        <v>448</v>
      </c>
      <c r="D2" s="825" t="s">
        <v>332</v>
      </c>
      <c r="E2" s="825" t="s">
        <v>478</v>
      </c>
      <c r="F2" s="825"/>
      <c r="G2" s="825" t="s">
        <v>448</v>
      </c>
      <c r="H2" s="825" t="s">
        <v>332</v>
      </c>
      <c r="I2" s="825" t="s">
        <v>478</v>
      </c>
      <c r="K2" t="s">
        <v>445</v>
      </c>
      <c r="L2" t="s">
        <v>447</v>
      </c>
    </row>
    <row r="3" spans="1:12" x14ac:dyDescent="0.2">
      <c r="A3">
        <v>1</v>
      </c>
      <c r="B3">
        <v>18</v>
      </c>
      <c r="C3">
        <v>0.8</v>
      </c>
      <c r="D3">
        <v>0.8</v>
      </c>
      <c r="E3">
        <v>0.8</v>
      </c>
      <c r="G3">
        <f>C3*55</f>
        <v>44</v>
      </c>
      <c r="H3">
        <f t="shared" ref="H3:H19" si="0">D3*70</f>
        <v>56</v>
      </c>
      <c r="I3">
        <f>E3*80</f>
        <v>64</v>
      </c>
      <c r="K3">
        <f>'2Q - 80'!N15</f>
        <v>36.74</v>
      </c>
    </row>
    <row r="4" spans="1:12" x14ac:dyDescent="0.2">
      <c r="A4">
        <v>2</v>
      </c>
      <c r="B4">
        <v>17</v>
      </c>
      <c r="C4">
        <v>0.8</v>
      </c>
      <c r="D4">
        <v>0.8</v>
      </c>
      <c r="E4">
        <v>0.8</v>
      </c>
      <c r="G4">
        <f t="shared" ref="G4:G19" si="1">C4*55</f>
        <v>44</v>
      </c>
      <c r="H4">
        <f t="shared" si="0"/>
        <v>56</v>
      </c>
      <c r="I4">
        <f t="shared" ref="I4:I19" si="2">E4*80</f>
        <v>64</v>
      </c>
      <c r="K4">
        <f>'2Q - 80'!N22</f>
        <v>0</v>
      </c>
      <c r="L4" s="838">
        <f>(K4-K3)/((K4+K3)/2)*100</f>
        <v>-200</v>
      </c>
    </row>
    <row r="5" spans="1:12" x14ac:dyDescent="0.2">
      <c r="A5">
        <v>3</v>
      </c>
      <c r="B5">
        <v>16</v>
      </c>
      <c r="C5">
        <v>0.9</v>
      </c>
      <c r="D5">
        <v>0.9</v>
      </c>
      <c r="E5">
        <v>0.9</v>
      </c>
      <c r="G5">
        <f t="shared" si="1"/>
        <v>49.5</v>
      </c>
      <c r="H5">
        <f t="shared" si="0"/>
        <v>63</v>
      </c>
      <c r="I5">
        <f t="shared" si="2"/>
        <v>72</v>
      </c>
      <c r="K5">
        <f>'2Q - 80'!N29</f>
        <v>0</v>
      </c>
      <c r="L5" s="838" t="e">
        <f>(K5-K4)/((K5+K4)/2)*100</f>
        <v>#DIV/0!</v>
      </c>
    </row>
    <row r="6" spans="1:12" x14ac:dyDescent="0.2">
      <c r="A6">
        <v>4</v>
      </c>
      <c r="B6">
        <v>15</v>
      </c>
      <c r="C6">
        <v>0.9</v>
      </c>
      <c r="D6">
        <v>0.9</v>
      </c>
      <c r="E6">
        <v>0.9</v>
      </c>
      <c r="G6">
        <f t="shared" si="1"/>
        <v>49.5</v>
      </c>
      <c r="H6">
        <f t="shared" si="0"/>
        <v>63</v>
      </c>
      <c r="I6">
        <f t="shared" si="2"/>
        <v>72</v>
      </c>
      <c r="K6">
        <f>'2Q - 80'!N36</f>
        <v>0</v>
      </c>
      <c r="L6" s="838" t="e">
        <f>(K6-K5)/((K6+K5)/2)*100</f>
        <v>#DIV/0!</v>
      </c>
    </row>
    <row r="7" spans="1:12" x14ac:dyDescent="0.2">
      <c r="A7">
        <v>5</v>
      </c>
      <c r="B7">
        <v>14</v>
      </c>
      <c r="C7">
        <v>0.9</v>
      </c>
      <c r="D7">
        <v>0.9</v>
      </c>
      <c r="E7">
        <v>0.9</v>
      </c>
      <c r="G7">
        <f t="shared" si="1"/>
        <v>49.5</v>
      </c>
      <c r="H7">
        <f t="shared" si="0"/>
        <v>63</v>
      </c>
      <c r="I7">
        <f>E7*80</f>
        <v>72</v>
      </c>
      <c r="K7">
        <f>'2Q - 80'!N43</f>
        <v>0</v>
      </c>
      <c r="L7" s="838" t="e">
        <f>(K7-K6)/((K7+K6)/2)*100</f>
        <v>#DIV/0!</v>
      </c>
    </row>
    <row r="8" spans="1:12" x14ac:dyDescent="0.2">
      <c r="A8">
        <v>6</v>
      </c>
      <c r="B8">
        <v>13</v>
      </c>
      <c r="C8">
        <v>0.8</v>
      </c>
      <c r="D8">
        <v>0.8</v>
      </c>
      <c r="E8">
        <v>0.8</v>
      </c>
      <c r="G8">
        <f t="shared" si="1"/>
        <v>44</v>
      </c>
      <c r="H8">
        <f t="shared" si="0"/>
        <v>56</v>
      </c>
      <c r="I8">
        <f t="shared" si="2"/>
        <v>64</v>
      </c>
      <c r="K8">
        <f>'2Q - 80'!N50</f>
        <v>0</v>
      </c>
      <c r="L8" s="838" t="e">
        <f>(K8-K7)/((K8+K7)/2)*100</f>
        <v>#DIV/0!</v>
      </c>
    </row>
    <row r="9" spans="1:12" x14ac:dyDescent="0.2">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I1" workbookViewId="0">
      <selection activeCell="M37" sqref="M37"/>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89">
        <f>'Daniel''s Mileage'!G3 - ('Q Sessions'!D3+'Q Sessions'!D4)</f>
        <v>12</v>
      </c>
      <c r="I3" s="890">
        <v>18</v>
      </c>
      <c r="J3" s="825" t="s">
        <v>314</v>
      </c>
      <c r="K3" s="825" t="s">
        <v>390</v>
      </c>
      <c r="L3">
        <v>18</v>
      </c>
      <c r="M3" s="889">
        <f>'Daniel''s Mileage'!I3 -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89">
        <f>'Daniel''s Mileage'!G5 - ('Q Sessions'!D5+'Q Sessions'!D6)</f>
        <v>24.375</v>
      </c>
      <c r="I5" s="890">
        <v>17</v>
      </c>
      <c r="J5" s="825" t="s">
        <v>314</v>
      </c>
      <c r="K5" s="825" t="s">
        <v>392</v>
      </c>
      <c r="L5">
        <v>18</v>
      </c>
      <c r="M5" s="889">
        <f>'Daniel''s Mileage'!I4 -(L5+L6)</f>
        <v>31</v>
      </c>
    </row>
    <row r="6" spans="1:13" x14ac:dyDescent="0.2">
      <c r="A6" s="890"/>
      <c r="B6" s="825" t="s">
        <v>335</v>
      </c>
      <c r="C6" s="825" t="s">
        <v>354</v>
      </c>
      <c r="D6" s="838">
        <f>4+ (5*(1000/1600)) + (4*(400/1600)) +2</f>
        <v>10.125</v>
      </c>
      <c r="E6">
        <v>13</v>
      </c>
      <c r="F6" s="890"/>
      <c r="I6" s="890"/>
      <c r="J6" s="825" t="s">
        <v>335</v>
      </c>
      <c r="K6" s="825" t="s">
        <v>396</v>
      </c>
      <c r="L6">
        <v>15</v>
      </c>
      <c r="M6" s="889"/>
    </row>
    <row r="7" spans="1:13" x14ac:dyDescent="0.2">
      <c r="A7" s="890">
        <v>16</v>
      </c>
      <c r="B7" s="825" t="s">
        <v>314</v>
      </c>
      <c r="C7" s="825" t="s">
        <v>339</v>
      </c>
      <c r="D7" s="838">
        <v>16</v>
      </c>
      <c r="E7">
        <v>16</v>
      </c>
      <c r="F7" s="889">
        <f>'Daniel''s Mileage'!G7 - ('Q Sessions'!D7+'Q Sessions'!D8)</f>
        <v>20.5</v>
      </c>
      <c r="I7" s="890">
        <v>16</v>
      </c>
      <c r="J7" s="825" t="s">
        <v>314</v>
      </c>
      <c r="K7" s="825" t="s">
        <v>393</v>
      </c>
      <c r="L7">
        <v>18</v>
      </c>
      <c r="M7" s="889">
        <f>'Daniel''s Mileage'!I5 -(L7+L8)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89">
        <f>'Daniel''s Mileage'!G9 - ('Q Sessions'!D9+'Q Sessions'!D10)</f>
        <v>24.666666666666668</v>
      </c>
      <c r="I9" s="890">
        <v>15</v>
      </c>
      <c r="J9" s="825" t="s">
        <v>314</v>
      </c>
      <c r="K9" s="825" t="s">
        <v>395</v>
      </c>
      <c r="L9">
        <v>18</v>
      </c>
      <c r="M9" s="889">
        <f>'Daniel''s Mileage'!I6 -(L9+L10)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89">
        <f>'Daniel''s Mileage'!G11 - ('Q Sessions'!D11+'Q Sessions'!D12)</f>
        <v>19.75</v>
      </c>
      <c r="I11" s="890">
        <v>14</v>
      </c>
      <c r="J11" s="825" t="s">
        <v>314</v>
      </c>
      <c r="K11" s="825" t="s">
        <v>400</v>
      </c>
      <c r="L11">
        <v>18</v>
      </c>
      <c r="M11" s="889">
        <f>'Daniel''s Mileage'!I7 -(L11+L12)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89">
        <f>'Daniel''s Mileage'!G13 - ('Q Sessions'!D13+'Q Sessions'!D14)</f>
        <v>23.666666666666668</v>
      </c>
      <c r="I13" s="890">
        <v>13</v>
      </c>
      <c r="J13" s="825" t="s">
        <v>314</v>
      </c>
      <c r="K13" s="825" t="s">
        <v>397</v>
      </c>
      <c r="L13">
        <v>19</v>
      </c>
      <c r="M13" s="889">
        <f>'Daniel''s Mileage'!I8 -(L13+L14)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89">
        <f>'Daniel''s Mileage'!G15 - ('Q Sessions'!D15+'Q Sessions'!D16)</f>
        <v>24</v>
      </c>
      <c r="I15" s="890">
        <v>12</v>
      </c>
      <c r="J15" s="825" t="s">
        <v>314</v>
      </c>
      <c r="K15" s="825" t="s">
        <v>402</v>
      </c>
      <c r="L15">
        <v>19</v>
      </c>
      <c r="M15" s="889">
        <f>'Daniel''s Mileage'!I9 -(L15+L16)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89">
        <f>'Daniel''s Mileage'!G17 - ('Q Sessions'!D17+'Q Sessions'!D18)</f>
        <v>20.375</v>
      </c>
      <c r="I17" s="890">
        <v>11</v>
      </c>
      <c r="J17" s="825" t="s">
        <v>314</v>
      </c>
      <c r="K17" s="825" t="s">
        <v>404</v>
      </c>
      <c r="L17">
        <v>19</v>
      </c>
      <c r="M17" s="889">
        <f>'Daniel''s Mileage'!I10 -(L17+L18)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89">
        <f>'Daniel''s Mileage'!G19 - ('Q Sessions'!D19+'Q Sessions'!D20)</f>
        <v>10</v>
      </c>
      <c r="I19" s="890">
        <v>10</v>
      </c>
      <c r="J19" s="825" t="s">
        <v>314</v>
      </c>
      <c r="K19" s="825" t="s">
        <v>411</v>
      </c>
      <c r="L19">
        <v>20</v>
      </c>
      <c r="M19" s="889">
        <f>'Daniel''s Mileage'!I11 -(L19+L20)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89">
        <f>'Daniel''s Mileage'!G21 - ('Q Sessions'!D21+'Q Sessions'!D22)</f>
        <v>-31</v>
      </c>
      <c r="I21" s="890">
        <v>9</v>
      </c>
      <c r="J21" s="825" t="s">
        <v>314</v>
      </c>
      <c r="K21" s="825" t="s">
        <v>407</v>
      </c>
      <c r="L21">
        <v>18</v>
      </c>
      <c r="M21" s="889">
        <f>'Daniel''s Mileage'!I12 -(L21+L22)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89">
        <f>'Daniel''s Mileage'!G23 - ('Q Sessions'!D23+'Q Sessions'!D24)</f>
        <v>-30.321428571428569</v>
      </c>
      <c r="I23" s="890">
        <v>8</v>
      </c>
      <c r="J23" s="825" t="s">
        <v>314</v>
      </c>
      <c r="K23" s="825" t="s">
        <v>409</v>
      </c>
      <c r="L23">
        <v>18</v>
      </c>
      <c r="M23" s="889">
        <f>'Daniel''s Mileage'!I13 -(L23+L24)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89">
        <f>'Daniel''s Mileage'!G25 - ('Q Sessions'!D25+'Q Sessions'!D26)</f>
        <v>-36</v>
      </c>
      <c r="I25" s="890">
        <v>7</v>
      </c>
      <c r="J25" s="825" t="s">
        <v>314</v>
      </c>
      <c r="K25" s="825" t="s">
        <v>411</v>
      </c>
      <c r="L25">
        <v>20</v>
      </c>
      <c r="M25" s="889">
        <f>'Daniel''s Mileage'!I14 -(L25+L26)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89">
        <f>'Daniel''s Mileage'!G27 - ('Q Sessions'!D27+'Q Sessions'!D28)</f>
        <v>-33.333333333333329</v>
      </c>
      <c r="I27" s="890">
        <v>6</v>
      </c>
      <c r="J27" s="825" t="s">
        <v>314</v>
      </c>
      <c r="K27" s="825" t="s">
        <v>413</v>
      </c>
      <c r="L27">
        <v>18</v>
      </c>
      <c r="M27" s="889">
        <f>'Daniel''s Mileage'!I15 -(L27+L28)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89">
        <f>'Daniel''s Mileage'!G29 - ('Q Sessions'!D29+'Q Sessions'!D30)</f>
        <v>-29.875</v>
      </c>
      <c r="I29" s="890">
        <v>5</v>
      </c>
      <c r="J29" s="825" t="s">
        <v>314</v>
      </c>
      <c r="K29" s="825" t="s">
        <v>415</v>
      </c>
      <c r="L29">
        <v>16</v>
      </c>
      <c r="M29" s="889">
        <f>'Daniel''s Mileage'!I16 -(L29+L30)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89">
        <f>'Daniel''s Mileage'!G31 - ('Q Sessions'!D31+'Q Sessions'!D32)</f>
        <v>-33.125</v>
      </c>
      <c r="I31" s="890">
        <v>4</v>
      </c>
      <c r="J31" s="825" t="s">
        <v>314</v>
      </c>
      <c r="K31" s="825" t="s">
        <v>393</v>
      </c>
      <c r="L31">
        <v>18</v>
      </c>
      <c r="M31" s="889">
        <f>'Daniel''s Mileage'!I17 -(L31+L32)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89">
        <f>'Daniel''s Mileage'!G33 - ('Q Sessions'!D33+'Q Sessions'!D34)</f>
        <v>-29</v>
      </c>
      <c r="I33" s="890">
        <v>3</v>
      </c>
      <c r="J33" s="825" t="s">
        <v>314</v>
      </c>
      <c r="K33" s="825" t="s">
        <v>418</v>
      </c>
      <c r="L33">
        <v>18</v>
      </c>
      <c r="M33" s="889">
        <f>'Daniel''s Mileage'!I18 -(L33+L34)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89">
        <f>'Daniel''s Mileage'!G35 - ('Q Sessions'!D35+'Q Sessions'!D36)</f>
        <v>-26</v>
      </c>
      <c r="I35" s="890">
        <v>2</v>
      </c>
      <c r="J35" s="825" t="s">
        <v>314</v>
      </c>
      <c r="K35" s="825" t="s">
        <v>419</v>
      </c>
      <c r="L35">
        <v>16</v>
      </c>
      <c r="M35" s="889">
        <f>'Daniel''s Mileage'!I19 -(L35+L36)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2" workbookViewId="0">
      <selection activeCell="W9" sqref="W9"/>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5" thickBot="1" x14ac:dyDescent="0.25">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5" thickBot="1" x14ac:dyDescent="0.25">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25" thickTop="1" thickBot="1" x14ac:dyDescent="0.25">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77.26%</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2.4039351851851853E-2</v>
      </c>
      <c r="H6" s="65"/>
      <c r="I6" s="1193">
        <f>IF(AND($E$6&gt;0,$G$6&gt;0),(-4.6 + 0.182258 * (F8/G6/1440) + 0.000104 *(F8/G6/1440)^2)/D9,1)</f>
        <v>61.522215640700502</v>
      </c>
      <c r="J6" s="1194"/>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09">
        <f>IF($G$6&gt;0,0.8+0.1894393 * EXP(-0.012778*G6*1440)+0.2989558* EXP(-0.1932605*G6*1440),0)</f>
        <v>0.92209332497414398</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25" thickTop="1" thickBot="1" x14ac:dyDescent="0.25">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7"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5" thickBot="1" x14ac:dyDescent="0.25">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5" thickBot="1" x14ac:dyDescent="0.25">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25" thickTop="1" thickBot="1" x14ac:dyDescent="0.25">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1214" t="s">
        <v>92</v>
      </c>
      <c r="N27" s="1215"/>
      <c r="O27" s="1215"/>
      <c r="P27" s="1215"/>
      <c r="Q27" s="1215"/>
      <c r="R27" s="240"/>
      <c r="U27" s="6"/>
      <c r="V27" s="6"/>
      <c r="Y27" s="33"/>
    </row>
    <row r="28" spans="2:27" ht="14.25" thickTop="1" thickBot="1" x14ac:dyDescent="0.25">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5" thickBot="1" x14ac:dyDescent="0.25">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5" thickBot="1" x14ac:dyDescent="0.25">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5" thickBot="1" x14ac:dyDescent="0.25">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5" thickBot="1" x14ac:dyDescent="0.25">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5" thickBot="1" x14ac:dyDescent="0.25">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5" thickBot="1" x14ac:dyDescent="0.25">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25" thickTop="1" thickBot="1" x14ac:dyDescent="0.25">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1216" t="s">
        <v>106</v>
      </c>
      <c r="N42" s="1217"/>
      <c r="O42" s="1217"/>
      <c r="P42" s="1217"/>
      <c r="Q42" s="1217"/>
      <c r="R42" s="1218"/>
      <c r="V42" s="298"/>
      <c r="W42" s="4"/>
    </row>
    <row r="43" spans="2:28" ht="13.5" thickBot="1" x14ac:dyDescent="0.25">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1219" t="s">
        <v>107</v>
      </c>
      <c r="N43" s="1220"/>
      <c r="O43" s="1220"/>
      <c r="P43" s="1220" t="s">
        <v>108</v>
      </c>
      <c r="Q43" s="1220"/>
      <c r="R43" s="1221"/>
    </row>
    <row r="44" spans="2:28" ht="13.5" thickBot="1" x14ac:dyDescent="0.25">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1200" t="s">
        <v>109</v>
      </c>
      <c r="N44" s="1201"/>
      <c r="O44" s="1201"/>
      <c r="P44" s="1201" t="s">
        <v>110</v>
      </c>
      <c r="Q44" s="1201"/>
      <c r="R44" s="1202"/>
    </row>
    <row r="45" spans="2:28" ht="13.5" thickBot="1" x14ac:dyDescent="0.25">
      <c r="B45" s="1203" t="s">
        <v>111</v>
      </c>
      <c r="C45" s="1204"/>
      <c r="D45" s="1204"/>
      <c r="E45" s="1204"/>
      <c r="F45" s="1204"/>
      <c r="G45" s="1204"/>
      <c r="H45" s="1204"/>
      <c r="I45" s="1204"/>
      <c r="J45" s="1204"/>
      <c r="K45" s="1204"/>
      <c r="L45" s="1204"/>
      <c r="M45" s="1204"/>
      <c r="N45" s="1204"/>
      <c r="O45" s="1204"/>
      <c r="P45" s="1204"/>
      <c r="Q45" s="1204"/>
      <c r="R45" s="120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8" t="s">
        <v>112</v>
      </c>
      <c r="X46" s="878"/>
    </row>
    <row r="47" spans="2:28" ht="14.25" thickTop="1" thickBot="1" x14ac:dyDescent="0.25">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5" thickBot="1" x14ac:dyDescent="0.25">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1" t="s">
        <v>132</v>
      </c>
      <c r="D52" s="1171"/>
      <c r="E52" s="1171"/>
      <c r="F52" s="1171"/>
      <c r="G52" s="1171"/>
      <c r="H52" s="1171"/>
      <c r="I52" s="1171"/>
      <c r="J52" s="1171"/>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5" thickBot="1" x14ac:dyDescent="0.25">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
      <c r="B54" s="1158" t="str">
        <f>IF($L$52,"Pace / km","Pace / mile")</f>
        <v>Pace / mile</v>
      </c>
      <c r="C54" s="115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5" thickBot="1" x14ac:dyDescent="0.25">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5" thickBot="1" x14ac:dyDescent="0.25">
      <c r="B57" s="1168" t="s">
        <v>143</v>
      </c>
      <c r="C57" s="1169"/>
      <c r="D57" s="1169"/>
      <c r="E57" s="1169"/>
      <c r="F57" s="1169"/>
      <c r="G57" s="1169" t="s">
        <v>144</v>
      </c>
      <c r="H57" s="1169"/>
      <c r="I57" s="1169"/>
      <c r="J57" s="1169"/>
      <c r="K57" s="1169"/>
      <c r="L57" s="117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5" thickBot="1" x14ac:dyDescent="0.25">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5" thickBot="1" x14ac:dyDescent="0.25">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
      <c r="B60" s="1148">
        <f>B61-(IF(L58,1000,1609.344)/400) * TIME(0,0,6)</f>
        <v>2.1136921503280112E-3</v>
      </c>
      <c r="C60" s="114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5" thickBot="1" x14ac:dyDescent="0.25">
      <c r="B61" s="1150">
        <f>IF(AND($E$6&gt;0,$G$6&gt;0),(1/(29.54 + 5.000663 * ($I$6*0.98) - 0.007546 * ($I$6*0.98)^2)*IF($L$58,1000,1609.344)/1440),"-")</f>
        <v>2.2873032614391222E-3</v>
      </c>
      <c r="C61" s="115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5" thickBot="1" x14ac:dyDescent="0.25">
      <c r="B62" s="1152">
        <f>IF(AND($E$6&gt;0,$G$6&gt;0),(1/(29.54 + 5.000663 * ($I$6*0.88) - 0.007546 * ($I$6*0.88)^2)*IF($L$58,1000,1609.344)/1440),"-")</f>
        <v>2.4966039334112667E-3</v>
      </c>
      <c r="C62" s="115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5" thickTop="1" x14ac:dyDescent="0.2">
      <c r="B63" s="1154">
        <f>IF($L$58, R15,R14)</f>
        <v>2.1543769160467831E-3</v>
      </c>
      <c r="C63" s="115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
      <c r="B64" s="1137">
        <f>IF($L$58, P15,P14)</f>
        <v>2.3060087674508984E-3</v>
      </c>
      <c r="C64" s="1138"/>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5" thickBot="1" x14ac:dyDescent="0.25">
      <c r="B65" s="1139">
        <f>IF($L$58,N15,N14)</f>
        <v>2.4039351842669978E-3</v>
      </c>
      <c r="C65" s="1140"/>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5" thickBot="1" x14ac:dyDescent="0.25">
      <c r="B66" s="1141" t="s">
        <v>152</v>
      </c>
      <c r="C66" s="1142"/>
      <c r="D66" s="1142"/>
      <c r="E66" s="1142"/>
      <c r="F66" s="1142"/>
      <c r="G66" s="1142"/>
      <c r="H66" s="1142"/>
      <c r="I66" s="1142"/>
      <c r="J66" s="1142"/>
      <c r="K66" s="1142"/>
      <c r="L66" s="1143"/>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5" thickBot="1" x14ac:dyDescent="0.25">
      <c r="B68" s="1144" t="s">
        <v>156</v>
      </c>
      <c r="C68" s="1145"/>
      <c r="D68" s="1145"/>
      <c r="E68" s="1145"/>
      <c r="F68" s="1122" t="s">
        <v>157</v>
      </c>
      <c r="G68" s="1122"/>
      <c r="H68" s="1122"/>
      <c r="I68" s="1122"/>
      <c r="J68" s="1122"/>
      <c r="K68" s="1146"/>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5" thickBot="1" x14ac:dyDescent="0.25">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5" thickBot="1" x14ac:dyDescent="0.25">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5" thickBot="1" x14ac:dyDescent="0.25">
      <c r="B71" s="1110" t="str">
        <f>IF($L$68,"Pace / km","Pace / mile")</f>
        <v>Pace / mile</v>
      </c>
      <c r="C71" s="1111"/>
      <c r="D71" s="1112"/>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133" t="s">
        <v>181</v>
      </c>
      <c r="R71" s="1134"/>
    </row>
    <row r="72" spans="2:28" ht="14.25" thickTop="1" thickBot="1" x14ac:dyDescent="0.25">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5" thickBot="1" x14ac:dyDescent="0.25">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2.4039351851851853E-2</v>
      </c>
      <c r="P74" s="460"/>
      <c r="Q74" s="461" t="s">
        <v>185</v>
      </c>
      <c r="R74" s="462">
        <f>IF(R72="No","No Std",LOOKUP($D$8,$S$50:$S$69,IF($C$4,$T$50:$T$69,$U$50:$U$69)))</f>
        <v>1.8553240740740742E-2</v>
      </c>
      <c r="T74" s="458"/>
      <c r="U74" s="458"/>
      <c r="V74" s="33"/>
      <c r="W74" s="33"/>
    </row>
    <row r="75" spans="2:28" ht="13.5" thickBot="1" x14ac:dyDescent="0.25">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3.8687586666666671E-3</v>
      </c>
      <c r="P76" s="1108" t="s">
        <v>195</v>
      </c>
      <c r="Q76" s="1109"/>
      <c r="R76" s="471">
        <f ca="1">IF($O$85="Yes",$E$5,"Birthdate?")</f>
        <v>31</v>
      </c>
      <c r="T76" s="458"/>
      <c r="U76" s="458"/>
      <c r="V76" s="33"/>
      <c r="W76" s="33"/>
    </row>
    <row r="77" spans="2:28" ht="13.5" thickBot="1" x14ac:dyDescent="0.25">
      <c r="B77" s="1110" t="str">
        <f>IF($L$74,"Zone Pace / km","Zone Pace / mile")</f>
        <v>Zone Pace / mile</v>
      </c>
      <c r="C77" s="1111"/>
      <c r="D77" s="1111"/>
      <c r="E77" s="1112"/>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100" t="s">
        <v>196</v>
      </c>
      <c r="N77" s="1101"/>
      <c r="O77" s="473" t="s">
        <v>101</v>
      </c>
      <c r="P77" s="1108" t="s">
        <v>197</v>
      </c>
      <c r="Q77" s="1113"/>
      <c r="R77" s="474">
        <f>IF(AND($C$2&gt;0,$C$3&gt;0),IF($B$4,$C$3 / ($C$2/100)^2,$C$3 / $C$2^2*703),"Wght / Hght?")</f>
        <v>22.313033128347552</v>
      </c>
      <c r="T77" s="458"/>
      <c r="U77" s="458"/>
      <c r="V77" s="33"/>
      <c r="W77" s="33"/>
    </row>
    <row r="78" spans="2:28" ht="13.5" thickBot="1" x14ac:dyDescent="0.25">
      <c r="B78" s="475" t="s">
        <v>198</v>
      </c>
      <c r="C78" s="476">
        <f>IF($E$3&lt;&gt;"",$E$3*0.9,"")</f>
        <v>180.9</v>
      </c>
      <c r="D78" s="1093" t="b">
        <v>0</v>
      </c>
      <c r="E78" s="1094"/>
      <c r="F78" s="477">
        <v>157</v>
      </c>
      <c r="G78" s="478"/>
      <c r="H78" s="479" t="s">
        <v>199</v>
      </c>
      <c r="I78" s="480">
        <f>+L6</f>
        <v>4.017894560611821E-3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5" thickBot="1" x14ac:dyDescent="0.25">
      <c r="B79" s="483"/>
      <c r="M79" s="484"/>
      <c r="N79" s="24"/>
      <c r="O79" s="485"/>
      <c r="P79" s="1100" t="s">
        <v>201</v>
      </c>
      <c r="Q79" s="1101"/>
      <c r="R79" s="486">
        <f>IF(AND($C$2&gt;0,$P$80&gt;0),IF($B$4,$P$80 / ($C$2/100)^2,$P$80 / $C$2^2*703),"")</f>
        <v>18.498158078143003</v>
      </c>
      <c r="T79" s="458"/>
      <c r="U79" s="458"/>
      <c r="V79" s="33"/>
      <c r="W79" s="33"/>
    </row>
    <row r="80" spans="2:28" ht="13.5" thickBot="1" x14ac:dyDescent="0.25">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25" thickTop="1" thickBot="1" x14ac:dyDescent="0.25">
      <c r="B82" s="1082" t="s">
        <v>203</v>
      </c>
      <c r="C82" s="1083"/>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84" t="s">
        <v>204</v>
      </c>
      <c r="N82" s="1085"/>
      <c r="O82" s="495">
        <v>25</v>
      </c>
      <c r="P82" s="925" t="s">
        <v>205</v>
      </c>
      <c r="Q82" s="926"/>
      <c r="R82" s="928"/>
    </row>
    <row r="83" spans="2:23" ht="13.5" thickTop="1" x14ac:dyDescent="0.2">
      <c r="B83" s="1086" t="str">
        <f>IF($L$80,"Adj Pace / km","Adj Pace / mile")</f>
        <v>Adj Pace / mile</v>
      </c>
      <c r="C83" s="1087"/>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88" t="s">
        <v>206</v>
      </c>
      <c r="N83" s="1089"/>
      <c r="O83" s="499">
        <f ca="1">ABS(IF($O$85="yes",$O$74-$O$84,0))</f>
        <v>2.4199614197532165E-5</v>
      </c>
      <c r="P83" s="1090" t="s">
        <v>207</v>
      </c>
      <c r="Q83" s="1091"/>
      <c r="R83" s="1092"/>
      <c r="T83" s="500"/>
    </row>
    <row r="84" spans="2:23" ht="13.5" thickBot="1" x14ac:dyDescent="0.25">
      <c r="B84" s="1067" t="str">
        <f>IF($L$80,"Drop in Seconds / km","Drop in Seconds / mile")</f>
        <v>Drop in Seconds / mile</v>
      </c>
      <c r="C84" s="1068"/>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69" t="str">
        <f>IF(M100,"Age Grade Equivalent","No Age Grading")</f>
        <v>Age Grade Equivalent</v>
      </c>
      <c r="N84" s="1070"/>
      <c r="O84" s="503">
        <f ca="1">IF(AND($O$85="yes",$M$100),($O$74*LOOKUP($E$5,$AD$135:$AD$230,IF($C$4,$AE$135:$AE$230,$AF$135:$AF$230))/LOOKUP($O$82,$AD$135:$AD$230,IF($Q$49,$AE$135:$AE$230,$AF$135:$AF$230))),O74)</f>
        <v>2.4015152237654321E-2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3">
        <f>ROUND((-4.6 + 0.182258 * ((P85*IF(R86,1000,1))/Q85/1440*(IF(R86,1,1609.344))) + 0.000104 *((P85*IF(R86,1000,1))/Q85/1440*(IF(R86,1,1609.344)))^2)/R85,1)</f>
        <v>83.3</v>
      </c>
      <c r="Q86" s="1074"/>
      <c r="R86" s="520" t="b">
        <v>0</v>
      </c>
    </row>
    <row r="87" spans="2:23" ht="14.25" thickTop="1" thickBot="1" x14ac:dyDescent="0.25">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5" thickBot="1" x14ac:dyDescent="0.25">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3.4610580970427136E-3</v>
      </c>
      <c r="P88" s="1016" t="s">
        <v>213</v>
      </c>
      <c r="Q88" s="1017"/>
      <c r="R88" s="1018"/>
    </row>
    <row r="89" spans="2:23" ht="14.25" thickTop="1" thickBot="1" x14ac:dyDescent="0.25">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5" thickBot="1" x14ac:dyDescent="0.25">
      <c r="B90" s="1065" t="s">
        <v>216</v>
      </c>
      <c r="C90" s="1066"/>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062"/>
      <c r="P90" s="512">
        <v>26.218800000000002</v>
      </c>
      <c r="Q90" s="513">
        <v>0.17318287037037036</v>
      </c>
      <c r="R90" s="540">
        <f>Q90/P90</f>
        <v>6.6052935439596915E-3</v>
      </c>
    </row>
    <row r="91" spans="2:23" ht="13.5" thickBot="1" x14ac:dyDescent="0.25">
      <c r="B91" s="1039" t="s">
        <v>217</v>
      </c>
      <c r="C91" s="1040"/>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41" t="str">
        <f>IF(M101,"Weight Adjusted Time","No Weight Grading")</f>
        <v>Weight Adjusted Time</v>
      </c>
      <c r="N91" s="1042"/>
      <c r="O91" s="545">
        <f ca="1">IF(AND($N$89&gt;0,$N$90&gt;0,$N$90&lt;&gt;"",$M$101),$O$84*(IF(N89&gt;=MIN(D98,F100,C3),$N$89,MIN(F100,D98,C3))/C3)^$I$93,O84)</f>
        <v>2.0554094140611608E-2</v>
      </c>
      <c r="P91" s="546" t="s">
        <v>218</v>
      </c>
      <c r="Q91" s="547" t="s">
        <v>99</v>
      </c>
      <c r="R91" s="548" t="s">
        <v>101</v>
      </c>
    </row>
    <row r="92" spans="2:23" ht="13.5" thickBot="1" x14ac:dyDescent="0.25">
      <c r="B92" s="1043" t="str">
        <f>IF($L$88,"Est Pace / km","Est Pace / mile")</f>
        <v>Est Pace / mile</v>
      </c>
      <c r="C92" s="1044"/>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5" thickBot="1" x14ac:dyDescent="0.25">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25" thickTop="1" thickBot="1" x14ac:dyDescent="0.25">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5" thickBot="1" x14ac:dyDescent="0.25">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2.1220183886575341E-2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25" thickTop="1" thickBot="1" x14ac:dyDescent="0.25">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5" thickBot="1" x14ac:dyDescent="0.25">
      <c r="B100" s="119"/>
      <c r="C100" s="593"/>
      <c r="D100" s="593"/>
      <c r="E100" s="593"/>
      <c r="F100" s="594">
        <v>144.92499999999998</v>
      </c>
      <c r="G100" s="993" t="s">
        <v>240</v>
      </c>
      <c r="H100" s="994"/>
      <c r="I100" s="995" t="s">
        <v>241</v>
      </c>
      <c r="J100" s="996"/>
      <c r="K100" s="995" t="s">
        <v>242</v>
      </c>
      <c r="L100" s="997"/>
      <c r="M100" s="998" t="b">
        <v>1</v>
      </c>
      <c r="N100" s="999" t="b">
        <v>1</v>
      </c>
      <c r="O100" s="569">
        <f ca="1">$O$83</f>
        <v>2.4199614197532165E-5</v>
      </c>
      <c r="P100" s="595">
        <v>0.7</v>
      </c>
      <c r="Q100" s="1000">
        <f>IF($C$8=4,(P100/(1+$C$9)-0.37182)/0.6463,IF($C$8=3,1.303*P100/(1+$C$9)-0.345,IF($C$8=2,1.3*P100/(1+$C$9)-0.293,(P100/(1+$C$9)-0.1578)/0.855)))</f>
        <v>0.6341520467836258</v>
      </c>
      <c r="R100" s="1001"/>
    </row>
    <row r="101" spans="2:21" x14ac:dyDescent="0.2">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3.4610580970427136E-3</v>
      </c>
      <c r="P101" s="546" t="s">
        <v>243</v>
      </c>
      <c r="Q101" s="1014" t="s">
        <v>239</v>
      </c>
      <c r="R101" s="1015"/>
      <c r="U101" s="592"/>
    </row>
    <row r="102" spans="2:21" ht="13.5" thickBot="1" x14ac:dyDescent="0.25">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6.6608974596373417E-4</v>
      </c>
      <c r="P102" s="596">
        <v>0.57499999999999996</v>
      </c>
      <c r="Q102" s="985">
        <f>IF($C$8=4,((P102/$E$3*($E$3-$E$4)+E$4/$E$3)/(1+$C$9)-0.37182)/0.6463,IF($C$8=3,1.303*(P102/$E$3*($E$3-$E$4)+E$4/$E$3)/(1+$C$9) - 0.345,IF($C$8=2,(1.3*(P102/$E$3*($E$3-$E$4)+E$4/$E$3)/(1+$C$9)-0.293),((P102/$E$3*($E$3-$E$4)+E$4/$E$3)/(1+$C$9)-0.1578)/0.855)))</f>
        <v>0.62149602862878595</v>
      </c>
      <c r="R102" s="986"/>
    </row>
    <row r="103" spans="2:21" ht="13.5" thickBot="1" x14ac:dyDescent="0.25">
      <c r="B103" s="483"/>
      <c r="I103" s="597"/>
      <c r="J103" s="597"/>
      <c r="M103" s="962" t="s">
        <v>244</v>
      </c>
      <c r="N103" s="963"/>
      <c r="O103" s="598">
        <f ca="1">$O$74+IF(O84&lt;O74,-$O$100,$O$100)+IF($N$89&lt;$M$88,-$O$101,$O$101)+IF($M$97,$O$102,-$O$102)</f>
        <v>2.1220183886575341E-2</v>
      </c>
      <c r="P103" s="964" t="str">
        <f>"HR Profile "&amp;IF(AND(C8&gt;=1,C8&lt;=4),C8,1)</f>
        <v>HR Profile 1</v>
      </c>
      <c r="Q103" s="965"/>
      <c r="R103" s="966"/>
    </row>
    <row r="104" spans="2:21" ht="13.5" thickBot="1" x14ac:dyDescent="0.25">
      <c r="B104" s="967" t="s">
        <v>245</v>
      </c>
      <c r="C104" s="968"/>
      <c r="D104" s="968"/>
      <c r="E104" s="968"/>
      <c r="F104" s="599" t="str">
        <f>E6</f>
        <v>10k</v>
      </c>
      <c r="G104" s="969">
        <f>$F$8</f>
        <v>10000</v>
      </c>
      <c r="H104" s="969"/>
      <c r="I104" s="970">
        <f>$G$6*1440</f>
        <v>34.616666666666667</v>
      </c>
      <c r="J104" s="970"/>
      <c r="K104" s="971">
        <f>G104/I104</f>
        <v>288.87818969667791</v>
      </c>
      <c r="L104" s="972"/>
      <c r="M104" s="973" t="str">
        <f>E6&amp;IF($L$80," Pace / km"," Pace / mile")</f>
        <v>10k Pace / mile</v>
      </c>
      <c r="N104" s="974"/>
      <c r="O104" s="600">
        <f ca="1">O103/IF(L80,F8/1000,D8)</f>
        <v>3.4150575616756708E-3</v>
      </c>
      <c r="P104" s="919" t="s">
        <v>246</v>
      </c>
      <c r="Q104" s="920"/>
      <c r="R104" s="921"/>
    </row>
    <row r="105" spans="2:21" ht="14.25" thickTop="1" thickBot="1" x14ac:dyDescent="0.25">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4.537011049909963E-4</v>
      </c>
      <c r="P105" s="606">
        <v>3.1</v>
      </c>
      <c r="Q105" s="991">
        <f>P105*1.609344</f>
        <v>4.9889664000000007</v>
      </c>
      <c r="R105" s="992"/>
    </row>
    <row r="106" spans="2:21" x14ac:dyDescent="0.2">
      <c r="B106" s="952" t="str">
        <f>"Entry Weight &amp; VDOT"</f>
        <v>Entry Weight &amp; VDOT</v>
      </c>
      <c r="C106" s="953"/>
      <c r="D106" s="954"/>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955">
        <f>P106/1.609344/60</f>
        <v>4.3150777238703747E-3</v>
      </c>
      <c r="R106" s="956"/>
    </row>
    <row r="107" spans="2:21" ht="13.5" thickBot="1" x14ac:dyDescent="0.25">
      <c r="B107" s="957" t="s">
        <v>249</v>
      </c>
      <c r="C107" s="958"/>
      <c r="D107" s="959"/>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960">
        <f>P107*0.45359237</f>
        <v>58.967008100000001</v>
      </c>
      <c r="R107" s="961"/>
    </row>
    <row r="108" spans="2:21" ht="13.5" thickBot="1" x14ac:dyDescent="0.25">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5" thickBot="1" x14ac:dyDescent="0.25">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5" thickBot="1" x14ac:dyDescent="0.25">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25" thickTop="1" thickBot="1" x14ac:dyDescent="0.25">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5" thickBot="1" x14ac:dyDescent="0.25">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5" thickBot="1" x14ac:dyDescent="0.25">
      <c r="B113" s="667" t="s">
        <v>53</v>
      </c>
      <c r="C113" s="668">
        <v>170</v>
      </c>
      <c r="D113" s="669" t="s">
        <v>255</v>
      </c>
      <c r="E113" s="668">
        <v>50</v>
      </c>
      <c r="F113" s="669" t="s">
        <v>256</v>
      </c>
      <c r="G113" s="668">
        <v>149</v>
      </c>
      <c r="H113" s="670" t="s">
        <v>17</v>
      </c>
      <c r="I113" s="671">
        <v>0.33124999999999999</v>
      </c>
      <c r="J113" s="937" t="str">
        <f>"vVO2max  =  "&amp;TEXT(I113*(G113-E113)/(C113-E113),"h:mm")</f>
        <v>vVO2max  =  6:33</v>
      </c>
      <c r="K113" s="938"/>
      <c r="L113" s="939"/>
      <c r="N113" s="625"/>
      <c r="O113" s="625"/>
      <c r="P113" s="672">
        <v>188</v>
      </c>
      <c r="Q113" s="940">
        <f>P113*0.393700787</f>
        <v>74.015747955999998</v>
      </c>
      <c r="R113" s="941"/>
    </row>
    <row r="114" spans="2:34" ht="13.5" thickBot="1" x14ac:dyDescent="0.25">
      <c r="B114" s="673"/>
      <c r="C114" s="674"/>
      <c r="D114" s="674"/>
      <c r="E114" s="674"/>
      <c r="F114" s="674"/>
      <c r="G114" s="674"/>
      <c r="H114" s="674"/>
      <c r="I114" s="674"/>
      <c r="J114" s="674"/>
      <c r="K114" s="674"/>
      <c r="L114" s="675"/>
      <c r="N114" s="625"/>
      <c r="O114" s="625"/>
      <c r="P114" s="924" t="s">
        <v>257</v>
      </c>
      <c r="Q114" s="920"/>
      <c r="R114" s="921"/>
    </row>
    <row r="115" spans="2:34" ht="14.25" thickTop="1" thickBot="1" x14ac:dyDescent="0.25">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5" thickBot="1" x14ac:dyDescent="0.25">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5" thickBot="1" x14ac:dyDescent="0.25">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09" t="s">
        <v>290</v>
      </c>
      <c r="X131" s="910"/>
      <c r="Y131" s="910"/>
      <c r="Z131" s="910"/>
      <c r="AA131" s="910"/>
      <c r="AB131" s="910"/>
      <c r="AC131" s="910"/>
      <c r="AD131" s="910"/>
      <c r="AE131" s="910"/>
      <c r="AF131" s="910"/>
      <c r="AG131" s="91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2" t="s">
        <v>291</v>
      </c>
      <c r="AE133" s="913"/>
      <c r="AF133" s="91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5" thickBot="1" x14ac:dyDescent="0.25">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5" t="s">
        <v>203</v>
      </c>
      <c r="X234" s="896"/>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5" thickBot="1" x14ac:dyDescent="0.25">
      <c r="W235" s="33"/>
    </row>
    <row r="236" spans="17:33" ht="13.5" thickBot="1" x14ac:dyDescent="0.25">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5" thickBot="1" x14ac:dyDescent="0.25">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5" t="s">
        <v>203</v>
      </c>
      <c r="X238" s="896"/>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5" thickBot="1" x14ac:dyDescent="0.25"/>
    <row r="240" spans="17:33" ht="13.5" thickBot="1" x14ac:dyDescent="0.25">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5" thickBot="1" x14ac:dyDescent="0.25">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5" t="s">
        <v>203</v>
      </c>
      <c r="X242" s="896"/>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5" thickBot="1" x14ac:dyDescent="0.25"/>
    <row r="244" spans="23:33" ht="13.5" thickBot="1" x14ac:dyDescent="0.25">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5" thickBot="1" x14ac:dyDescent="0.25">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5" t="s">
        <v>203</v>
      </c>
      <c r="X246" s="896"/>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5" thickBot="1" x14ac:dyDescent="0.25"/>
    <row r="248" spans="23:33" ht="13.5" thickBot="1" x14ac:dyDescent="0.25">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5" thickBot="1" x14ac:dyDescent="0.25">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5" t="s">
        <v>203</v>
      </c>
      <c r="X250" s="896"/>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
      <c r="W252" t="s">
        <v>309</v>
      </c>
      <c r="AF252" s="892" t="s">
        <v>310</v>
      </c>
      <c r="AG252" s="892"/>
    </row>
    <row r="253" spans="23:33" x14ac:dyDescent="0.2">
      <c r="Y253" s="892" t="s">
        <v>311</v>
      </c>
      <c r="Z253" s="892"/>
      <c r="AA253" s="892" t="s">
        <v>312</v>
      </c>
      <c r="AB253" s="892"/>
      <c r="AE253" s="805" t="s">
        <v>313</v>
      </c>
      <c r="AF253" s="806">
        <f>0.0015437*IF($L$80,($N$95*9/5)+32,$N$95)-0.09108933</f>
        <v>3.2406670000000012E-2</v>
      </c>
      <c r="AG253" s="807">
        <f ca="1">IF($M$102,MAX(AF253*$O$91,0),0)</f>
        <v>6.6608974596373417E-4</v>
      </c>
    </row>
    <row r="254" spans="23:33" x14ac:dyDescent="0.2">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2" t="s">
        <v>324</v>
      </c>
      <c r="AG261" s="892"/>
    </row>
    <row r="262" spans="23:33" x14ac:dyDescent="0.2">
      <c r="W262" t="s">
        <v>325</v>
      </c>
      <c r="X262" s="33"/>
      <c r="Z262" t="s">
        <v>326</v>
      </c>
      <c r="AA262" s="33"/>
      <c r="AE262" s="805" t="s">
        <v>313</v>
      </c>
      <c r="AF262" s="806">
        <f>X263*IF($L$80,(($N$95*9/5)+32)^2,$N$95^2) +(X264*IF($L$80,(($N$95*9/5)+32),$N$95)) + X265</f>
        <v>0.15757841435455355</v>
      </c>
      <c r="AG262" s="807">
        <f ca="1">IF($M$102,MAX(AF262*$O$91,0),0)</f>
        <v>3.2388815631717973E-3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2025-06-13T22:28:28Z</cp:lastPrinted>
  <dcterms:created xsi:type="dcterms:W3CDTF">2023-06-02T14:14:53Z</dcterms:created>
  <dcterms:modified xsi:type="dcterms:W3CDTF">2025-06-13T22:29:01Z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