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BF4ACF78-ADCE-49D2-9E83-F008E0B983FE}" xr6:coauthVersionLast="47" xr6:coauthVersionMax="47" xr10:uidLastSave="{00000000-0000-0000-0000-000000000000}"/>
  <bookViews>
    <workbookView xWindow="2460" yWindow="1560" windowWidth="21600" windowHeight="13425"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8" i="9" l="1"/>
  <c r="J88" i="9"/>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90" i="9"/>
  <c r="AB90" i="9" s="1"/>
  <c r="AA91" i="9"/>
  <c r="AB91" i="9" s="1"/>
  <c r="AA92" i="9"/>
  <c r="AB92" i="9" s="1"/>
  <c r="AA93" i="9"/>
  <c r="AB93" i="9"/>
  <c r="AA94" i="9"/>
  <c r="AB94" i="9"/>
  <c r="AA95" i="9"/>
  <c r="AB95" i="9" s="1"/>
  <c r="AA96" i="9"/>
  <c r="AB96" i="9"/>
  <c r="AA97" i="9"/>
  <c r="AB97" i="9" s="1"/>
  <c r="AA98" i="9"/>
  <c r="AB98" i="9" s="1"/>
  <c r="AA99" i="9"/>
  <c r="AB99" i="9" s="1"/>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D111" i="9" s="1"/>
  <c r="AC126" i="9"/>
  <c r="AC125" i="9"/>
  <c r="AC103" i="9"/>
  <c r="AC116" i="9"/>
  <c r="AC135" i="9"/>
  <c r="AC112" i="9"/>
  <c r="AC133" i="9"/>
  <c r="AC102" i="9"/>
  <c r="AD108" i="9" s="1"/>
  <c r="AC101" i="9"/>
  <c r="AC121" i="9"/>
  <c r="AC120" i="9"/>
  <c r="AC107" i="9"/>
  <c r="AC109" i="9"/>
  <c r="AC119" i="9"/>
  <c r="AC100" i="9"/>
  <c r="AC108" i="9"/>
  <c r="AC106" i="9"/>
  <c r="AC111" i="9"/>
  <c r="AC110" i="9"/>
  <c r="AC128" i="9"/>
  <c r="AC118" i="9"/>
  <c r="AC134" i="9"/>
  <c r="AC132" i="9"/>
  <c r="AC122" i="9"/>
  <c r="AC99" i="9"/>
  <c r="AC130" i="9"/>
  <c r="AC117" i="9"/>
  <c r="AC97" i="9"/>
  <c r="AC131" i="9"/>
  <c r="AC127" i="9"/>
  <c r="AC98" i="9"/>
  <c r="AC96" i="9"/>
  <c r="AC104"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10" i="9" l="1"/>
  <c r="AD106" i="9"/>
  <c r="AD102" i="9"/>
  <c r="AD103" i="9"/>
  <c r="AD104" i="9"/>
  <c r="AD105" i="9"/>
  <c r="AD107" i="9"/>
  <c r="AD109" i="9"/>
  <c r="AE113" i="9"/>
  <c r="AE106" i="9"/>
  <c r="AE99" i="9"/>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AA86" i="9" s="1"/>
  <c r="AB86" i="9" s="1"/>
  <c r="Z106" i="9"/>
  <c r="Z95" i="9"/>
  <c r="Z18" i="9"/>
  <c r="AA18" i="9" s="1"/>
  <c r="AB18" i="9" s="1"/>
  <c r="AC24" i="9" s="1"/>
  <c r="Z68" i="9"/>
  <c r="AA68" i="9" s="1"/>
  <c r="AB68" i="9" s="1"/>
  <c r="Z97" i="9"/>
  <c r="Z125" i="9"/>
  <c r="Z85" i="9"/>
  <c r="AA85" i="9" s="1"/>
  <c r="AB85" i="9" s="1"/>
  <c r="Z64" i="9"/>
  <c r="AA64" i="9" s="1"/>
  <c r="AB64" i="9" s="1"/>
  <c r="Z88" i="9"/>
  <c r="AA88" i="9" s="1"/>
  <c r="AB88" i="9" s="1"/>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Z132" i="9"/>
  <c r="Z111" i="9"/>
  <c r="Z11" i="9"/>
  <c r="AA11" i="9" s="1"/>
  <c r="AB11" i="9" s="1"/>
  <c r="AC17" i="9" s="1"/>
  <c r="Z89" i="9"/>
  <c r="AA89" i="9" s="1"/>
  <c r="AB89" i="9" s="1"/>
  <c r="AC95" i="9" s="1"/>
  <c r="AD101" i="9" s="1"/>
  <c r="Z105" i="9"/>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Z44" i="9"/>
  <c r="AA44" i="9" s="1"/>
  <c r="AB44" i="9" s="1"/>
  <c r="Z47" i="9"/>
  <c r="AA47" i="9" s="1"/>
  <c r="AB47" i="9" s="1"/>
  <c r="Z114" i="9"/>
  <c r="Z55" i="9"/>
  <c r="AA55" i="9" s="1"/>
  <c r="AB55" i="9" s="1"/>
  <c r="Z76" i="9"/>
  <c r="AA76" i="9" s="1"/>
  <c r="AB76" i="9" s="1"/>
  <c r="Z41" i="9"/>
  <c r="AA41" i="9" s="1"/>
  <c r="AB41" i="9" s="1"/>
  <c r="Z43" i="9"/>
  <c r="AA43" i="9" s="1"/>
  <c r="AB43" i="9" s="1"/>
  <c r="Z104" i="9"/>
  <c r="Z90" i="9"/>
  <c r="Z62" i="9"/>
  <c r="AA62" i="9" s="1"/>
  <c r="AB62" i="9" s="1"/>
  <c r="Z24" i="9"/>
  <c r="AA24" i="9" s="1"/>
  <c r="AB24" i="9" s="1"/>
  <c r="Z57" i="9"/>
  <c r="AA57" i="9" s="1"/>
  <c r="AB57" i="9" s="1"/>
  <c r="Z103" i="9"/>
  <c r="Z72" i="9"/>
  <c r="AA72" i="9" s="1"/>
  <c r="AB72" i="9" s="1"/>
  <c r="Z91" i="9"/>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94" i="9" l="1"/>
  <c r="AD100" i="9" s="1"/>
  <c r="AC93" i="9"/>
  <c r="AD99" i="9" s="1"/>
  <c r="AC91" i="9"/>
  <c r="AC92" i="9"/>
  <c r="AD97" i="9" s="1"/>
  <c r="AC90" i="9"/>
  <c r="AD98" i="9"/>
  <c r="AE92" i="9"/>
  <c r="AD96" i="9"/>
  <c r="AC88" i="9"/>
  <c r="AC89" i="9"/>
  <c r="AD95" i="9" s="1"/>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93" i="9" l="1"/>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<sst xmlns="http://schemas.openxmlformats.org/spreadsheetml/2006/main" count="1246" uniqueCount="504">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</sst>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34.510000000000005</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62.760000000000005</c:v>
                </c:pt>
                <c:pt idx="83">
                  <c:v>52.540000000000006</c:v>
                </c:pt>
                <c:pt idx="84">
                  <c:v>34.510000000000005</c:v>
                </c:pt>
                <c:pt idx="85">
                  <c:v>26.31</c:v>
                </c:pt>
                <c:pt idx="86">
                  <c:v>20.29</c:v>
                </c:pt>
                <c:pt idx="87">
                  <c:v>8.5500000000000007</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68.498571428571424</c:v>
                </c:pt>
                <c:pt idx="83" formatCode="0">
                  <c:v>68.03857142857143</c:v>
                </c:pt>
                <c:pt idx="84" formatCode="0">
                  <c:v>62.427142857142861</c:v>
                </c:pt>
                <c:pt idx="85" formatCode="0">
                  <c:v>55.144285714285715</c:v>
                </c:pt>
                <c:pt idx="86" formatCode="0">
                  <c:v>47.664285714285718</c:v>
                </c:pt>
                <c:pt idx="87" formatCode="0">
                  <c:v>39.120000000000005</c:v>
                </c:pt>
                <c:pt idx="88" formatCode="0">
                  <c:v>29.28</c:v>
                </c:pt>
                <c:pt idx="89" formatCode="0">
                  <c:v>20.314285714285717</c:v>
                </c:pt>
                <c:pt idx="90" formatCode="0">
                  <c:v>12.80857142857143</c:v>
                </c:pt>
                <c:pt idx="91" formatCode="0">
                  <c:v>7.8785714285714272</c:v>
                </c:pt>
                <c:pt idx="92" formatCode="0">
                  <c:v>4.12</c:v>
                </c:pt>
                <c:pt idx="93" formatCode="0">
                  <c:v>1.2214285714285715</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62.760000000000005</c:v>
                      </c:pt>
                      <c:pt idx="83">
                        <c:v>52.540000000000006</c:v>
                      </c:pt>
                      <c:pt idx="84">
                        <c:v>34.510000000000005</c:v>
                      </c:pt>
                      <c:pt idx="85">
                        <c:v>26.31</c:v>
                      </c:pt>
                      <c:pt idx="86">
                        <c:v>20.29</c:v>
                      </c:pt>
                      <c:pt idx="87">
                        <c:v>8.5500000000000007</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103.48728333333332</c:v>
                </c:pt>
                <c:pt idx="73">
                  <c:v>101.53348333333334</c:v>
                </c:pt>
                <c:pt idx="74">
                  <c:v>97.161350000000013</c:v>
                </c:pt>
                <c:pt idx="75">
                  <c:v>100.05167500000002</c:v>
                </c:pt>
                <c:pt idx="76">
                  <c:v>94.524275000000017</c:v>
                </c:pt>
                <c:pt idx="77">
                  <c:v>85.31387500000001</c:v>
                </c:pt>
                <c:pt idx="78">
                  <c:v>46.378875000000001</c:v>
                </c:pt>
                <c:pt idx="79">
                  <c:v>39.718875000000004</c:v>
                </c:pt>
                <c:pt idx="80">
                  <c:v>30.676925000000004</c:v>
                </c:pt>
                <c:pt idx="81">
                  <c:v>10.151925</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62.760000000000005</c:v>
                </c:pt>
                <c:pt idx="83">
                  <c:v>52.540000000000006</c:v>
                </c:pt>
                <c:pt idx="84">
                  <c:v>34.510000000000005</c:v>
                </c:pt>
                <c:pt idx="85">
                  <c:v>26.31</c:v>
                </c:pt>
                <c:pt idx="86">
                  <c:v>20.29</c:v>
                </c:pt>
                <c:pt idx="87">
                  <c:v>8.5500000000000007</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103.48728333333332</c:v>
                </c:pt>
                <c:pt idx="79" formatCode="0.0">
                  <c:v>101.53348333333334</c:v>
                </c:pt>
                <c:pt idx="80" formatCode="0.0">
                  <c:v>97.161350000000013</c:v>
                </c:pt>
                <c:pt idx="81" formatCode="0.0">
                  <c:v>100.05167500000002</c:v>
                </c:pt>
                <c:pt idx="82" formatCode="0.0">
                  <c:v>94.524275000000017</c:v>
                </c:pt>
                <c:pt idx="83" formatCode="0.0">
                  <c:v>85.31387500000001</c:v>
                </c:pt>
                <c:pt idx="84" formatCode="0.0">
                  <c:v>46.378875000000001</c:v>
                </c:pt>
                <c:pt idx="85" formatCode="0.0">
                  <c:v>39.718875000000004</c:v>
                </c:pt>
                <c:pt idx="86" formatCode="0.0">
                  <c:v>30.676925000000004</c:v>
                </c:pt>
                <c:pt idx="87" formatCode="0.0">
                  <c:v>10.151925</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80" activePane="bottomLeft" state="frozen"/>
      <selection pane="bottomLeft" activeCell="G90" sqref="G90"/>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8" t="s">
        <v>1</v>
      </c>
      <c r="D1" s="879"/>
      <c r="E1" s="880"/>
      <c r="F1" s="3" t="s">
        <v>382</v>
      </c>
      <c r="G1" s="873" t="s">
        <v>460</v>
      </c>
      <c r="H1" s="873"/>
      <c r="I1" s="23" t="s">
        <v>2</v>
      </c>
      <c r="J1" s="873" t="s">
        <v>462</v>
      </c>
      <c r="K1" s="873"/>
      <c r="L1" s="881"/>
      <c r="M1" s="879"/>
      <c r="N1" s="880"/>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5" t="s">
        <v>5</v>
      </c>
      <c r="D2" s="877"/>
      <c r="E2" s="882"/>
      <c r="F2" s="7" t="s">
        <v>33</v>
      </c>
      <c r="G2" s="873" t="s">
        <v>457</v>
      </c>
      <c r="H2" s="873"/>
      <c r="I2" s="6"/>
      <c r="J2" s="4"/>
      <c r="L2" s="877"/>
      <c r="M2" s="877"/>
      <c r="N2" s="882"/>
      <c r="O2" s="16"/>
      <c r="P2" s="8"/>
      <c r="Q2" s="9"/>
      <c r="R2" s="4"/>
      <c r="S2" s="4"/>
      <c r="T2" s="4"/>
      <c r="U2" s="4"/>
      <c r="V2" s="4"/>
      <c r="W2" s="4"/>
      <c r="X2" s="4"/>
      <c r="Y2" s="4"/>
      <c r="Z2" s="4"/>
      <c r="AA2" s="4"/>
      <c r="AB2" s="4"/>
      <c r="AC2" s="4"/>
    </row>
    <row r="3" spans="1:35" ht="15.75" customHeight="1" x14ac:dyDescent="0.2">
      <c r="A3" s="10" t="s">
        <v>6</v>
      </c>
      <c r="B3" s="11">
        <v>45942</v>
      </c>
      <c r="C3" s="886" t="s">
        <v>7</v>
      </c>
      <c r="D3" s="883"/>
      <c r="E3" s="884"/>
      <c r="F3" s="7" t="s">
        <v>34</v>
      </c>
      <c r="G3" s="873" t="s">
        <v>458</v>
      </c>
      <c r="H3" s="873"/>
      <c r="I3" s="6"/>
      <c r="J3" s="4" t="s">
        <v>123</v>
      </c>
      <c r="K3" s="781">
        <f>'Daniel''s Tables'!$I$6</f>
        <v>61.766335932854794</v>
      </c>
      <c r="L3" s="877"/>
      <c r="M3" s="877"/>
      <c r="N3" s="882"/>
      <c r="O3" s="16"/>
      <c r="P3" s="6"/>
      <c r="Q3" s="4"/>
      <c r="R3" s="4"/>
      <c r="S3" s="4"/>
      <c r="T3" s="4"/>
      <c r="U3" s="4"/>
      <c r="V3" s="4"/>
      <c r="W3" s="4"/>
      <c r="X3" s="4"/>
      <c r="Y3" s="4"/>
      <c r="Z3" s="4"/>
      <c r="AA3" s="4"/>
      <c r="AB3" s="4"/>
      <c r="AC3" s="4"/>
    </row>
    <row r="4" spans="1:35" ht="15.75" customHeight="1" x14ac:dyDescent="0.2">
      <c r="A4" s="16"/>
      <c r="B4" s="6"/>
      <c r="C4" s="6"/>
      <c r="D4" s="6"/>
      <c r="E4" s="4"/>
      <c r="F4" s="12" t="s">
        <v>383</v>
      </c>
      <c r="G4" s="887" t="s">
        <v>461</v>
      </c>
      <c r="H4" s="887"/>
      <c r="I4" s="13"/>
      <c r="J4" s="850"/>
      <c r="K4" s="851"/>
      <c r="L4" s="883"/>
      <c r="M4" s="883"/>
      <c r="N4" s="884"/>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
      <c r="A15" s="87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
      <c r="A16" s="87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
      <c r="A17" s="87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
      <c r="A18" s="87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
      <c r="A19" s="87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
      <c r="A20" s="87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
      <c r="A21" s="87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
      <c r="A22" s="87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
      <c r="A23" s="87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
      <c r="A24" s="87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
      <c r="A25" s="87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
      <c r="A26" s="87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
      <c r="A27" s="87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
      <c r="A28" s="87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
      <c r="A29" s="87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
      <c r="A30" s="87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
      <c r="A31" s="87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
      <c r="A32" s="87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
      <c r="A33" s="87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
      <c r="A34" s="87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
      <c r="A35" s="87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
      <c r="A36" s="87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
      <c r="A37" s="87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
      <c r="A38" s="87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
      <c r="A39" s="87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
      <c r="A40" s="87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
      <c r="A41" s="87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
      <c r="A42" s="87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
      <c r="A43" s="87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
      <c r="A44" s="87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
      <c r="A45" s="87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
      <c r="A46" s="87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
      <c r="A47" s="87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
      <c r="A48" s="87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
      <c r="A49" s="87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
      <c r="A50" s="87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
      <c r="A51" s="87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
      <c r="A52" s="87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
      <c r="A53" s="87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
      <c r="A54" s="87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
      <c r="A55" s="87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
      <c r="A56" s="87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
      <c r="A57" s="87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
      <c r="A58" s="87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
      <c r="A59" s="87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
      <c r="A60" s="87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
      <c r="A61" s="87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
      <c r="A62" s="87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
      <c r="A63" s="87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
      <c r="A64" s="87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
      <c r="A65" s="87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
      <c r="A66" s="87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
      <c r="A67" s="87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
      <c r="A68" s="87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
      <c r="A69" s="87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
      <c r="A70" s="87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
      <c r="A71" s="87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
      <c r="A72" s="87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
      <c r="A73" s="87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
      <c r="A74" s="87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
      <c r="A75" s="87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
      <c r="A76" s="87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
      <c r="A77" s="87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
      <c r="A78" s="87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
      <c r="A79" s="87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
      <c r="A80" s="87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
      <c r="A81" s="87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
      <c r="A82" s="87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
      <c r="A83" s="87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
      <c r="A84" s="874"/>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
      <c r="A85" s="874"/>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
      <c r="A86" s="875"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0.57632123324660423</v>
      </c>
      <c r="AA86" s="4">
        <f>IF(H86*G86,LOOKUP(Z86,'Daniel''s Tables'!$Z$135:$Z$214,'Daniel''s Tables'!$AB$135:$AB$214),0)</f>
        <v>0.1</v>
      </c>
      <c r="AB86" s="869">
        <f t="shared" si="22"/>
        <v>6.66</v>
      </c>
      <c r="AC86" s="871">
        <f t="shared" si="16"/>
        <v>103.48728333333332</v>
      </c>
      <c r="AD86" s="838">
        <f t="shared" si="17"/>
        <v>79.135197619047631</v>
      </c>
      <c r="AE86" s="838"/>
    </row>
    <row r="87" spans="1:31" ht="15.75" customHeight="1" x14ac:dyDescent="0.2">
      <c r="A87" s="875"/>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0.6687712370843093</v>
      </c>
      <c r="AA87" s="4">
        <f>IF(H87*G87,LOOKUP(Z87,'Daniel''s Tables'!$Z$135:$Z$214,'Daniel''s Tables'!$AB$135:$AB$214),0)</f>
        <v>0.20850000000000002</v>
      </c>
      <c r="AB87" s="869">
        <f t="shared" si="22"/>
        <v>9.0419500000000017</v>
      </c>
      <c r="AC87" s="871">
        <f t="shared" si="16"/>
        <v>101.53348333333334</v>
      </c>
      <c r="AD87" s="838">
        <f t="shared" si="17"/>
        <v>82.500859523809524</v>
      </c>
      <c r="AE87" s="838"/>
    </row>
    <row r="88" spans="1:31" ht="15.75" customHeight="1" x14ac:dyDescent="0.2">
      <c r="A88" s="875"/>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0.693758590253441</v>
      </c>
      <c r="AA88" s="4">
        <f>IF(H88*G88,LOOKUP(Z88,'Daniel''s Tables'!$Z$135:$Z$214,'Daniel''s Tables'!$AB$135:$AB$214),0)</f>
        <v>0.25</v>
      </c>
      <c r="AB88" s="869">
        <f t="shared" si="22"/>
        <v>20.525000000000002</v>
      </c>
      <c r="AC88" s="871">
        <f t="shared" si="16"/>
        <v>97.161350000000013</v>
      </c>
      <c r="AD88" s="838">
        <f t="shared" si="17"/>
        <v>82.82893571428572</v>
      </c>
      <c r="AE88" s="838"/>
    </row>
    <row r="89" spans="1:31" ht="15.75" customHeight="1" x14ac:dyDescent="0.2">
      <c r="A89" s="875"/>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0.63714953112580963</v>
      </c>
      <c r="AA89" s="4">
        <f>IF(H89*G89,LOOKUP(Z89,'Daniel''s Tables'!$Z$135:$Z$214,'Daniel''s Tables'!$AB$135:$AB$214),0)</f>
        <v>0.1585</v>
      </c>
      <c r="AB89" s="869">
        <f t="shared" si="22"/>
        <v>10.151925</v>
      </c>
      <c r="AC89" s="871">
        <f t="shared" si="16"/>
        <v>100.05167500000002</v>
      </c>
      <c r="AD89" s="838">
        <f t="shared" si="17"/>
        <v>88.975510714285718</v>
      </c>
      <c r="AE89" s="838"/>
    </row>
    <row r="90" spans="1:31" ht="15.75" customHeight="1" x14ac:dyDescent="0.2">
      <c r="A90" s="875"/>
      <c r="B90" s="6">
        <v>45</v>
      </c>
      <c r="C90" s="17">
        <f t="shared" si="0"/>
        <v>45897</v>
      </c>
      <c r="D90" s="6" t="s">
        <v>27</v>
      </c>
      <c r="E90" s="4" t="s">
        <v>412</v>
      </c>
      <c r="F90" s="6">
        <v>15</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4.0526620370370372</v>
      </c>
      <c r="Q90" s="865"/>
      <c r="R90" s="4"/>
      <c r="S90" s="4"/>
      <c r="T90" s="16">
        <f t="shared" si="15"/>
        <v>62.760000000000005</v>
      </c>
      <c r="U90" s="868">
        <f t="shared" si="18"/>
        <v>68.498571428571424</v>
      </c>
      <c r="V90" s="4">
        <v>70</v>
      </c>
      <c r="W90" s="4">
        <f t="shared" si="19"/>
        <v>71</v>
      </c>
      <c r="X90" s="868">
        <f t="shared" si="20"/>
        <v>70.428571428571431</v>
      </c>
      <c r="Y90" s="4"/>
      <c r="Z90" s="869" t="e">
        <f t="shared" si="21"/>
        <v>#DIV/0!</v>
      </c>
      <c r="AA90" s="4">
        <f>IF(H90*G90,LOOKUP(Z90,'Daniel''s Tables'!$Z$135:$Z$214,'Daniel''s Tables'!$AB$135:$AB$214),0)</f>
        <v>0</v>
      </c>
      <c r="AB90" s="869">
        <f t="shared" si="22"/>
        <v>0</v>
      </c>
      <c r="AC90" s="871">
        <f t="shared" si="16"/>
        <v>94.524275000000017</v>
      </c>
      <c r="AD90" s="838">
        <f t="shared" si="17"/>
        <v>94.146328571428583</v>
      </c>
      <c r="AE90" s="838"/>
    </row>
    <row r="91" spans="1:31" ht="15.75" customHeight="1" x14ac:dyDescent="0.2">
      <c r="A91" s="87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0.17785879629629631</v>
      </c>
      <c r="O91" s="16"/>
      <c r="P91" s="863">
        <f>N92+P84</f>
        <v>787.1099999999999</v>
      </c>
      <c r="Q91" s="866"/>
      <c r="R91" s="4"/>
      <c r="S91" s="6"/>
      <c r="T91" s="16">
        <f t="shared" si="15"/>
        <v>52.540000000000006</v>
      </c>
      <c r="U91" s="868">
        <f t="shared" si="18"/>
        <v>68.03857142857143</v>
      </c>
      <c r="V91" s="4">
        <v>70</v>
      </c>
      <c r="W91" s="4">
        <f t="shared" si="19"/>
        <v>69</v>
      </c>
      <c r="X91" s="868">
        <f t="shared" si="20"/>
        <v>71.142857142857139</v>
      </c>
      <c r="Y91" s="4"/>
      <c r="Z91" s="869" t="e">
        <f t="shared" si="21"/>
        <v>#DIV/0!</v>
      </c>
      <c r="AA91" s="4">
        <f>IF(H91*G91,LOOKUP(Z91,'Daniel''s Tables'!$Z$135:$Z$214,'Daniel''s Tables'!$AB$135:$AB$214),0)</f>
        <v>0</v>
      </c>
      <c r="AB91" s="869">
        <f t="shared" si="22"/>
        <v>0</v>
      </c>
      <c r="AC91" s="871">
        <f t="shared" si="16"/>
        <v>85.31387500000001</v>
      </c>
      <c r="AD91" s="838">
        <f t="shared" si="17"/>
        <v>97.524651190476206</v>
      </c>
      <c r="AE91" s="838"/>
    </row>
    <row r="92" spans="1:31" ht="15.75" customHeight="1" x14ac:dyDescent="0.2">
      <c r="A92" s="875"/>
      <c r="B92" s="6">
        <v>43</v>
      </c>
      <c r="C92" s="17">
        <f t="shared" si="0"/>
        <v>45899</v>
      </c>
      <c r="D92" s="6" t="s">
        <v>30</v>
      </c>
      <c r="E92" s="4" t="s">
        <v>411</v>
      </c>
      <c r="F92" s="6">
        <v>20</v>
      </c>
      <c r="G92" s="6"/>
      <c r="H92" s="29"/>
      <c r="I92" s="6" t="str">
        <f t="shared" si="14"/>
        <v>0:00</v>
      </c>
      <c r="J92" s="29"/>
      <c r="K92" s="6"/>
      <c r="L92" s="6" t="str">
        <f t="shared" si="2"/>
        <v>0:00</v>
      </c>
      <c r="M92" s="4">
        <f>SUM(F86:F92)</f>
        <v>71</v>
      </c>
      <c r="N92" s="6">
        <f>SUM(G86:G92)</f>
        <v>34.510000000000005</v>
      </c>
      <c r="O92" s="16"/>
      <c r="P92" s="863">
        <f>M92+P85</f>
        <v>867</v>
      </c>
      <c r="Q92" s="862">
        <f>P91/P92</f>
        <v>0.90785467128027675</v>
      </c>
      <c r="R92" s="4"/>
      <c r="S92" s="6"/>
      <c r="T92" s="16">
        <f t="shared" si="15"/>
        <v>34.510000000000005</v>
      </c>
      <c r="U92" s="868">
        <f t="shared" si="18"/>
        <v>62.427142857142861</v>
      </c>
      <c r="V92" s="4">
        <v>70</v>
      </c>
      <c r="W92" s="4">
        <f t="shared" si="19"/>
        <v>71</v>
      </c>
      <c r="X92" s="868">
        <f t="shared" si="20"/>
        <v>70.714285714285708</v>
      </c>
      <c r="Y92" s="4"/>
      <c r="Z92" s="869" t="e">
        <f t="shared" si="21"/>
        <v>#DIV/0!</v>
      </c>
      <c r="AA92" s="4">
        <f>IF(H92*G92,LOOKUP(Z92,'Daniel''s Tables'!$Z$135:$Z$214,'Daniel''s Tables'!$AB$135:$AB$214),0)</f>
        <v>0</v>
      </c>
      <c r="AB92" s="869">
        <f t="shared" si="22"/>
        <v>0</v>
      </c>
      <c r="AC92" s="871">
        <f t="shared" si="16"/>
        <v>46.378875000000001</v>
      </c>
      <c r="AD92" s="838">
        <f t="shared" si="17"/>
        <v>89.778688095238095</v>
      </c>
      <c r="AE92" s="838">
        <f>AC92</f>
        <v>46.378875000000001</v>
      </c>
    </row>
    <row r="93" spans="1:31" ht="15.75" customHeight="1" x14ac:dyDescent="0.2">
      <c r="A93" s="87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26.31</v>
      </c>
      <c r="U93" s="868">
        <f t="shared" si="18"/>
        <v>55.144285714285715</v>
      </c>
      <c r="V93" s="4">
        <v>70</v>
      </c>
      <c r="W93" s="4">
        <f t="shared" si="19"/>
        <v>71</v>
      </c>
      <c r="X93" s="868">
        <f t="shared" si="20"/>
        <v>70.142857142857139</v>
      </c>
      <c r="Y93" s="4"/>
      <c r="Z93" s="869" t="e">
        <f t="shared" si="21"/>
        <v>#DIV/0!</v>
      </c>
      <c r="AA93" s="4">
        <f>IF(H93*G93,LOOKUP(Z93,'Daniel''s Tables'!$Z$135:$Z$214,'Daniel''s Tables'!$AB$135:$AB$214),0)</f>
        <v>0</v>
      </c>
      <c r="AB93" s="869">
        <f t="shared" si="22"/>
        <v>0</v>
      </c>
      <c r="AC93" s="871">
        <f t="shared" si="16"/>
        <v>39.718875000000004</v>
      </c>
      <c r="AD93" s="838">
        <f t="shared" si="17"/>
        <v>80.668915476190492</v>
      </c>
      <c r="AE93" s="838"/>
    </row>
    <row r="94" spans="1:31" ht="15.75" customHeight="1" x14ac:dyDescent="0.2">
      <c r="A94" s="87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20.29</v>
      </c>
      <c r="U94" s="868">
        <f t="shared" si="18"/>
        <v>47.664285714285718</v>
      </c>
      <c r="V94" s="4">
        <v>70</v>
      </c>
      <c r="W94" s="4">
        <f t="shared" si="19"/>
        <v>73</v>
      </c>
      <c r="X94" s="868">
        <f t="shared" si="20"/>
        <v>69.857142857142861</v>
      </c>
      <c r="Y94" s="4"/>
      <c r="Z94" s="869" t="e">
        <f t="shared" si="21"/>
        <v>#DIV/0!</v>
      </c>
      <c r="AA94" s="4">
        <f>IF(H94*G94,LOOKUP(Z94,'Daniel''s Tables'!$Z$135:$Z$214,'Daniel''s Tables'!$AB$135:$AB$214),0)</f>
        <v>0</v>
      </c>
      <c r="AB94" s="869">
        <f t="shared" si="22"/>
        <v>0</v>
      </c>
      <c r="AC94" s="871">
        <f t="shared" si="16"/>
        <v>30.676925000000004</v>
      </c>
      <c r="AD94" s="838">
        <f t="shared" si="17"/>
        <v>70.546549999999996</v>
      </c>
      <c r="AE94" s="838"/>
    </row>
    <row r="95" spans="1:31" ht="15.75" customHeight="1" x14ac:dyDescent="0.2">
      <c r="A95" s="87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8.5500000000000007</v>
      </c>
      <c r="U95" s="868">
        <f t="shared" si="18"/>
        <v>39.120000000000005</v>
      </c>
      <c r="V95" s="4">
        <v>70</v>
      </c>
      <c r="W95" s="4">
        <f t="shared" si="19"/>
        <v>77</v>
      </c>
      <c r="X95" s="868">
        <f t="shared" si="20"/>
        <v>71.142857142857139</v>
      </c>
      <c r="Y95" s="4"/>
      <c r="Z95" s="869" t="e">
        <f t="shared" si="21"/>
        <v>#DIV/0!</v>
      </c>
      <c r="AA95" s="4">
        <f>IF(H95*G95,LOOKUP(Z95,'Daniel''s Tables'!$Z$135:$Z$214,'Daniel''s Tables'!$AB$135:$AB$214),0)</f>
        <v>0</v>
      </c>
      <c r="AB95" s="869">
        <f t="shared" si="22"/>
        <v>0</v>
      </c>
      <c r="AC95" s="871">
        <f t="shared" si="16"/>
        <v>10.151925</v>
      </c>
      <c r="AD95" s="838">
        <f t="shared" si="17"/>
        <v>58.116632142857149</v>
      </c>
      <c r="AE95" s="838"/>
    </row>
    <row r="96" spans="1:31" ht="15.75" customHeight="1" x14ac:dyDescent="0.2">
      <c r="A96" s="87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29.28</v>
      </c>
      <c r="V96" s="4">
        <v>70</v>
      </c>
      <c r="W96" s="4">
        <f t="shared" si="19"/>
        <v>82</v>
      </c>
      <c r="X96" s="868">
        <f t="shared" si="20"/>
        <v>73.428571428571431</v>
      </c>
      <c r="Y96" s="4"/>
      <c r="Z96" s="869" t="e">
        <f t="shared" si="21"/>
        <v>#DIV/0!</v>
      </c>
      <c r="AA96" s="4">
        <f>IF(H96*G96,LOOKUP(Z96,'Daniel''s Tables'!$Z$135:$Z$214,'Daniel''s Tables'!$AB$135:$AB$214),0)</f>
        <v>0</v>
      </c>
      <c r="AB96" s="869">
        <f t="shared" si="22"/>
        <v>0</v>
      </c>
      <c r="AC96" s="871">
        <f t="shared" si="16"/>
        <v>0</v>
      </c>
      <c r="AD96" s="838">
        <f t="shared" si="17"/>
        <v>43.823535714285718</v>
      </c>
      <c r="AE96" s="838"/>
    </row>
    <row r="97" spans="1:31" ht="15.75" customHeight="1" x14ac:dyDescent="0.2">
      <c r="A97" s="87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4.0526620370370372</v>
      </c>
      <c r="Q97" s="865"/>
      <c r="R97" s="4"/>
      <c r="S97" s="4"/>
      <c r="T97" s="16">
        <f t="shared" si="15"/>
        <v>0</v>
      </c>
      <c r="U97" s="868">
        <f t="shared" si="18"/>
        <v>20.314285714285717</v>
      </c>
      <c r="V97" s="4">
        <v>70</v>
      </c>
      <c r="W97" s="4">
        <f t="shared" si="19"/>
        <v>79</v>
      </c>
      <c r="X97" s="868">
        <f t="shared" si="20"/>
        <v>74.571428571428569</v>
      </c>
      <c r="Y97" s="4"/>
      <c r="Z97" s="869" t="e">
        <f t="shared" si="21"/>
        <v>#DIV/0!</v>
      </c>
      <c r="AA97" s="4">
        <f>IF(H97*G97,LOOKUP(Z97,'Daniel''s Tables'!$Z$135:$Z$214,'Daniel''s Tables'!$AB$135:$AB$214),0)</f>
        <v>0</v>
      </c>
      <c r="AB97" s="869">
        <f t="shared" si="22"/>
        <v>0</v>
      </c>
      <c r="AC97" s="871">
        <f t="shared" si="16"/>
        <v>0</v>
      </c>
      <c r="AD97" s="838">
        <f t="shared" si="17"/>
        <v>30.320067857142863</v>
      </c>
      <c r="AE97" s="838"/>
    </row>
    <row r="98" spans="1:31" ht="15.75" customHeight="1" x14ac:dyDescent="0.2">
      <c r="A98" s="87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787.1099999999999</v>
      </c>
      <c r="Q98" s="866"/>
      <c r="R98" s="4"/>
      <c r="S98" s="4"/>
      <c r="T98" s="16">
        <f t="shared" si="15"/>
        <v>0</v>
      </c>
      <c r="U98" s="868">
        <f t="shared" si="18"/>
        <v>12.80857142857143</v>
      </c>
      <c r="V98" s="4">
        <v>70</v>
      </c>
      <c r="W98" s="4">
        <f t="shared" si="19"/>
        <v>82</v>
      </c>
      <c r="X98" s="868">
        <f t="shared" si="20"/>
        <v>76.428571428571431</v>
      </c>
      <c r="Y98" s="4"/>
      <c r="Z98" s="869" t="e">
        <f t="shared" si="21"/>
        <v>#DIV/0!</v>
      </c>
      <c r="AA98" s="4">
        <f>IF(H98*G98,LOOKUP(Z98,'Daniel''s Tables'!$Z$135:$Z$214,'Daniel''s Tables'!$AB$135:$AB$214),0)</f>
        <v>0</v>
      </c>
      <c r="AB98" s="869">
        <f t="shared" si="22"/>
        <v>0</v>
      </c>
      <c r="AC98" s="871">
        <f t="shared" si="16"/>
        <v>0</v>
      </c>
      <c r="AD98" s="838">
        <f t="shared" si="17"/>
        <v>18.132371428571428</v>
      </c>
      <c r="AE98" s="838"/>
    </row>
    <row r="99" spans="1:31" ht="15.75" customHeight="1" x14ac:dyDescent="0.2">
      <c r="A99" s="87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947</v>
      </c>
      <c r="Q99" s="862">
        <f>P98/P99</f>
        <v>0.83116156282998932</v>
      </c>
      <c r="R99" s="4"/>
      <c r="S99" s="4"/>
      <c r="T99" s="16">
        <f t="shared" si="15"/>
        <v>0</v>
      </c>
      <c r="U99" s="868">
        <f t="shared" si="18"/>
        <v>7.8785714285714272</v>
      </c>
      <c r="V99" s="4">
        <v>70</v>
      </c>
      <c r="W99" s="4">
        <f t="shared" si="19"/>
        <v>80</v>
      </c>
      <c r="X99" s="868">
        <f t="shared" si="20"/>
        <v>77.714285714285708</v>
      </c>
      <c r="Y99" s="4"/>
      <c r="Z99" s="869" t="e">
        <f t="shared" si="21"/>
        <v>#DIV/0!</v>
      </c>
      <c r="AA99" s="4">
        <f>IF(H99*G99,LOOKUP(Z99,'Daniel''s Tables'!$Z$135:$Z$214,'Daniel''s Tables'!$AB$135:$AB$214),0)</f>
        <v>0</v>
      </c>
      <c r="AB99" s="869">
        <f t="shared" si="22"/>
        <v>0</v>
      </c>
      <c r="AC99" s="871">
        <f t="shared" si="16"/>
        <v>0</v>
      </c>
      <c r="AD99" s="838">
        <f t="shared" si="17"/>
        <v>11.50681785714286</v>
      </c>
      <c r="AE99" s="838">
        <f>AC99</f>
        <v>0</v>
      </c>
    </row>
    <row r="100" spans="1:31" ht="15.75" customHeight="1" x14ac:dyDescent="0.2">
      <c r="A100" s="87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4.12</v>
      </c>
      <c r="V100" s="4">
        <v>70</v>
      </c>
      <c r="W100" s="4">
        <f t="shared" si="19"/>
        <v>82</v>
      </c>
      <c r="X100" s="868">
        <f t="shared" si="20"/>
        <v>79.285714285714292</v>
      </c>
      <c r="Y100" s="4"/>
      <c r="Z100" s="869" t="e">
        <f t="shared" si="21"/>
        <v>#DIV/0!</v>
      </c>
      <c r="AA100" s="4">
        <f>IF(H100*G100,LOOKUP(Z100,'Daniel''s Tables'!$Z$135:$Z$214,'Daniel''s Tables'!$AB$135:$AB$214),0)</f>
        <v>0</v>
      </c>
      <c r="AB100" s="869">
        <f t="shared" si="22"/>
        <v>0</v>
      </c>
      <c r="AC100" s="871">
        <f t="shared" si="16"/>
        <v>0</v>
      </c>
      <c r="AD100" s="838">
        <f t="shared" si="17"/>
        <v>5.8326928571428578</v>
      </c>
      <c r="AE100" s="838"/>
    </row>
    <row r="101" spans="1:31" ht="15.75" customHeight="1" x14ac:dyDescent="0.2">
      <c r="A101" s="87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1.2214285714285715</v>
      </c>
      <c r="V101" s="4">
        <v>70</v>
      </c>
      <c r="W101" s="4">
        <f t="shared" si="19"/>
        <v>80</v>
      </c>
      <c r="X101" s="868">
        <f t="shared" si="20"/>
        <v>80.285714285714292</v>
      </c>
      <c r="Y101" s="4"/>
      <c r="Z101" s="869" t="e">
        <f t="shared" si="21"/>
        <v>#DIV/0!</v>
      </c>
      <c r="AA101" s="4">
        <f>IF(H101*G101,LOOKUP(Z101,'Daniel''s Tables'!$Z$135:$Z$214,'Daniel''s Tables'!$AB$135:$AB$214),0)</f>
        <v>0</v>
      </c>
      <c r="AB101" s="869">
        <f t="shared" si="22"/>
        <v>0</v>
      </c>
      <c r="AC101" s="871">
        <f t="shared" si="16"/>
        <v>0</v>
      </c>
      <c r="AD101" s="838">
        <f t="shared" si="17"/>
        <v>1.450275</v>
      </c>
      <c r="AE101" s="838"/>
    </row>
    <row r="102" spans="1:31" ht="15.75" customHeight="1" x14ac:dyDescent="0.2">
      <c r="A102" s="87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80.714285714285708</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7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7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4.0526620370370372</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7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787.1099999999999</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7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1021</v>
      </c>
      <c r="Q106" s="862">
        <f>P105/P106</f>
        <v>0.7709206660137119</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7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7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7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7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7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4.0526620370370372</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7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787.1099999999999</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7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1089</v>
      </c>
      <c r="Q113" s="862">
        <f>P112/P113</f>
        <v>0.72278236914600547</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4.0526620370370372</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787.1099999999999</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1155</v>
      </c>
      <c r="Q120" s="862">
        <f>P119/P120</f>
        <v>0.68148051948051935</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4.0526620370370372</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787.1099999999999</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1213</v>
      </c>
      <c r="Q127" s="862">
        <f>P126/P127</f>
        <v>0.64889530090684244</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4.0526620370370372</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787.1099999999999</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0.62568362480127182</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28" sqref="K28"/>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34.510000000000005</v>
      </c>
      <c r="L14" s="838">
        <f>(K14-K13)/((K14+K13)/2)*100</f>
        <v>-72.539242843951968</v>
      </c>
    </row>
    <row r="15" spans="1:12" x14ac:dyDescent="0.2">
      <c r="A15">
        <v>13</v>
      </c>
      <c r="B15">
        <v>6</v>
      </c>
      <c r="C15" s="825">
        <v>1</v>
      </c>
      <c r="D15" s="825">
        <v>1</v>
      </c>
      <c r="E15" s="825">
        <v>1</v>
      </c>
      <c r="F15" s="825"/>
      <c r="G15">
        <f t="shared" si="1"/>
        <v>55</v>
      </c>
      <c r="H15">
        <f t="shared" si="0"/>
        <v>70</v>
      </c>
      <c r="I15">
        <f t="shared" si="2"/>
        <v>80</v>
      </c>
      <c r="J15">
        <f t="shared" si="3"/>
        <v>85</v>
      </c>
      <c r="K15">
        <f>'2Q - 80'!N99</f>
        <v>0</v>
      </c>
      <c r="L15" s="838">
        <f>(K15-K14)/((K15+K14)/2)*100</f>
        <v>-200</v>
      </c>
    </row>
    <row r="16" spans="1:12" x14ac:dyDescent="0.2">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
      <c r="A20">
        <v>18</v>
      </c>
      <c r="B20">
        <v>1</v>
      </c>
      <c r="G20">
        <v>25</v>
      </c>
      <c r="H20">
        <f>13+8+8+7+5+3+3</f>
        <v>47</v>
      </c>
      <c r="I20">
        <f>13+8+9+7+5+3+3</f>
        <v>48</v>
      </c>
      <c r="J20">
        <f t="shared" si="3"/>
        <v>0</v>
      </c>
      <c r="K20">
        <f>'2Q - 80'!N134</f>
        <v>0</v>
      </c>
      <c r="L20" s="838" t="e">
        <f t="shared" si="5"/>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1">
        <v>18</v>
      </c>
      <c r="B3" s="825" t="s">
        <v>314</v>
      </c>
      <c r="C3" s="825" t="s">
        <v>336</v>
      </c>
      <c r="D3" s="838">
        <f>1+6+1+6+2</f>
        <v>16</v>
      </c>
      <c r="E3">
        <v>16</v>
      </c>
      <c r="F3" s="890">
        <f>'Daniel''s Metrics'!G3 - ('Q Sessions'!D3+'Q Sessions'!D4)</f>
        <v>12</v>
      </c>
      <c r="I3" s="891">
        <v>18</v>
      </c>
      <c r="J3" s="825" t="s">
        <v>314</v>
      </c>
      <c r="K3" s="825" t="s">
        <v>390</v>
      </c>
      <c r="L3">
        <v>18</v>
      </c>
      <c r="M3" s="890">
        <f>'Daniel''s Metrics'!I3 - (L3+L4)</f>
        <v>29</v>
      </c>
    </row>
    <row r="4" spans="1:13" x14ac:dyDescent="0.2">
      <c r="A4" s="891"/>
      <c r="B4" s="825" t="s">
        <v>335</v>
      </c>
      <c r="C4" s="825" t="s">
        <v>337</v>
      </c>
      <c r="D4" s="838">
        <f>8+3+2+3</f>
        <v>16</v>
      </c>
      <c r="E4">
        <v>15</v>
      </c>
      <c r="F4" s="891"/>
      <c r="I4" s="891"/>
      <c r="J4" s="825" t="s">
        <v>335</v>
      </c>
      <c r="K4" s="825" t="s">
        <v>391</v>
      </c>
      <c r="L4">
        <v>17</v>
      </c>
      <c r="M4" s="891"/>
    </row>
    <row r="5" spans="1:13" x14ac:dyDescent="0.2">
      <c r="A5" s="891">
        <v>17</v>
      </c>
      <c r="B5" s="825" t="s">
        <v>314</v>
      </c>
      <c r="C5" s="825" t="s">
        <v>338</v>
      </c>
      <c r="D5" s="838">
        <f>2+3+(60/7.5)+1+1</f>
        <v>15</v>
      </c>
      <c r="E5">
        <v>15</v>
      </c>
      <c r="F5" s="890">
        <f>'Daniel''s Metrics'!G5 - ('Q Sessions'!D5+'Q Sessions'!D6)</f>
        <v>24.375</v>
      </c>
      <c r="I5" s="891">
        <v>17</v>
      </c>
      <c r="J5" s="825" t="s">
        <v>314</v>
      </c>
      <c r="K5" s="825" t="s">
        <v>392</v>
      </c>
      <c r="L5">
        <v>18</v>
      </c>
      <c r="M5" s="890">
        <f>'Daniel''s Metrics'!I4 -(L5+L6)</f>
        <v>31</v>
      </c>
    </row>
    <row r="6" spans="1:13" x14ac:dyDescent="0.2">
      <c r="A6" s="891"/>
      <c r="B6" s="825" t="s">
        <v>335</v>
      </c>
      <c r="C6" s="825" t="s">
        <v>354</v>
      </c>
      <c r="D6" s="838">
        <f>4+ (5*(1000/1600)) + (4*(400/1600)) +2</f>
        <v>10.125</v>
      </c>
      <c r="E6">
        <v>13</v>
      </c>
      <c r="F6" s="891"/>
      <c r="I6" s="891"/>
      <c r="J6" s="825" t="s">
        <v>335</v>
      </c>
      <c r="K6" s="825" t="s">
        <v>396</v>
      </c>
      <c r="L6">
        <v>15</v>
      </c>
      <c r="M6" s="890"/>
    </row>
    <row r="7" spans="1:13" x14ac:dyDescent="0.2">
      <c r="A7" s="891">
        <v>16</v>
      </c>
      <c r="B7" s="825" t="s">
        <v>314</v>
      </c>
      <c r="C7" s="825" t="s">
        <v>339</v>
      </c>
      <c r="D7" s="838">
        <v>16</v>
      </c>
      <c r="E7">
        <v>16</v>
      </c>
      <c r="F7" s="890">
        <f>'Daniel''s Metrics'!G7 - ('Q Sessions'!D7+'Q Sessions'!D8)</f>
        <v>20.5</v>
      </c>
      <c r="I7" s="891">
        <v>16</v>
      </c>
      <c r="J7" s="825" t="s">
        <v>314</v>
      </c>
      <c r="K7" s="825" t="s">
        <v>393</v>
      </c>
      <c r="L7">
        <v>18</v>
      </c>
      <c r="M7" s="890">
        <f>'Daniel''s Metrics'!I5 -(L7+L8)</f>
        <v>37</v>
      </c>
    </row>
    <row r="8" spans="1:13" x14ac:dyDescent="0.2">
      <c r="A8" s="891"/>
      <c r="B8" s="825" t="s">
        <v>335</v>
      </c>
      <c r="C8" s="825" t="s">
        <v>341</v>
      </c>
      <c r="D8" s="838">
        <f>6+3+2+1+1</f>
        <v>13</v>
      </c>
      <c r="E8">
        <v>14</v>
      </c>
      <c r="F8" s="891"/>
      <c r="I8" s="891"/>
      <c r="J8" s="825" t="s">
        <v>335</v>
      </c>
      <c r="K8" s="825" t="s">
        <v>394</v>
      </c>
      <c r="L8">
        <v>17</v>
      </c>
      <c r="M8" s="891"/>
    </row>
    <row r="9" spans="1:13" x14ac:dyDescent="0.2">
      <c r="A9" s="891">
        <v>15</v>
      </c>
      <c r="B9" s="825" t="s">
        <v>314</v>
      </c>
      <c r="C9" s="825" t="s">
        <v>340</v>
      </c>
      <c r="D9" s="838">
        <f>2+8+1+3+2</f>
        <v>16</v>
      </c>
      <c r="E9">
        <v>16</v>
      </c>
      <c r="F9" s="890">
        <f>'Daniel''s Metrics'!G9 - ('Q Sessions'!D9+'Q Sessions'!D10)</f>
        <v>24.666666666666668</v>
      </c>
      <c r="I9" s="891">
        <v>15</v>
      </c>
      <c r="J9" s="825" t="s">
        <v>314</v>
      </c>
      <c r="K9" s="825" t="s">
        <v>395</v>
      </c>
      <c r="L9">
        <v>18</v>
      </c>
      <c r="M9" s="890">
        <f>'Daniel''s Metrics'!I6 -(L9+L10)</f>
        <v>38</v>
      </c>
    </row>
    <row r="10" spans="1:13" x14ac:dyDescent="0.2">
      <c r="A10" s="891"/>
      <c r="B10" s="825" t="s">
        <v>335</v>
      </c>
      <c r="C10" s="825" t="s">
        <v>342</v>
      </c>
      <c r="D10" s="839">
        <f>(40/7.5) + (3*2) + (2*1) + 1</f>
        <v>14.333333333333332</v>
      </c>
      <c r="E10">
        <v>15</v>
      </c>
      <c r="F10" s="891"/>
      <c r="I10" s="891"/>
      <c r="J10" s="825" t="s">
        <v>335</v>
      </c>
      <c r="K10" s="825" t="s">
        <v>399</v>
      </c>
      <c r="L10">
        <v>16</v>
      </c>
      <c r="M10" s="891"/>
    </row>
    <row r="11" spans="1:13" x14ac:dyDescent="0.2">
      <c r="A11" s="891">
        <v>14</v>
      </c>
      <c r="B11" s="825" t="s">
        <v>314</v>
      </c>
      <c r="C11" s="825" t="s">
        <v>347</v>
      </c>
      <c r="D11" s="838">
        <f>1+(2*2)+(60/7.5)+2+1</f>
        <v>16</v>
      </c>
      <c r="E11">
        <v>16</v>
      </c>
      <c r="F11" s="890">
        <f>'Daniel''s Metrics'!G11 - ('Q Sessions'!D11+'Q Sessions'!D12)</f>
        <v>19.75</v>
      </c>
      <c r="I11" s="891">
        <v>14</v>
      </c>
      <c r="J11" s="825" t="s">
        <v>314</v>
      </c>
      <c r="K11" s="825" t="s">
        <v>400</v>
      </c>
      <c r="L11">
        <v>18</v>
      </c>
      <c r="M11" s="890">
        <f>'Daniel''s Metrics'!I7 -(L11+L12)</f>
        <v>37</v>
      </c>
    </row>
    <row r="12" spans="1:13" x14ac:dyDescent="0.2">
      <c r="A12" s="891"/>
      <c r="B12" s="825" t="s">
        <v>335</v>
      </c>
      <c r="C12" s="825" t="s">
        <v>348</v>
      </c>
      <c r="D12" s="838">
        <f xml:space="preserve"> 8+(6*(1/1.6))+2</f>
        <v>13.75</v>
      </c>
      <c r="E12">
        <v>14</v>
      </c>
      <c r="F12" s="891"/>
      <c r="I12" s="891"/>
      <c r="J12" s="825" t="s">
        <v>335</v>
      </c>
      <c r="K12" s="825" t="s">
        <v>401</v>
      </c>
      <c r="L12">
        <v>17</v>
      </c>
      <c r="M12" s="891"/>
    </row>
    <row r="13" spans="1:13" x14ac:dyDescent="0.2">
      <c r="A13" s="891">
        <v>13</v>
      </c>
      <c r="B13" s="825" t="s">
        <v>314</v>
      </c>
      <c r="C13" s="825" t="s">
        <v>349</v>
      </c>
      <c r="D13" s="838">
        <v>17</v>
      </c>
      <c r="E13">
        <v>17</v>
      </c>
      <c r="F13" s="890">
        <f>'Daniel''s Metrics'!G13 - ('Q Sessions'!D13+'Q Sessions'!D14)</f>
        <v>23.666666666666668</v>
      </c>
      <c r="I13" s="891">
        <v>13</v>
      </c>
      <c r="J13" s="825" t="s">
        <v>314</v>
      </c>
      <c r="K13" s="825" t="s">
        <v>397</v>
      </c>
      <c r="L13">
        <v>19</v>
      </c>
      <c r="M13" s="890">
        <f>'Daniel''s Metrics'!I8 -(L13+L14)</f>
        <v>28</v>
      </c>
    </row>
    <row r="14" spans="1:13" x14ac:dyDescent="0.2">
      <c r="A14" s="891"/>
      <c r="B14" s="825" t="s">
        <v>335</v>
      </c>
      <c r="C14" s="825" t="s">
        <v>351</v>
      </c>
      <c r="D14" s="838">
        <f>(40/7.5)+3+(2*2)+2</f>
        <v>14.333333333333332</v>
      </c>
      <c r="E14">
        <v>15</v>
      </c>
      <c r="F14" s="891"/>
      <c r="I14" s="891"/>
      <c r="J14" s="825" t="s">
        <v>335</v>
      </c>
      <c r="K14" s="825" t="s">
        <v>398</v>
      </c>
      <c r="L14">
        <v>17</v>
      </c>
      <c r="M14" s="891"/>
    </row>
    <row r="15" spans="1:13" x14ac:dyDescent="0.2">
      <c r="A15" s="891">
        <v>12</v>
      </c>
      <c r="B15" s="825" t="s">
        <v>314</v>
      </c>
      <c r="C15" s="825" t="s">
        <v>350</v>
      </c>
      <c r="D15" s="838">
        <f>1+8+1+6+1</f>
        <v>17</v>
      </c>
      <c r="E15">
        <v>17</v>
      </c>
      <c r="F15" s="890">
        <f>'Daniel''s Metrics'!G15 - ('Q Sessions'!D15+'Q Sessions'!D16)</f>
        <v>24</v>
      </c>
      <c r="I15" s="891">
        <v>12</v>
      </c>
      <c r="J15" s="825" t="s">
        <v>314</v>
      </c>
      <c r="K15" s="825" t="s">
        <v>402</v>
      </c>
      <c r="L15">
        <v>19</v>
      </c>
      <c r="M15" s="890">
        <f>'Daniel''s Metrics'!I9 -(L15+L16)</f>
        <v>46</v>
      </c>
    </row>
    <row r="16" spans="1:13" x14ac:dyDescent="0.2">
      <c r="A16" s="891"/>
      <c r="B16" s="825" t="s">
        <v>335</v>
      </c>
      <c r="C16" s="825" t="s">
        <v>352</v>
      </c>
      <c r="D16" s="838">
        <f>4+3+2+2+1+2</f>
        <v>14</v>
      </c>
      <c r="E16">
        <v>14</v>
      </c>
      <c r="F16" s="891"/>
      <c r="I16" s="891"/>
      <c r="J16" s="825" t="s">
        <v>335</v>
      </c>
      <c r="K16" s="825" t="s">
        <v>403</v>
      </c>
      <c r="L16">
        <v>15</v>
      </c>
      <c r="M16" s="891"/>
    </row>
    <row r="17" spans="1:13" x14ac:dyDescent="0.2">
      <c r="A17" s="891">
        <v>11</v>
      </c>
      <c r="B17" s="825" t="s">
        <v>314</v>
      </c>
      <c r="C17" s="825" t="s">
        <v>353</v>
      </c>
      <c r="D17" s="838">
        <f>12+3+1</f>
        <v>16</v>
      </c>
      <c r="E17">
        <v>16</v>
      </c>
      <c r="F17" s="890">
        <f>'Daniel''s Metrics'!G17 - ('Q Sessions'!D17+'Q Sessions'!D18)</f>
        <v>20.375</v>
      </c>
      <c r="I17" s="891">
        <v>11</v>
      </c>
      <c r="J17" s="825" t="s">
        <v>314</v>
      </c>
      <c r="K17" s="825" t="s">
        <v>404</v>
      </c>
      <c r="L17">
        <v>19</v>
      </c>
      <c r="M17" s="890">
        <f>'Daniel''s Metrics'!I10 -(L17+L18)</f>
        <v>36</v>
      </c>
    </row>
    <row r="18" spans="1:13" x14ac:dyDescent="0.2">
      <c r="A18" s="891"/>
      <c r="B18" s="825" t="s">
        <v>335</v>
      </c>
      <c r="C18" s="825" t="s">
        <v>355</v>
      </c>
      <c r="D18" s="838">
        <f>8+(5*(1/1.6))+(4*0.25)+1</f>
        <v>13.125</v>
      </c>
      <c r="E18">
        <v>15</v>
      </c>
      <c r="F18" s="891"/>
      <c r="I18" s="891"/>
      <c r="J18" s="825" t="s">
        <v>335</v>
      </c>
      <c r="K18" s="825" t="s">
        <v>405</v>
      </c>
      <c r="L18">
        <v>17</v>
      </c>
      <c r="M18" s="891"/>
    </row>
    <row r="19" spans="1:13" x14ac:dyDescent="0.2">
      <c r="A19" s="891">
        <v>10</v>
      </c>
      <c r="B19" s="825" t="s">
        <v>314</v>
      </c>
      <c r="C19" s="825" t="s">
        <v>356</v>
      </c>
      <c r="D19" s="838">
        <v>18</v>
      </c>
      <c r="E19">
        <v>18</v>
      </c>
      <c r="F19" s="890">
        <f>'Daniel''s Metrics'!G19 - ('Q Sessions'!D19+'Q Sessions'!D20)</f>
        <v>10</v>
      </c>
      <c r="I19" s="891">
        <v>10</v>
      </c>
      <c r="J19" s="825" t="s">
        <v>314</v>
      </c>
      <c r="K19" s="825" t="s">
        <v>411</v>
      </c>
      <c r="L19">
        <v>20</v>
      </c>
      <c r="M19" s="890">
        <f>'Daniel''s Metrics'!I11 -(L19+L20)</f>
        <v>26</v>
      </c>
    </row>
    <row r="20" spans="1:13" x14ac:dyDescent="0.2">
      <c r="A20" s="891"/>
      <c r="B20" s="825" t="s">
        <v>335</v>
      </c>
      <c r="C20" s="825" t="s">
        <v>358</v>
      </c>
      <c r="D20" s="838">
        <f>2+12+2</f>
        <v>16</v>
      </c>
      <c r="E20">
        <v>16</v>
      </c>
      <c r="F20" s="891"/>
      <c r="I20" s="891"/>
      <c r="J20" s="825" t="s">
        <v>335</v>
      </c>
      <c r="K20" s="825" t="s">
        <v>406</v>
      </c>
      <c r="L20">
        <v>18</v>
      </c>
      <c r="M20" s="891"/>
    </row>
    <row r="21" spans="1:13" x14ac:dyDescent="0.2">
      <c r="A21" s="891">
        <v>9</v>
      </c>
      <c r="B21" s="825" t="s">
        <v>314</v>
      </c>
      <c r="C21" s="825" t="s">
        <v>359</v>
      </c>
      <c r="D21" s="838">
        <f>3+6+1+4+1+1</f>
        <v>16</v>
      </c>
      <c r="E21">
        <v>16</v>
      </c>
      <c r="F21" s="890">
        <f>'Daniel''s Metrics'!G21 - ('Q Sessions'!D21+'Q Sessions'!D22)</f>
        <v>-31</v>
      </c>
      <c r="I21" s="891">
        <v>9</v>
      </c>
      <c r="J21" s="825" t="s">
        <v>314</v>
      </c>
      <c r="K21" s="825" t="s">
        <v>407</v>
      </c>
      <c r="L21">
        <v>18</v>
      </c>
      <c r="M21" s="890">
        <f>'Daniel''s Metrics'!I12 -(L21+L22)</f>
        <v>46</v>
      </c>
    </row>
    <row r="22" spans="1:13" x14ac:dyDescent="0.2">
      <c r="A22" s="891"/>
      <c r="B22" s="825" t="s">
        <v>335</v>
      </c>
      <c r="C22" s="825" t="s">
        <v>360</v>
      </c>
      <c r="D22" s="838">
        <f>5+(4*2)+2</f>
        <v>15</v>
      </c>
      <c r="E22">
        <v>15</v>
      </c>
      <c r="F22" s="891"/>
      <c r="I22" s="891"/>
      <c r="J22" s="825" t="s">
        <v>335</v>
      </c>
      <c r="K22" s="825" t="s">
        <v>408</v>
      </c>
      <c r="L22">
        <v>16</v>
      </c>
      <c r="M22" s="891"/>
    </row>
    <row r="23" spans="1:13" x14ac:dyDescent="0.2">
      <c r="A23" s="891">
        <v>8</v>
      </c>
      <c r="B23" s="825" t="s">
        <v>314</v>
      </c>
      <c r="C23" s="825" t="s">
        <v>361</v>
      </c>
      <c r="D23" s="838">
        <f>2+2+(60/7)+2+2</f>
        <v>16.571428571428569</v>
      </c>
      <c r="E23">
        <v>17</v>
      </c>
      <c r="F23" s="890">
        <f>'Daniel''s Metrics'!G23 - ('Q Sessions'!D23+'Q Sessions'!D24)</f>
        <v>-30.321428571428569</v>
      </c>
      <c r="I23" s="891">
        <v>8</v>
      </c>
      <c r="J23" s="825" t="s">
        <v>314</v>
      </c>
      <c r="K23" s="825" t="s">
        <v>409</v>
      </c>
      <c r="L23">
        <v>18</v>
      </c>
      <c r="M23" s="890">
        <f>'Daniel''s Metrics'!I13 -(L23+L24)</f>
        <v>37</v>
      </c>
    </row>
    <row r="24" spans="1:13" x14ac:dyDescent="0.2">
      <c r="A24" s="891"/>
      <c r="B24" s="825" t="s">
        <v>335</v>
      </c>
      <c r="C24" s="825" t="s">
        <v>348</v>
      </c>
      <c r="D24" s="838">
        <f xml:space="preserve"> 8+(6*(1/1.6))+2</f>
        <v>13.75</v>
      </c>
      <c r="E24">
        <v>16</v>
      </c>
      <c r="F24" s="891"/>
      <c r="I24" s="891"/>
      <c r="J24" s="825" t="s">
        <v>335</v>
      </c>
      <c r="K24" s="825" t="s">
        <v>410</v>
      </c>
      <c r="L24">
        <v>17</v>
      </c>
      <c r="M24" s="891"/>
    </row>
    <row r="25" spans="1:13" x14ac:dyDescent="0.2">
      <c r="A25" s="891">
        <v>7</v>
      </c>
      <c r="B25" s="825" t="s">
        <v>314</v>
      </c>
      <c r="C25" s="825" t="s">
        <v>364</v>
      </c>
      <c r="D25" s="838">
        <v>20</v>
      </c>
      <c r="E25">
        <v>20</v>
      </c>
      <c r="F25" s="890">
        <f>'Daniel''s Metrics'!G25 - ('Q Sessions'!D25+'Q Sessions'!D26)</f>
        <v>-36</v>
      </c>
      <c r="I25" s="891">
        <v>7</v>
      </c>
      <c r="J25" s="825" t="s">
        <v>314</v>
      </c>
      <c r="K25" s="825" t="s">
        <v>411</v>
      </c>
      <c r="L25">
        <v>20</v>
      </c>
      <c r="M25" s="890">
        <f>'Daniel''s Metrics'!I14 -(L25+L26)</f>
        <v>37</v>
      </c>
    </row>
    <row r="26" spans="1:13" x14ac:dyDescent="0.2">
      <c r="A26" s="891"/>
      <c r="B26" s="825" t="s">
        <v>335</v>
      </c>
      <c r="C26" s="825" t="s">
        <v>365</v>
      </c>
      <c r="D26" s="838">
        <f>2+8+(2*2)+2</f>
        <v>16</v>
      </c>
      <c r="E26">
        <v>16</v>
      </c>
      <c r="F26" s="891"/>
      <c r="I26" s="891"/>
      <c r="J26" s="825" t="s">
        <v>335</v>
      </c>
      <c r="K26" s="825" t="s">
        <v>412</v>
      </c>
      <c r="L26">
        <v>15</v>
      </c>
      <c r="M26" s="891"/>
    </row>
    <row r="27" spans="1:13" x14ac:dyDescent="0.2">
      <c r="A27" s="891">
        <v>6</v>
      </c>
      <c r="B27" s="825" t="s">
        <v>314</v>
      </c>
      <c r="C27" s="825" t="s">
        <v>366</v>
      </c>
      <c r="D27" s="838">
        <f>3+12+2</f>
        <v>17</v>
      </c>
      <c r="E27">
        <v>17</v>
      </c>
      <c r="F27" s="890">
        <f>'Daniel''s Metrics'!G27 - ('Q Sessions'!D27+'Q Sessions'!D28)</f>
        <v>-33.333333333333329</v>
      </c>
      <c r="I27" s="891">
        <v>6</v>
      </c>
      <c r="J27" s="825" t="s">
        <v>314</v>
      </c>
      <c r="K27" s="825" t="s">
        <v>413</v>
      </c>
      <c r="L27">
        <v>18</v>
      </c>
      <c r="M27" s="890">
        <f>'Daniel''s Metrics'!I15 -(L27+L28)</f>
        <v>48</v>
      </c>
    </row>
    <row r="28" spans="1:13" x14ac:dyDescent="0.2">
      <c r="A28" s="891"/>
      <c r="B28" s="825" t="s">
        <v>335</v>
      </c>
      <c r="C28" s="825" t="s">
        <v>367</v>
      </c>
      <c r="D28" s="839">
        <f>(40/7.5) + (4*2) + (2*1) + 1</f>
        <v>16.333333333333332</v>
      </c>
      <c r="E28">
        <v>17</v>
      </c>
      <c r="F28" s="891"/>
      <c r="I28" s="891"/>
      <c r="J28" s="825" t="s">
        <v>335</v>
      </c>
      <c r="K28" s="825" t="s">
        <v>414</v>
      </c>
      <c r="L28">
        <v>14</v>
      </c>
      <c r="M28" s="891"/>
    </row>
    <row r="29" spans="1:13" x14ac:dyDescent="0.2">
      <c r="A29" s="891">
        <v>5</v>
      </c>
      <c r="B29" s="825" t="s">
        <v>314</v>
      </c>
      <c r="C29" s="825" t="s">
        <v>368</v>
      </c>
      <c r="D29" s="838">
        <f>6+2+6+2+1</f>
        <v>17</v>
      </c>
      <c r="E29">
        <v>17</v>
      </c>
      <c r="F29" s="890">
        <f>'Daniel''s Metrics'!G29 - ('Q Sessions'!D29+'Q Sessions'!D30)</f>
        <v>-29.875</v>
      </c>
      <c r="I29" s="891">
        <v>5</v>
      </c>
      <c r="J29" s="825" t="s">
        <v>314</v>
      </c>
      <c r="K29" s="825" t="s">
        <v>415</v>
      </c>
      <c r="L29">
        <v>16</v>
      </c>
      <c r="M29" s="890">
        <f>'Daniel''s Metrics'!I16 -(L29+L30)</f>
        <v>42</v>
      </c>
    </row>
    <row r="30" spans="1:13" x14ac:dyDescent="0.2">
      <c r="A30" s="891"/>
      <c r="B30" s="825" t="s">
        <v>335</v>
      </c>
      <c r="C30" s="825" t="s">
        <v>369</v>
      </c>
      <c r="D30" s="838">
        <f>8+(5*(1/1.6))+(6*0.125)+1</f>
        <v>12.875</v>
      </c>
      <c r="E30">
        <v>16</v>
      </c>
      <c r="F30" s="891"/>
      <c r="I30" s="891"/>
      <c r="J30" s="825" t="s">
        <v>335</v>
      </c>
      <c r="K30" s="825" t="s">
        <v>416</v>
      </c>
      <c r="L30">
        <v>14</v>
      </c>
      <c r="M30" s="891"/>
    </row>
    <row r="31" spans="1:13" x14ac:dyDescent="0.2">
      <c r="A31" s="891">
        <v>4</v>
      </c>
      <c r="B31" s="825" t="s">
        <v>314</v>
      </c>
      <c r="C31" s="825" t="s">
        <v>370</v>
      </c>
      <c r="D31" s="838">
        <v>20</v>
      </c>
      <c r="E31">
        <v>20</v>
      </c>
      <c r="F31" s="890">
        <f>'Daniel''s Metrics'!G31 - ('Q Sessions'!D31+'Q Sessions'!D32)</f>
        <v>-33.125</v>
      </c>
      <c r="I31" s="891">
        <v>4</v>
      </c>
      <c r="J31" s="825" t="s">
        <v>314</v>
      </c>
      <c r="K31" s="825" t="s">
        <v>393</v>
      </c>
      <c r="L31">
        <v>18</v>
      </c>
      <c r="M31" s="890">
        <f>'Daniel''s Metrics'!I17 -(L31+L32)</f>
        <v>34</v>
      </c>
    </row>
    <row r="32" spans="1:13" x14ac:dyDescent="0.2">
      <c r="A32" s="891"/>
      <c r="B32" s="825" t="s">
        <v>335</v>
      </c>
      <c r="C32" s="825" t="s">
        <v>371</v>
      </c>
      <c r="D32" s="838">
        <f>6+(5*(1/1.6))+4</f>
        <v>13.125</v>
      </c>
      <c r="E32">
        <v>15</v>
      </c>
      <c r="F32" s="891"/>
      <c r="I32" s="891"/>
      <c r="J32" s="825" t="s">
        <v>335</v>
      </c>
      <c r="K32" s="825" t="s">
        <v>417</v>
      </c>
      <c r="L32">
        <v>12</v>
      </c>
      <c r="M32" s="891"/>
    </row>
    <row r="33" spans="1:13" x14ac:dyDescent="0.2">
      <c r="A33" s="891">
        <v>3</v>
      </c>
      <c r="B33" s="825" t="s">
        <v>314</v>
      </c>
      <c r="C33" s="825" t="s">
        <v>372</v>
      </c>
      <c r="D33" s="838">
        <f>2+6+1+6+2</f>
        <v>17</v>
      </c>
      <c r="E33">
        <v>17</v>
      </c>
      <c r="F33" s="890">
        <f>'Daniel''s Metrics'!G33 - ('Q Sessions'!D33+'Q Sessions'!D34)</f>
        <v>-29</v>
      </c>
      <c r="I33" s="891">
        <v>3</v>
      </c>
      <c r="J33" s="825" t="s">
        <v>314</v>
      </c>
      <c r="K33" s="825" t="s">
        <v>418</v>
      </c>
      <c r="L33">
        <v>18</v>
      </c>
      <c r="M33" s="890">
        <f>'Daniel''s Metrics'!I18 -(L33+L34)</f>
        <v>34</v>
      </c>
    </row>
    <row r="34" spans="1:13" x14ac:dyDescent="0.2">
      <c r="A34" s="891"/>
      <c r="B34" s="825" t="s">
        <v>335</v>
      </c>
      <c r="C34" s="825" t="s">
        <v>373</v>
      </c>
      <c r="D34" s="838">
        <f>2+(4*2)+2</f>
        <v>12</v>
      </c>
      <c r="E34">
        <v>12</v>
      </c>
      <c r="F34" s="891"/>
      <c r="I34" s="891"/>
      <c r="J34" s="825" t="s">
        <v>335</v>
      </c>
      <c r="K34" s="825" t="s">
        <v>420</v>
      </c>
      <c r="L34">
        <v>12</v>
      </c>
      <c r="M34" s="891"/>
    </row>
    <row r="35" spans="1:13" x14ac:dyDescent="0.2">
      <c r="A35" s="891">
        <v>2</v>
      </c>
      <c r="B35" s="825" t="s">
        <v>314</v>
      </c>
      <c r="C35" s="825" t="s">
        <v>374</v>
      </c>
      <c r="D35" s="838">
        <f>2+(3*2)+7</f>
        <v>15</v>
      </c>
      <c r="E35">
        <v>15</v>
      </c>
      <c r="F35" s="890">
        <f>'Daniel''s Metrics'!G35 - ('Q Sessions'!D35+'Q Sessions'!D36)</f>
        <v>-26</v>
      </c>
      <c r="I35" s="891">
        <v>2</v>
      </c>
      <c r="J35" s="825" t="s">
        <v>314</v>
      </c>
      <c r="K35" s="825" t="s">
        <v>419</v>
      </c>
      <c r="L35">
        <v>16</v>
      </c>
      <c r="M35" s="890">
        <f>'Daniel''s Metrics'!I19 -(L35+L36)</f>
        <v>28</v>
      </c>
    </row>
    <row r="36" spans="1:13" x14ac:dyDescent="0.2">
      <c r="A36" s="891"/>
      <c r="B36" s="825" t="s">
        <v>335</v>
      </c>
      <c r="C36" s="825" t="s">
        <v>375</v>
      </c>
      <c r="D36" s="838">
        <f>3+1+2+1+2+2</f>
        <v>11</v>
      </c>
      <c r="E36">
        <v>11</v>
      </c>
      <c r="F36" s="891"/>
      <c r="I36" s="891"/>
      <c r="J36" s="825" t="s">
        <v>335</v>
      </c>
      <c r="K36" s="825" t="s">
        <v>421</v>
      </c>
      <c r="L36">
        <v>12</v>
      </c>
      <c r="M36" s="891"/>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5" thickBot="1" x14ac:dyDescent="0.25">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5" thickBot="1" x14ac:dyDescent="0.25">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25" thickTop="1" thickBot="1" x14ac:dyDescent="0.25">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77.52%</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4">
        <f>IF(AND($E$6&gt;0,$G$6&gt;0),(-4.6 + 0.182258 * (F8/G6/1440) + 0.000104 *(F8/G6/1440)^2)/D9,1)</f>
        <v>61.766335932854794</v>
      </c>
      <c r="J6" s="119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10">
        <f>IF($G$6&gt;0,0.8+0.1894393 * EXP(-0.012778*G6*1440)+0.2989558* EXP(-0.1932605*G6*1440),0)</f>
        <v>0.92228339421748917</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5" t="s">
        <v>92</v>
      </c>
      <c r="N27" s="1216"/>
      <c r="O27" s="1216"/>
      <c r="P27" s="1216"/>
      <c r="Q27" s="1216"/>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7" t="s">
        <v>106</v>
      </c>
      <c r="N42" s="1218"/>
      <c r="O42" s="1218"/>
      <c r="P42" s="1218"/>
      <c r="Q42" s="1218"/>
      <c r="R42" s="1219"/>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20" t="s">
        <v>107</v>
      </c>
      <c r="N43" s="1221"/>
      <c r="O43" s="1221"/>
      <c r="P43" s="1221" t="s">
        <v>108</v>
      </c>
      <c r="Q43" s="1221"/>
      <c r="R43" s="1222"/>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1" t="s">
        <v>109</v>
      </c>
      <c r="N44" s="1202"/>
      <c r="O44" s="1202"/>
      <c r="P44" s="1202" t="s">
        <v>110</v>
      </c>
      <c r="Q44" s="1202"/>
      <c r="R44" s="1203"/>
    </row>
    <row r="45" spans="2:28" ht="13.5" thickBot="1" x14ac:dyDescent="0.25">
      <c r="B45" s="1204" t="s">
        <v>111</v>
      </c>
      <c r="C45" s="1205"/>
      <c r="D45" s="1205"/>
      <c r="E45" s="1205"/>
      <c r="F45" s="1205"/>
      <c r="G45" s="1205"/>
      <c r="H45" s="1205"/>
      <c r="I45" s="1205"/>
      <c r="J45" s="1205"/>
      <c r="K45" s="1205"/>
      <c r="L45" s="1205"/>
      <c r="M45" s="1205"/>
      <c r="N45" s="1205"/>
      <c r="O45" s="1205"/>
      <c r="P45" s="1205"/>
      <c r="Q45" s="1205"/>
      <c r="R45" s="120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5" thickBot="1" x14ac:dyDescent="0.25">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2" t="s">
        <v>132</v>
      </c>
      <c r="D52" s="1172"/>
      <c r="E52" s="1172"/>
      <c r="F52" s="1172"/>
      <c r="G52" s="1172"/>
      <c r="H52" s="1172"/>
      <c r="I52" s="1172"/>
      <c r="J52" s="117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9" t="str">
        <f>IF($L$52,"Pace / km","Pace / mile")</f>
        <v>Pace / mile</v>
      </c>
      <c r="C54" s="1160"/>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9" t="s">
        <v>143</v>
      </c>
      <c r="C57" s="1170"/>
      <c r="D57" s="1170"/>
      <c r="E57" s="1170"/>
      <c r="F57" s="1170"/>
      <c r="G57" s="1170" t="s">
        <v>144</v>
      </c>
      <c r="H57" s="1170"/>
      <c r="I57" s="1170"/>
      <c r="J57" s="1170"/>
      <c r="K57" s="1170"/>
      <c r="L57" s="1171"/>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9">
        <f>B61-(IF(L58,1000,1609.344)/400) * TIME(0,0,6)</f>
        <v>2.1063461147120799E-3</v>
      </c>
      <c r="C60" s="1150"/>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1">
        <f>IF(AND($E$6&gt;0,$G$6&gt;0),(1/(29.54 + 5.000663 * ($I$6*0.98) - 0.007546 * ($I$6*0.98)^2)*IF($L$58,1000,1609.344)/1440),"-")</f>
        <v>2.2799572258231909E-3</v>
      </c>
      <c r="C61" s="1152"/>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3">
        <f>IF(AND($E$6&gt;0,$G$6&gt;0),(1/(29.54 + 5.000663 * ($I$6*0.88) - 0.007546 * ($I$6*0.88)^2)*IF($L$58,1000,1609.344)/1440),"-")</f>
        <v>2.4885662925217037E-3</v>
      </c>
      <c r="C62" s="1154"/>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5">
        <f>IF($L$58, R15,R14)</f>
        <v>2.1471161368400772E-3</v>
      </c>
      <c r="C63" s="1156"/>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8">
        <f>IF($L$58, P15,P14)</f>
        <v>2.2982369516722965E-3</v>
      </c>
      <c r="C64" s="1139"/>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40">
        <f>IF($L$58,N15,N14)</f>
        <v>2.3958333324182401E-3</v>
      </c>
      <c r="C65" s="1141"/>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2" t="s">
        <v>152</v>
      </c>
      <c r="C66" s="1143"/>
      <c r="D66" s="1143"/>
      <c r="E66" s="1143"/>
      <c r="F66" s="1143"/>
      <c r="G66" s="1143"/>
      <c r="H66" s="1143"/>
      <c r="I66" s="1143"/>
      <c r="J66" s="1143"/>
      <c r="K66" s="1143"/>
      <c r="L66" s="1144"/>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5" t="s">
        <v>156</v>
      </c>
      <c r="C68" s="1146"/>
      <c r="D68" s="1146"/>
      <c r="E68" s="1146"/>
      <c r="F68" s="1123" t="s">
        <v>157</v>
      </c>
      <c r="G68" s="1123"/>
      <c r="H68" s="1123"/>
      <c r="I68" s="1123"/>
      <c r="J68" s="1123"/>
      <c r="K68" s="1147"/>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5" thickBot="1" x14ac:dyDescent="0.25">
      <c r="B71" s="1111" t="str">
        <f>IF($L$68,"Pace / km","Pace / mile")</f>
        <v>Pace / mile</v>
      </c>
      <c r="C71" s="1112"/>
      <c r="D71" s="1113"/>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4" t="s">
        <v>181</v>
      </c>
      <c r="R71" s="1135"/>
    </row>
    <row r="72" spans="2:28" ht="14.25" thickTop="1" thickBot="1" x14ac:dyDescent="0.25">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5" thickBot="1" x14ac:dyDescent="0.25">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2.3958333333333331E-2</v>
      </c>
      <c r="P74" s="460"/>
      <c r="Q74" s="461" t="s">
        <v>185</v>
      </c>
      <c r="R74" s="462">
        <f>IF(R72="No","No Std",LOOKUP($D$8,$S$50:$S$69,IF($C$4,$T$50:$T$69,$U$50:$U$69)))</f>
        <v>1.8553240740740742E-2</v>
      </c>
      <c r="T74" s="458"/>
      <c r="U74" s="458"/>
      <c r="V74" s="33"/>
      <c r="W74" s="33"/>
    </row>
    <row r="75" spans="2:28" ht="13.5" thickBot="1" x14ac:dyDescent="0.25">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3.85572E-3</v>
      </c>
      <c r="P76" s="1109" t="s">
        <v>195</v>
      </c>
      <c r="Q76" s="1110"/>
      <c r="R76" s="471">
        <f ca="1">IF($O$85="Yes",$E$5,"Birthdate?")</f>
        <v>31</v>
      </c>
      <c r="T76" s="458"/>
      <c r="U76" s="458"/>
      <c r="V76" s="33"/>
      <c r="W76" s="33"/>
    </row>
    <row r="77" spans="2:28" ht="13.5" thickBot="1" x14ac:dyDescent="0.25">
      <c r="B77" s="1111" t="str">
        <f>IF($L$74,"Zone Pace / km","Zone Pace / mile")</f>
        <v>Zone Pace / mile</v>
      </c>
      <c r="C77" s="1112"/>
      <c r="D77" s="1112"/>
      <c r="E77" s="1113"/>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1" t="s">
        <v>196</v>
      </c>
      <c r="N77" s="1102"/>
      <c r="O77" s="473" t="s">
        <v>101</v>
      </c>
      <c r="P77" s="1109" t="s">
        <v>197</v>
      </c>
      <c r="Q77" s="1114"/>
      <c r="R77" s="474">
        <f>IF(AND($C$2&gt;0,$C$3&gt;0),IF($B$4,$C$3 / ($C$2/100)^2,$C$3 / $C$2^2*703),"Wght / Hght?")</f>
        <v>22.313033128347552</v>
      </c>
      <c r="T77" s="458"/>
      <c r="U77" s="458"/>
      <c r="V77" s="33"/>
      <c r="W77" s="33"/>
    </row>
    <row r="78" spans="2:28" ht="13.5" thickBot="1" x14ac:dyDescent="0.25">
      <c r="B78" s="475" t="s">
        <v>198</v>
      </c>
      <c r="C78" s="476">
        <f>IF($E$3&lt;&gt;"",$E$3*0.9,"")</f>
        <v>180.9</v>
      </c>
      <c r="D78" s="1094" t="b">
        <v>0</v>
      </c>
      <c r="E78" s="1095"/>
      <c r="F78" s="477">
        <v>157</v>
      </c>
      <c r="G78" s="478"/>
      <c r="H78" s="479" t="s">
        <v>199</v>
      </c>
      <c r="I78" s="480">
        <f>+L6</f>
        <v>4.0049592314720488E-3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5" thickBot="1" x14ac:dyDescent="0.25">
      <c r="B79" s="483"/>
      <c r="M79" s="484"/>
      <c r="N79" s="24"/>
      <c r="O79" s="485"/>
      <c r="P79" s="1101" t="s">
        <v>201</v>
      </c>
      <c r="Q79" s="1102"/>
      <c r="R79" s="486">
        <f>IF(AND($C$2&gt;0,$P$80&gt;0),IF($B$4,$P$80 / ($C$2/100)^2,$P$80 / $C$2^2*703),"")</f>
        <v>18.498158078143003</v>
      </c>
      <c r="T79" s="458"/>
      <c r="U79" s="458"/>
      <c r="V79" s="33"/>
      <c r="W79" s="33"/>
    </row>
    <row r="80" spans="2:28" ht="13.5" thickBot="1" x14ac:dyDescent="0.25">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25" thickTop="1" thickBot="1" x14ac:dyDescent="0.25">
      <c r="B82" s="1083" t="s">
        <v>203</v>
      </c>
      <c r="C82" s="1084"/>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5" t="s">
        <v>204</v>
      </c>
      <c r="N82" s="1086"/>
      <c r="O82" s="495">
        <v>25</v>
      </c>
      <c r="P82" s="926" t="s">
        <v>205</v>
      </c>
      <c r="Q82" s="927"/>
      <c r="R82" s="929"/>
    </row>
    <row r="83" spans="2:23" ht="13.5" thickTop="1" x14ac:dyDescent="0.2">
      <c r="B83" s="1087" t="str">
        <f>IF($L$80,"Adj Pace / km","Adj Pace / mile")</f>
        <v>Adj Pace / mile</v>
      </c>
      <c r="C83" s="108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9" t="s">
        <v>206</v>
      </c>
      <c r="N83" s="1090"/>
      <c r="O83" s="499">
        <f ca="1">ABS(IF($O$85="yes",$O$74-$O$84,0))</f>
        <v>2.4118055555556739E-5</v>
      </c>
      <c r="P83" s="1091" t="s">
        <v>207</v>
      </c>
      <c r="Q83" s="1092"/>
      <c r="R83" s="1093"/>
      <c r="T83" s="500"/>
    </row>
    <row r="84" spans="2:23" ht="13.5" thickBot="1" x14ac:dyDescent="0.25">
      <c r="B84" s="1068" t="str">
        <f>IF($L$80,"Drop in Seconds / km","Drop in Seconds / mile")</f>
        <v>Drop in Seconds / mile</v>
      </c>
      <c r="C84" s="1069"/>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0" t="str">
        <f>IF(M100,"Age Grade Equivalent","No Age Grading")</f>
        <v>Age Grade Equivalent</v>
      </c>
      <c r="N84" s="1071"/>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4">
        <f>ROUND((-4.6 + 0.182258 * ((P85*IF(R86,1000,1))/Q85/1440*(IF(R86,1,1609.344))) + 0.000104 *((P85*IF(R86,1000,1))/Q85/1440*(IF(R86,1,1609.344)))^2)/R85,1)</f>
        <v>83.3</v>
      </c>
      <c r="Q86" s="1075"/>
      <c r="R86" s="520" t="b">
        <v>0</v>
      </c>
    </row>
    <row r="87" spans="2:23" ht="14.25" thickTop="1" thickBot="1" x14ac:dyDescent="0.25">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5" thickBot="1" x14ac:dyDescent="0.25">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3.4493934814051122E-3</v>
      </c>
      <c r="P88" s="1017" t="s">
        <v>213</v>
      </c>
      <c r="Q88" s="1018"/>
      <c r="R88" s="1019"/>
    </row>
    <row r="89" spans="2:23" ht="14.25" thickTop="1" thickBot="1" x14ac:dyDescent="0.25">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5" thickBot="1" x14ac:dyDescent="0.25">
      <c r="B90" s="1066" t="s">
        <v>216</v>
      </c>
      <c r="C90" s="1067"/>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3"/>
      <c r="P90" s="512">
        <v>26.218800000000002</v>
      </c>
      <c r="Q90" s="513">
        <v>0.17318287037037036</v>
      </c>
      <c r="R90" s="540">
        <f>Q90/P90</f>
        <v>6.6052935439596915E-3</v>
      </c>
    </row>
    <row r="91" spans="2:23" ht="13.5" thickBot="1" x14ac:dyDescent="0.25">
      <c r="B91" s="1040" t="s">
        <v>217</v>
      </c>
      <c r="C91" s="1041"/>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2" t="str">
        <f>IF(M101,"Weight Adjusted Time","No Weight Grading")</f>
        <v>Weight Adjusted Time</v>
      </c>
      <c r="N91" s="1043"/>
      <c r="O91" s="545">
        <f ca="1">IF(AND($N$89&gt;0,$N$90&gt;0,$N$90&lt;&gt;"",$M$101),$O$84*(IF(N89&gt;=MIN(D98,F100,C3),$N$89,MIN(F100,D98,C3))/C3)^$I$93,O84)</f>
        <v>2.0484821796372663E-2</v>
      </c>
      <c r="P91" s="546" t="s">
        <v>218</v>
      </c>
      <c r="Q91" s="547" t="s">
        <v>99</v>
      </c>
      <c r="R91" s="548" t="s">
        <v>101</v>
      </c>
    </row>
    <row r="92" spans="2:23" ht="13.5" thickBot="1" x14ac:dyDescent="0.25">
      <c r="B92" s="1044" t="str">
        <f>IF($L$88,"Est Pace / km","Est Pace / mile")</f>
        <v>Est Pace / mile</v>
      </c>
      <c r="C92" s="1045"/>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25" thickTop="1" thickBot="1" x14ac:dyDescent="0.25">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5" thickBot="1" x14ac:dyDescent="0.25">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25" thickTop="1" thickBot="1" x14ac:dyDescent="0.25">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5" thickBot="1" x14ac:dyDescent="0.25">
      <c r="B100" s="119"/>
      <c r="C100" s="593"/>
      <c r="D100" s="593"/>
      <c r="E100" s="593"/>
      <c r="F100" s="594">
        <v>144.92499999999998</v>
      </c>
      <c r="G100" s="994" t="s">
        <v>240</v>
      </c>
      <c r="H100" s="995"/>
      <c r="I100" s="996" t="s">
        <v>241</v>
      </c>
      <c r="J100" s="997"/>
      <c r="K100" s="996" t="s">
        <v>242</v>
      </c>
      <c r="L100" s="998"/>
      <c r="M100" s="999" t="b">
        <v>1</v>
      </c>
      <c r="N100" s="1000" t="b">
        <v>1</v>
      </c>
      <c r="O100" s="569">
        <f ca="1">$O$83</f>
        <v>2.4118055555556739E-5</v>
      </c>
      <c r="P100" s="595">
        <v>0.7</v>
      </c>
      <c r="Q100" s="1001">
        <f>IF($C$8=4,(P100/(1+$C$9)-0.37182)/0.6463,IF($C$8=3,1.303*P100/(1+$C$9)-0.345,IF($C$8=2,1.3*P100/(1+$C$9)-0.293,(P100/(1+$C$9)-0.1578)/0.855)))</f>
        <v>0.6341520467836258</v>
      </c>
      <c r="R100" s="1002"/>
    </row>
    <row r="101" spans="2:21" x14ac:dyDescent="0.2">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3.4493934814051122E-3</v>
      </c>
      <c r="P101" s="546" t="s">
        <v>243</v>
      </c>
      <c r="Q101" s="1015" t="s">
        <v>239</v>
      </c>
      <c r="R101" s="1016"/>
      <c r="U101" s="592"/>
    </row>
    <row r="102" spans="2:21" ht="13.5" thickBot="1" x14ac:dyDescent="0.25">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6.6384485996385633E-4</v>
      </c>
      <c r="P102" s="596">
        <v>0.57499999999999996</v>
      </c>
      <c r="Q102" s="986">
        <f>IF($C$8=4,((P102/$E$3*($E$3-$E$4)+E$4/$E$3)/(1+$C$9)-0.37182)/0.6463,IF($C$8=3,1.303*(P102/$E$3*($E$3-$E$4)+E$4/$E$3)/(1+$C$9) - 0.345,IF($C$8=2,(1.3*(P102/$E$3*($E$3-$E$4)+E$4/$E$3)/(1+$C$9)-0.293),((P102/$E$3*($E$3-$E$4)+E$4/$E$3)/(1+$C$9)-0.1578)/0.855)))</f>
        <v>0.62149602862878595</v>
      </c>
      <c r="R102" s="987"/>
    </row>
    <row r="103" spans="2:21" ht="13.5" thickBot="1" x14ac:dyDescent="0.25">
      <c r="B103" s="483"/>
      <c r="I103" s="597"/>
      <c r="J103" s="597"/>
      <c r="M103" s="963" t="s">
        <v>244</v>
      </c>
      <c r="N103" s="964"/>
      <c r="O103" s="598">
        <f ca="1">$O$74+IF(O84&lt;O74,-$O$100,$O$100)+IF($N$89&lt;$M$88,-$O$101,$O$101)+IF($M$97,$O$102,-$O$102)</f>
        <v>2.114866665633652E-2</v>
      </c>
      <c r="P103" s="965" t="str">
        <f>"HR Profile "&amp;IF(AND(C8&gt;=1,C8&lt;=4),C8,1)</f>
        <v>HR Profile 1</v>
      </c>
      <c r="Q103" s="966"/>
      <c r="R103" s="967"/>
    </row>
    <row r="104" spans="2:21" ht="13.5" thickBot="1" x14ac:dyDescent="0.25">
      <c r="B104" s="968" t="s">
        <v>245</v>
      </c>
      <c r="C104" s="969"/>
      <c r="D104" s="969"/>
      <c r="E104" s="969"/>
      <c r="F104" s="599" t="str">
        <f>E6</f>
        <v>10k</v>
      </c>
      <c r="G104" s="970">
        <f>$F$8</f>
        <v>10000</v>
      </c>
      <c r="H104" s="970"/>
      <c r="I104" s="971">
        <f>$G$6*1440</f>
        <v>34.5</v>
      </c>
      <c r="J104" s="971"/>
      <c r="K104" s="972">
        <f>G104/I104</f>
        <v>289.85507246376812</v>
      </c>
      <c r="L104" s="973"/>
      <c r="M104" s="974" t="str">
        <f>E6&amp;IF($L$80," Pace / km"," Pace / mile")</f>
        <v>10k Pace / mile</v>
      </c>
      <c r="N104" s="975"/>
      <c r="O104" s="600">
        <f ca="1">O103/IF(L80,F8/1000,D8)</f>
        <v>3.4035479791375244E-3</v>
      </c>
      <c r="P104" s="920" t="s">
        <v>246</v>
      </c>
      <c r="Q104" s="921"/>
      <c r="R104" s="922"/>
    </row>
    <row r="105" spans="2:21" ht="14.25" thickTop="1" thickBot="1" x14ac:dyDescent="0.25">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4.5217202086247563E-4</v>
      </c>
      <c r="P105" s="606">
        <v>3.1</v>
      </c>
      <c r="Q105" s="992">
        <f>P105*1.609344</f>
        <v>4.9889664000000007</v>
      </c>
      <c r="R105" s="993"/>
    </row>
    <row r="106" spans="2:21" x14ac:dyDescent="0.2">
      <c r="B106" s="953" t="str">
        <f>"Entry Weight &amp; VDOT"</f>
        <v>Entry Weight &amp; VDOT</v>
      </c>
      <c r="C106" s="954"/>
      <c r="D106" s="95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6">
        <f>P106/1.609344/60</f>
        <v>4.3150777238703747E-3</v>
      </c>
      <c r="R106" s="957"/>
    </row>
    <row r="107" spans="2:21" ht="13.5" thickBot="1" x14ac:dyDescent="0.25">
      <c r="B107" s="958" t="s">
        <v>249</v>
      </c>
      <c r="C107" s="959"/>
      <c r="D107" s="96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1">
        <f>P107*0.45359237</f>
        <v>58.967008100000001</v>
      </c>
      <c r="R107" s="962"/>
    </row>
    <row r="108" spans="2:21" ht="13.5" thickBot="1" x14ac:dyDescent="0.25">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5" thickBot="1" x14ac:dyDescent="0.25">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5" thickBot="1" x14ac:dyDescent="0.25">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25" thickTop="1" thickBot="1" x14ac:dyDescent="0.25">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5" thickBot="1" x14ac:dyDescent="0.25">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5" thickBot="1" x14ac:dyDescent="0.25">
      <c r="B113" s="667" t="s">
        <v>53</v>
      </c>
      <c r="C113" s="668">
        <v>201</v>
      </c>
      <c r="D113" s="669" t="s">
        <v>255</v>
      </c>
      <c r="E113" s="668">
        <v>53</v>
      </c>
      <c r="F113" s="669" t="s">
        <v>256</v>
      </c>
      <c r="G113" s="668">
        <v>155</v>
      </c>
      <c r="H113" s="670" t="s">
        <v>17</v>
      </c>
      <c r="I113" s="671">
        <v>0.31597222222222221</v>
      </c>
      <c r="J113" s="938" t="str">
        <f>"vVO2max  =  "&amp;TEXT(I113*(G113-E113)/(C113-E113),"h:mm")</f>
        <v>vVO2max  =  5:13</v>
      </c>
      <c r="K113" s="939"/>
      <c r="L113" s="940"/>
      <c r="N113" s="625"/>
      <c r="O113" s="625"/>
      <c r="P113" s="672">
        <v>188</v>
      </c>
      <c r="Q113" s="941">
        <f>P113*0.393700787</f>
        <v>74.015747955999998</v>
      </c>
      <c r="R113" s="942"/>
    </row>
    <row r="114" spans="2:34" ht="13.5" thickBot="1" x14ac:dyDescent="0.25">
      <c r="B114" s="673"/>
      <c r="C114" s="674"/>
      <c r="D114" s="674"/>
      <c r="E114" s="674"/>
      <c r="F114" s="674"/>
      <c r="G114" s="674"/>
      <c r="H114" s="674"/>
      <c r="I114" s="674"/>
      <c r="J114" s="674"/>
      <c r="K114" s="674"/>
      <c r="L114" s="675"/>
      <c r="N114" s="625"/>
      <c r="O114" s="625"/>
      <c r="P114" s="925" t="s">
        <v>257</v>
      </c>
      <c r="Q114" s="921"/>
      <c r="R114" s="922"/>
    </row>
    <row r="115" spans="2:34" ht="14.25" thickTop="1" thickBot="1" x14ac:dyDescent="0.25">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5" thickBot="1" x14ac:dyDescent="0.25">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5" thickBot="1" x14ac:dyDescent="0.25">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0" t="s">
        <v>290</v>
      </c>
      <c r="X131" s="911"/>
      <c r="Y131" s="911"/>
      <c r="Z131" s="911"/>
      <c r="AA131" s="911"/>
      <c r="AB131" s="911"/>
      <c r="AC131" s="911"/>
      <c r="AD131" s="911"/>
      <c r="AE131" s="911"/>
      <c r="AF131" s="911"/>
      <c r="AG131" s="91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3" t="s">
        <v>291</v>
      </c>
      <c r="AE133" s="914"/>
      <c r="AF133" s="91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5" thickBot="1" x14ac:dyDescent="0.25">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6" t="s">
        <v>203</v>
      </c>
      <c r="X234" s="897"/>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5" thickBot="1" x14ac:dyDescent="0.25">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6" t="s">
        <v>203</v>
      </c>
      <c r="X238" s="897"/>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5" thickBot="1" x14ac:dyDescent="0.25">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6" t="s">
        <v>203</v>
      </c>
      <c r="X242" s="897"/>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5" thickBot="1" x14ac:dyDescent="0.25">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6" t="s">
        <v>203</v>
      </c>
      <c r="X246" s="897"/>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5" thickBot="1" x14ac:dyDescent="0.25">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6" t="s">
        <v>203</v>
      </c>
      <c r="X250" s="897"/>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3" t="s">
        <v>310</v>
      </c>
      <c r="AG252" s="893"/>
    </row>
    <row r="253" spans="23:33" x14ac:dyDescent="0.2">
      <c r="Y253" s="893" t="s">
        <v>311</v>
      </c>
      <c r="Z253" s="893"/>
      <c r="AA253" s="893" t="s">
        <v>312</v>
      </c>
      <c r="AB253" s="893"/>
      <c r="AE253" s="805" t="s">
        <v>313</v>
      </c>
      <c r="AF253" s="806">
        <f>0.0015437*IF($L$80,($N$95*9/5)+32,$N$95)-0.09108933</f>
        <v>3.2406670000000012E-2</v>
      </c>
      <c r="AG253" s="807">
        <f ca="1">IF($M$102,MAX(AF253*$O$91,0),0)</f>
        <v>6.6384485996385633E-4</v>
      </c>
    </row>
    <row r="254" spans="23:33" x14ac:dyDescent="0.2">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3" t="s">
        <v>324</v>
      </c>
      <c r="AG261" s="893"/>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8" t="s">
        <v>1</v>
      </c>
      <c r="D1" s="879"/>
      <c r="E1" s="880"/>
      <c r="F1" s="3" t="s">
        <v>382</v>
      </c>
      <c r="G1" s="873" t="s">
        <v>453</v>
      </c>
      <c r="H1" s="873"/>
      <c r="I1" s="23" t="s">
        <v>2</v>
      </c>
      <c r="J1" s="873" t="s">
        <v>451</v>
      </c>
      <c r="K1" s="873"/>
      <c r="L1" s="1244"/>
      <c r="M1" s="879"/>
      <c r="N1" s="880"/>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5" t="s">
        <v>5</v>
      </c>
      <c r="D2" s="877"/>
      <c r="E2" s="882"/>
      <c r="F2" s="7" t="s">
        <v>33</v>
      </c>
      <c r="G2" s="873" t="s">
        <v>452</v>
      </c>
      <c r="H2" s="873"/>
      <c r="I2" s="6"/>
      <c r="J2" s="4"/>
      <c r="L2" s="877"/>
      <c r="M2" s="877"/>
      <c r="N2" s="882"/>
      <c r="O2" s="16"/>
      <c r="P2" s="8"/>
      <c r="Q2" s="9"/>
      <c r="R2" s="4"/>
      <c r="S2" s="4"/>
      <c r="T2" s="4"/>
      <c r="U2" s="4"/>
      <c r="V2" s="4"/>
      <c r="W2" s="4"/>
      <c r="X2" s="4"/>
      <c r="Y2" s="4"/>
      <c r="Z2" s="4"/>
      <c r="AA2" s="4"/>
    </row>
    <row r="3" spans="1:27" ht="15.75" customHeight="1" x14ac:dyDescent="0.2">
      <c r="A3" s="10" t="s">
        <v>6</v>
      </c>
      <c r="B3" s="11">
        <v>45963</v>
      </c>
      <c r="C3" s="886" t="s">
        <v>7</v>
      </c>
      <c r="D3" s="883"/>
      <c r="E3" s="884"/>
      <c r="F3" s="7" t="s">
        <v>34</v>
      </c>
      <c r="G3" s="873" t="s">
        <v>449</v>
      </c>
      <c r="H3" s="873"/>
      <c r="I3" s="6"/>
      <c r="J3" s="4"/>
      <c r="L3" s="877"/>
      <c r="M3" s="877"/>
      <c r="N3" s="882"/>
      <c r="O3" s="16"/>
      <c r="P3" s="6"/>
      <c r="Q3" s="4"/>
      <c r="R3" s="4"/>
      <c r="S3" s="4"/>
      <c r="T3" s="4"/>
      <c r="U3" s="4"/>
      <c r="V3" s="4"/>
      <c r="W3" s="4"/>
      <c r="X3" s="4"/>
      <c r="Y3" s="4"/>
      <c r="Z3" s="4"/>
      <c r="AA3" s="4"/>
    </row>
    <row r="4" spans="1:27" ht="15.75" customHeight="1" x14ac:dyDescent="0.2">
      <c r="A4" s="16"/>
      <c r="B4" s="6"/>
      <c r="C4" s="6"/>
      <c r="D4" s="6"/>
      <c r="E4" s="4"/>
      <c r="F4" s="12" t="s">
        <v>383</v>
      </c>
      <c r="G4" s="887" t="s">
        <v>450</v>
      </c>
      <c r="H4" s="887"/>
      <c r="I4" s="13"/>
      <c r="J4" s="850"/>
      <c r="K4" s="851"/>
      <c r="L4" s="883"/>
      <c r="M4" s="883"/>
      <c r="N4" s="884"/>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2025-08-27T21:50:17Z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