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omments1.xml" ContentType="application/vnd.openxmlformats-officedocument.spreadsheetml.comments+xml"/>
  <Override PartName="/xl/drawings/drawing3.xml" ContentType="application/vnd.openxmlformats-officedocument.drawing+xml"/>
  <Override PartName="/xl/ctrlProps/ctrlProp59.xml" ContentType="application/vnd.ms-excel.controlproperties+xml"/>
  <Override PartName="/xl/ctrlProps/ctrlProp60.xml" ContentType="application/vnd.ms-excel.controlproperties+xml"/>
  <Override PartName="/xl/ctrlProps/ctrlProp61.xml" ContentType="application/vnd.ms-excel.controlproperties+xml"/>
  <Override PartName="/xl/ctrlProps/ctrlProp62.xml" ContentType="application/vnd.ms-excel.controlproperties+xml"/>
  <Override PartName="/xl/ctrlProps/ctrlProp63.xml" ContentType="application/vnd.ms-excel.controlproperties+xml"/>
  <Override PartName="/xl/ctrlProps/ctrlProp64.xml" ContentType="application/vnd.ms-excel.controlproperties+xml"/>
  <Override PartName="/xl/ctrlProps/ctrlProp65.xml" ContentType="application/vnd.ms-excel.controlproperties+xml"/>
  <Override PartName="/xl/ctrlProps/ctrlProp66.xml" ContentType="application/vnd.ms-excel.controlproperties+xml"/>
  <Override PartName="/xl/ctrlProps/ctrlProp67.xml" ContentType="application/vnd.ms-excel.controlproperties+xml"/>
  <Override PartName="/xl/ctrlProps/ctrlProp68.xml" ContentType="application/vnd.ms-excel.controlproperties+xml"/>
  <Override PartName="/xl/ctrlProps/ctrlProp69.xml" ContentType="application/vnd.ms-excel.controlproperties+xml"/>
  <Override PartName="/xl/ctrlProps/ctrlProp70.xml" ContentType="application/vnd.ms-excel.controlproperties+xml"/>
  <Override PartName="/xl/ctrlProps/ctrlProp71.xml" ContentType="application/vnd.ms-excel.controlproperties+xml"/>
  <Override PartName="/xl/ctrlProps/ctrlProp72.xml" ContentType="application/vnd.ms-excel.controlproperties+xml"/>
  <Override PartName="/xl/ctrlProps/ctrlProp73.xml" ContentType="application/vnd.ms-excel.controlproperties+xml"/>
  <Override PartName="/xl/ctrlProps/ctrlProp74.xml" ContentType="application/vnd.ms-excel.controlproperties+xml"/>
  <Override PartName="/xl/ctrlProps/ctrlProp75.xml" ContentType="application/vnd.ms-excel.controlproperties+xml"/>
  <Override PartName="/xl/ctrlProps/ctrlProp76.xml" ContentType="application/vnd.ms-excel.controlproperties+xml"/>
  <Override PartName="/xl/ctrlProps/ctrlProp77.xml" ContentType="application/vnd.ms-excel.controlproperties+xml"/>
  <Override PartName="/xl/ctrlProps/ctrlProp78.xml" ContentType="application/vnd.ms-excel.controlproperties+xml"/>
  <Override PartName="/xl/ctrlProps/ctrlProp79.xml" ContentType="application/vnd.ms-excel.controlproperties+xml"/>
  <Override PartName="/xl/ctrlProps/ctrlProp80.xml" ContentType="application/vnd.ms-excel.controlproperties+xml"/>
  <Override PartName="/xl/ctrlProps/ctrlProp81.xml" ContentType="application/vnd.ms-excel.controlproperties+xml"/>
  <Override PartName="/xl/ctrlProps/ctrlProp82.xml" ContentType="application/vnd.ms-excel.controlproperties+xml"/>
  <Override PartName="/xl/ctrlProps/ctrlProp83.xml" ContentType="application/vnd.ms-excel.controlproperties+xml"/>
  <Override PartName="/xl/ctrlProps/ctrlProp84.xml" ContentType="application/vnd.ms-excel.controlproperties+xml"/>
  <Override PartName="/xl/ctrlProps/ctrlProp85.xml" ContentType="application/vnd.ms-excel.controlproperties+xml"/>
  <Override PartName="/xl/ctrlProps/ctrlProp86.xml" ContentType="application/vnd.ms-excel.controlproperties+xml"/>
  <Override PartName="/xl/ctrlProps/ctrlProp87.xml" ContentType="application/vnd.ms-excel.controlproperties+xml"/>
  <Override PartName="/xl/ctrlProps/ctrlProp88.xml" ContentType="application/vnd.ms-excel.controlproperties+xml"/>
  <Override PartName="/xl/ctrlProps/ctrlProp89.xml" ContentType="application/vnd.ms-excel.controlproperties+xml"/>
  <Override PartName="/xl/ctrlProps/ctrlProp90.xml" ContentType="application/vnd.ms-excel.controlproperties+xml"/>
  <Override PartName="/xl/ctrlProps/ctrlProp91.xml" ContentType="application/vnd.ms-excel.controlproperties+xml"/>
  <Override PartName="/xl/ctrlProps/ctrlProp92.xml" ContentType="application/vnd.ms-excel.controlproperties+xml"/>
  <Override PartName="/xl/ctrlProps/ctrlProp93.xml" ContentType="application/vnd.ms-excel.controlproperties+xml"/>
  <Override PartName="/xl/ctrlProps/ctrlProp94.xml" ContentType="application/vnd.ms-excel.controlproperties+xml"/>
  <Override PartName="/xl/ctrlProps/ctrlProp95.xml" ContentType="application/vnd.ms-excel.controlproperties+xml"/>
  <Override PartName="/xl/ctrlProps/ctrlProp96.xml" ContentType="application/vnd.ms-excel.controlproperties+xml"/>
  <Override PartName="/xl/ctrlProps/ctrlProp97.xml" ContentType="application/vnd.ms-excel.controlproperties+xml"/>
  <Override PartName="/xl/ctrlProps/ctrlProp98.xml" ContentType="application/vnd.ms-excel.controlproperties+xml"/>
  <Override PartName="/xl/ctrlProps/ctrlProp99.xml" ContentType="application/vnd.ms-excel.controlproperties+xml"/>
  <Override PartName="/xl/ctrlProps/ctrlProp100.xml" ContentType="application/vnd.ms-excel.controlproperties+xml"/>
  <Override PartName="/xl/ctrlProps/ctrlProp101.xml" ContentType="application/vnd.ms-excel.controlproperties+xml"/>
  <Override PartName="/xl/ctrlProps/ctrlProp102.xml" ContentType="application/vnd.ms-excel.controlproperties+xml"/>
  <Override PartName="/xl/ctrlProps/ctrlProp103.xml" ContentType="application/vnd.ms-excel.controlproperties+xml"/>
  <Override PartName="/xl/ctrlProps/ctrlProp104.xml" ContentType="application/vnd.ms-excel.controlproperties+xml"/>
  <Override PartName="/xl/ctrlProps/ctrlProp105.xml" ContentType="application/vnd.ms-excel.controlproperties+xml"/>
  <Override PartName="/xl/ctrlProps/ctrlProp106.xml" ContentType="application/vnd.ms-excel.controlproperties+xml"/>
  <Override PartName="/xl/ctrlProps/ctrlProp107.xml" ContentType="application/vnd.ms-excel.controlproperties+xml"/>
  <Override PartName="/xl/ctrlProps/ctrlProp108.xml" ContentType="application/vnd.ms-excel.controlproperties+xml"/>
  <Override PartName="/xl/ctrlProps/ctrlProp109.xml" ContentType="application/vnd.ms-excel.controlproperties+xml"/>
  <Override PartName="/xl/ctrlProps/ctrlProp110.xml" ContentType="application/vnd.ms-excel.controlproperties+xml"/>
  <Override PartName="/xl/ctrlProps/ctrlProp111.xml" ContentType="application/vnd.ms-excel.controlproperties+xml"/>
  <Override PartName="/xl/ctrlProps/ctrlProp112.xml" ContentType="application/vnd.ms-excel.controlproperties+xml"/>
  <Override PartName="/xl/ctrlProps/ctrlProp113.xml" ContentType="application/vnd.ms-excel.controlproperties+xml"/>
  <Override PartName="/xl/ctrlProps/ctrlProp114.xml" ContentType="application/vnd.ms-excel.controlproperties+xml"/>
  <Override PartName="/xl/ctrlProps/ctrlProp115.xml" ContentType="application/vnd.ms-excel.controlproperties+xml"/>
  <Override PartName="/xl/ctrlProps/ctrlProp116.xml" ContentType="application/vnd.ms-excel.controlpropertie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166925"/>
  <mc:AlternateContent xmlns:mc="http://schemas.openxmlformats.org/markup-compatibility/2006">
    <mc:Choice Requires="x15">
      <x15ac:absPath xmlns:x15ac="http://schemas.microsoft.com/office/spreadsheetml/2010/11/ac" url="D:\zz.Fun\Running\GitHub_Running\Running\TrainingPlans\"/>
    </mc:Choice>
  </mc:AlternateContent>
  <xr:revisionPtr revIDLastSave="0" documentId="13_ncr:1_{C0080D1D-122E-427B-80E2-23283205E9B5}" xr6:coauthVersionLast="47" xr6:coauthVersionMax="47" xr10:uidLastSave="{00000000-0000-0000-0000-000000000000}"/>
  <bookViews>
    <workbookView xWindow="-120" yWindow="-120" windowWidth="29040" windowHeight="15720" xr2:uid="{00000000-000D-0000-FFFF-FFFF00000000}"/>
  </bookViews>
  <sheets>
    <sheet name="2Q - 80" sheetId="9" r:id="rId1"/>
    <sheet name="Marathon Splits" sheetId="10" r:id="rId2"/>
    <sheet name="Daniel's Metrics" sheetId="7" r:id="rId3"/>
    <sheet name="Q Sessions" sheetId="8" r:id="rId4"/>
    <sheet name="Daniel's Tables" sheetId="6" r:id="rId5"/>
    <sheet name="Daniel's Tables - POST" sheetId="11" r:id="rId6"/>
    <sheet name="2Q - 55" sheetId="4"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2" i="10" l="1"/>
  <c r="C12" i="10"/>
  <c r="B12" i="10"/>
  <c r="J12" i="10"/>
  <c r="J4" i="10"/>
  <c r="J5" i="10"/>
  <c r="J6" i="10"/>
  <c r="J7" i="10"/>
  <c r="J8" i="10"/>
  <c r="J9" i="10"/>
  <c r="J10" i="10"/>
  <c r="J11" i="10"/>
  <c r="J3" i="10"/>
  <c r="I4" i="10"/>
  <c r="I5" i="10"/>
  <c r="I6" i="10"/>
  <c r="I7" i="10"/>
  <c r="I8" i="10"/>
  <c r="I9" i="10"/>
  <c r="I10" i="10"/>
  <c r="I11" i="10"/>
  <c r="I3" i="10"/>
  <c r="AF260" i="11"/>
  <c r="AC260" i="11"/>
  <c r="Z260" i="11"/>
  <c r="AF259" i="11"/>
  <c r="AC259" i="11"/>
  <c r="Z259" i="11"/>
  <c r="AC258" i="11"/>
  <c r="Z258" i="11"/>
  <c r="AF257" i="11"/>
  <c r="AC257" i="11"/>
  <c r="Z257" i="11"/>
  <c r="AF256" i="11"/>
  <c r="AC256" i="11"/>
  <c r="Z256" i="11"/>
  <c r="AC255" i="11"/>
  <c r="Z255" i="11"/>
  <c r="AF254" i="11"/>
  <c r="AC254" i="11"/>
  <c r="Z254" i="11"/>
  <c r="AF253" i="11"/>
  <c r="AB250" i="11"/>
  <c r="AF250" i="11" s="1"/>
  <c r="AF249" i="11"/>
  <c r="AE249" i="11"/>
  <c r="AD249" i="11"/>
  <c r="AC249" i="11"/>
  <c r="AB249" i="11"/>
  <c r="AA249" i="11"/>
  <c r="Z249" i="11"/>
  <c r="W249" i="11"/>
  <c r="Z248" i="11"/>
  <c r="AB246" i="11"/>
  <c r="AF246" i="11" s="1"/>
  <c r="AA246" i="11"/>
  <c r="Z246" i="11"/>
  <c r="AF245" i="11"/>
  <c r="AE245" i="11"/>
  <c r="AD245" i="11"/>
  <c r="AC245" i="11"/>
  <c r="AB245" i="11"/>
  <c r="AA245" i="11"/>
  <c r="Z245" i="11"/>
  <c r="W245" i="11"/>
  <c r="Z244" i="11"/>
  <c r="Y242" i="11"/>
  <c r="AF241" i="11"/>
  <c r="AE241" i="11"/>
  <c r="AD241" i="11"/>
  <c r="AD242" i="11" s="1"/>
  <c r="AC241" i="11"/>
  <c r="AB241" i="11"/>
  <c r="AA241" i="11"/>
  <c r="Z241" i="11"/>
  <c r="Z242" i="11" s="1"/>
  <c r="Y241" i="11"/>
  <c r="W241" i="11"/>
  <c r="Z240" i="11"/>
  <c r="Y238" i="11"/>
  <c r="AG237" i="11"/>
  <c r="AF237" i="11"/>
  <c r="AE237" i="11"/>
  <c r="AD237" i="11"/>
  <c r="AC237" i="11"/>
  <c r="AB237" i="11"/>
  <c r="AA237" i="11"/>
  <c r="Z237" i="11"/>
  <c r="Y237" i="11"/>
  <c r="W237" i="11"/>
  <c r="Z236" i="11"/>
  <c r="Y234" i="11"/>
  <c r="AG233" i="11"/>
  <c r="L81" i="11" s="1"/>
  <c r="AF233" i="11"/>
  <c r="K81" i="11" s="1"/>
  <c r="AE233" i="11"/>
  <c r="J81" i="11" s="1"/>
  <c r="AD233" i="11"/>
  <c r="I81" i="11" s="1"/>
  <c r="AC233" i="11"/>
  <c r="H81" i="11" s="1"/>
  <c r="AB233" i="11"/>
  <c r="G81" i="11" s="1"/>
  <c r="AA233" i="11"/>
  <c r="F81" i="11" s="1"/>
  <c r="Z233" i="11"/>
  <c r="E81" i="11" s="1"/>
  <c r="Y233" i="11"/>
  <c r="D81" i="11" s="1"/>
  <c r="W233" i="11"/>
  <c r="B81" i="11" s="1"/>
  <c r="D56" i="11" s="1"/>
  <c r="Z232" i="11"/>
  <c r="AB213" i="11"/>
  <c r="AB211" i="11"/>
  <c r="AB209" i="11"/>
  <c r="AB207" i="11"/>
  <c r="AB205" i="11"/>
  <c r="AB203" i="11"/>
  <c r="AB201" i="11"/>
  <c r="AB199" i="11"/>
  <c r="AB197" i="11"/>
  <c r="AB195" i="11"/>
  <c r="AB193" i="11"/>
  <c r="AB191" i="11"/>
  <c r="AB189" i="11"/>
  <c r="AB187" i="11"/>
  <c r="AB185" i="11"/>
  <c r="AB183" i="11"/>
  <c r="AB181" i="11"/>
  <c r="AB179" i="11"/>
  <c r="AB177" i="11"/>
  <c r="AB175" i="11"/>
  <c r="AB173" i="11"/>
  <c r="AB171" i="11"/>
  <c r="AB169" i="11"/>
  <c r="AB167" i="11"/>
  <c r="AB165" i="11"/>
  <c r="AB163" i="11"/>
  <c r="AB161" i="11"/>
  <c r="AB159" i="11"/>
  <c r="AB157" i="11"/>
  <c r="AB155" i="11"/>
  <c r="AB153" i="11"/>
  <c r="AB151" i="11"/>
  <c r="AB149" i="11"/>
  <c r="AB147" i="11"/>
  <c r="AB145" i="11"/>
  <c r="AB143" i="11"/>
  <c r="AB141" i="11"/>
  <c r="AB139" i="11"/>
  <c r="AB137" i="11"/>
  <c r="AD136" i="11"/>
  <c r="AD137" i="11" s="1"/>
  <c r="AD138" i="11" s="1"/>
  <c r="AD139" i="11" s="1"/>
  <c r="AD140" i="11" s="1"/>
  <c r="AD141" i="11" s="1"/>
  <c r="AD142" i="11" s="1"/>
  <c r="AD143" i="11" s="1"/>
  <c r="AD144" i="11" s="1"/>
  <c r="AD145" i="11" s="1"/>
  <c r="AD146" i="11" s="1"/>
  <c r="AD147" i="11" s="1"/>
  <c r="AD148" i="11" s="1"/>
  <c r="AD149" i="11" s="1"/>
  <c r="AD150" i="11" s="1"/>
  <c r="AD151" i="11" s="1"/>
  <c r="AD152" i="11" s="1"/>
  <c r="AD153" i="11" s="1"/>
  <c r="AD154" i="11" s="1"/>
  <c r="AD155" i="11" s="1"/>
  <c r="AD156" i="11" s="1"/>
  <c r="AD157" i="11" s="1"/>
  <c r="AD158" i="11" s="1"/>
  <c r="AD159" i="11" s="1"/>
  <c r="AD160" i="11" s="1"/>
  <c r="AD161" i="11" s="1"/>
  <c r="AD162" i="11" s="1"/>
  <c r="AD163" i="11" s="1"/>
  <c r="AD164" i="11" s="1"/>
  <c r="AD165" i="11" s="1"/>
  <c r="AD166" i="11" s="1"/>
  <c r="AD167" i="11" s="1"/>
  <c r="AD168" i="11" s="1"/>
  <c r="AD169" i="11" s="1"/>
  <c r="AD170" i="11" s="1"/>
  <c r="AD171" i="11" s="1"/>
  <c r="AD172" i="11" s="1"/>
  <c r="AD173" i="11" s="1"/>
  <c r="AD174" i="11" s="1"/>
  <c r="AD175" i="11" s="1"/>
  <c r="AD176" i="11" s="1"/>
  <c r="AD177" i="11" s="1"/>
  <c r="AD178" i="11" s="1"/>
  <c r="AD179" i="11" s="1"/>
  <c r="AD180" i="11" s="1"/>
  <c r="AD181" i="11" s="1"/>
  <c r="AD182" i="11" s="1"/>
  <c r="AD183" i="11" s="1"/>
  <c r="AD184" i="11" s="1"/>
  <c r="AD185" i="11" s="1"/>
  <c r="AD186" i="11" s="1"/>
  <c r="AD187" i="11" s="1"/>
  <c r="AD188" i="11" s="1"/>
  <c r="AD189" i="11" s="1"/>
  <c r="AD190" i="11" s="1"/>
  <c r="AD191" i="11" s="1"/>
  <c r="AD192" i="11" s="1"/>
  <c r="AD193" i="11" s="1"/>
  <c r="AD194" i="11" s="1"/>
  <c r="AD195" i="11" s="1"/>
  <c r="AD196" i="11" s="1"/>
  <c r="AD197" i="11" s="1"/>
  <c r="AD198" i="11" s="1"/>
  <c r="AD199" i="11" s="1"/>
  <c r="AD200" i="11" s="1"/>
  <c r="AD201" i="11" s="1"/>
  <c r="AD202" i="11" s="1"/>
  <c r="AD203" i="11" s="1"/>
  <c r="AD204" i="11" s="1"/>
  <c r="AD205" i="11" s="1"/>
  <c r="AD206" i="11" s="1"/>
  <c r="AD207" i="11" s="1"/>
  <c r="AD208" i="11" s="1"/>
  <c r="AD209" i="11" s="1"/>
  <c r="AD210" i="11" s="1"/>
  <c r="AD211" i="11" s="1"/>
  <c r="AD212" i="11" s="1"/>
  <c r="AD213" i="11" s="1"/>
  <c r="AD214" i="11" s="1"/>
  <c r="AD215" i="11" s="1"/>
  <c r="AD216" i="11" s="1"/>
  <c r="AD217" i="11" s="1"/>
  <c r="AD218" i="11" s="1"/>
  <c r="AD219" i="11" s="1"/>
  <c r="AD220" i="11" s="1"/>
  <c r="AD221" i="11" s="1"/>
  <c r="AD222" i="11" s="1"/>
  <c r="AD223" i="11" s="1"/>
  <c r="AD224" i="11" s="1"/>
  <c r="AD225" i="11" s="1"/>
  <c r="AD226" i="11" s="1"/>
  <c r="AD227" i="11" s="1"/>
  <c r="AD228" i="11" s="1"/>
  <c r="AD229" i="11" s="1"/>
  <c r="AD230" i="11" s="1"/>
  <c r="K126" i="11"/>
  <c r="J126" i="11"/>
  <c r="I126" i="11"/>
  <c r="H126" i="11"/>
  <c r="H119" i="11" s="1"/>
  <c r="G126" i="11"/>
  <c r="G119" i="11" s="1"/>
  <c r="F126" i="11"/>
  <c r="F119" i="11" s="1"/>
  <c r="E126" i="11"/>
  <c r="E119" i="11" s="1"/>
  <c r="L125" i="11"/>
  <c r="M125" i="11" s="1"/>
  <c r="R124" i="11"/>
  <c r="L124" i="11"/>
  <c r="R123" i="11"/>
  <c r="L123" i="11"/>
  <c r="R122" i="11"/>
  <c r="L122" i="11"/>
  <c r="R120" i="11"/>
  <c r="Q120" i="11"/>
  <c r="R119" i="11"/>
  <c r="Q119" i="11"/>
  <c r="K119" i="11"/>
  <c r="J119" i="11"/>
  <c r="I119" i="11"/>
  <c r="R118" i="11"/>
  <c r="Q118" i="11"/>
  <c r="R117" i="11"/>
  <c r="Q117" i="11"/>
  <c r="R116" i="11"/>
  <c r="Q116" i="11"/>
  <c r="R115" i="11"/>
  <c r="Q115" i="11"/>
  <c r="Q113" i="11"/>
  <c r="J113" i="11"/>
  <c r="Q112" i="11"/>
  <c r="Q111" i="11"/>
  <c r="Q110" i="11"/>
  <c r="G110" i="11"/>
  <c r="E110" i="11"/>
  <c r="C110" i="11"/>
  <c r="G109" i="11"/>
  <c r="J109" i="11" s="1"/>
  <c r="F109" i="11" s="1"/>
  <c r="K109" i="11" s="1"/>
  <c r="L109" i="11" s="1"/>
  <c r="Q108" i="11"/>
  <c r="G108" i="11"/>
  <c r="J108" i="11" s="1"/>
  <c r="F108" i="11" s="1"/>
  <c r="K108" i="11" s="1"/>
  <c r="L108" i="11" s="1"/>
  <c r="Q107" i="11"/>
  <c r="Q106" i="11"/>
  <c r="G106" i="11"/>
  <c r="J106" i="11" s="1"/>
  <c r="E106" i="11"/>
  <c r="B106" i="11"/>
  <c r="Q105" i="11"/>
  <c r="M105" i="11"/>
  <c r="M104" i="11"/>
  <c r="I104" i="11"/>
  <c r="F104" i="11"/>
  <c r="P103" i="11"/>
  <c r="Q102" i="11"/>
  <c r="G102" i="11"/>
  <c r="K102" i="11" s="1"/>
  <c r="E102" i="11"/>
  <c r="B102" i="11"/>
  <c r="G101" i="11"/>
  <c r="K101" i="11" s="1"/>
  <c r="E101" i="11"/>
  <c r="B101" i="11"/>
  <c r="Q100" i="11"/>
  <c r="R97" i="11"/>
  <c r="K97" i="11"/>
  <c r="J97" i="11"/>
  <c r="I97" i="11"/>
  <c r="H97" i="11"/>
  <c r="G97" i="11"/>
  <c r="F97" i="11"/>
  <c r="E97" i="11"/>
  <c r="D97" i="11"/>
  <c r="B97" i="11"/>
  <c r="M96" i="11"/>
  <c r="R95" i="11"/>
  <c r="M95" i="11"/>
  <c r="K95" i="11"/>
  <c r="J95" i="11"/>
  <c r="I95" i="11"/>
  <c r="G95" i="11"/>
  <c r="R92" i="11"/>
  <c r="B92" i="11"/>
  <c r="M91" i="11"/>
  <c r="R90" i="11"/>
  <c r="N89" i="11"/>
  <c r="L89" i="11"/>
  <c r="K89" i="11"/>
  <c r="J89" i="11"/>
  <c r="I89" i="11"/>
  <c r="H89" i="11"/>
  <c r="G89" i="11"/>
  <c r="F89" i="11"/>
  <c r="E89" i="11"/>
  <c r="D89" i="11"/>
  <c r="B89" i="11"/>
  <c r="M88" i="11"/>
  <c r="K88" i="11"/>
  <c r="J88" i="11"/>
  <c r="I88" i="11"/>
  <c r="H88" i="11"/>
  <c r="G88" i="11"/>
  <c r="F88" i="11"/>
  <c r="B88" i="11"/>
  <c r="B87" i="11"/>
  <c r="R85" i="11"/>
  <c r="P86" i="11" s="1"/>
  <c r="O85" i="11"/>
  <c r="P84" i="11"/>
  <c r="M84" i="11"/>
  <c r="B84" i="11"/>
  <c r="B83" i="11"/>
  <c r="Q80" i="11"/>
  <c r="P80" i="11"/>
  <c r="J80" i="11"/>
  <c r="C80" i="11"/>
  <c r="R79" i="11"/>
  <c r="P78" i="11"/>
  <c r="C78" i="11"/>
  <c r="L76" i="11" s="1"/>
  <c r="R77" i="11"/>
  <c r="B77" i="11"/>
  <c r="O74" i="11"/>
  <c r="O76" i="11" s="1"/>
  <c r="P73" i="11"/>
  <c r="P3" i="11" s="1"/>
  <c r="M73" i="11"/>
  <c r="L72" i="11"/>
  <c r="K72" i="11"/>
  <c r="J72" i="11"/>
  <c r="I72" i="11"/>
  <c r="G72" i="11"/>
  <c r="M71" i="11"/>
  <c r="B71" i="11"/>
  <c r="E70" i="11"/>
  <c r="Z69" i="11"/>
  <c r="Y69" i="11"/>
  <c r="S69" i="11"/>
  <c r="Z68" i="11"/>
  <c r="Y68" i="11"/>
  <c r="Z67" i="11"/>
  <c r="Y67" i="11"/>
  <c r="W67" i="11"/>
  <c r="AA67" i="11" s="1"/>
  <c r="S67" i="11"/>
  <c r="Z66" i="11"/>
  <c r="Y66" i="11"/>
  <c r="S66" i="11"/>
  <c r="O66" i="11" s="1"/>
  <c r="P66" i="11" s="1"/>
  <c r="Z65" i="11"/>
  <c r="Y65" i="11"/>
  <c r="M65" i="11"/>
  <c r="Z64" i="11"/>
  <c r="Y64" i="11"/>
  <c r="S64" i="11"/>
  <c r="AB63" i="11"/>
  <c r="AA63" i="11"/>
  <c r="Z63" i="11"/>
  <c r="Y63" i="11"/>
  <c r="W63" i="11"/>
  <c r="M63" i="11"/>
  <c r="Z62" i="11"/>
  <c r="Y62" i="11"/>
  <c r="W62" i="11"/>
  <c r="S62" i="11"/>
  <c r="M62" i="11"/>
  <c r="M64" i="11" s="1"/>
  <c r="Z61" i="11"/>
  <c r="Y61" i="11"/>
  <c r="W61" i="11"/>
  <c r="AB61" i="11" s="1"/>
  <c r="S61" i="11"/>
  <c r="Z60" i="11"/>
  <c r="Y60" i="11"/>
  <c r="W60" i="11"/>
  <c r="AA60" i="11" s="1"/>
  <c r="S60" i="11"/>
  <c r="Z59" i="11"/>
  <c r="Y59" i="11"/>
  <c r="W59" i="11"/>
  <c r="L59" i="11"/>
  <c r="K59" i="11"/>
  <c r="J59" i="11"/>
  <c r="I59" i="11"/>
  <c r="H59" i="11"/>
  <c r="G59" i="11"/>
  <c r="F59" i="11"/>
  <c r="E59" i="11"/>
  <c r="D59" i="11"/>
  <c r="B59" i="11"/>
  <c r="Z58" i="11"/>
  <c r="Y58" i="11"/>
  <c r="S58" i="11"/>
  <c r="W58" i="11" s="1"/>
  <c r="B58" i="11"/>
  <c r="Z57" i="11"/>
  <c r="Y57" i="11"/>
  <c r="W57" i="11"/>
  <c r="Z56" i="11"/>
  <c r="Y56" i="11"/>
  <c r="W56" i="11"/>
  <c r="AB56" i="11" s="1"/>
  <c r="S56" i="11"/>
  <c r="Z55" i="11"/>
  <c r="Y55" i="11"/>
  <c r="W55" i="11"/>
  <c r="AA55" i="11" s="1"/>
  <c r="Z54" i="11"/>
  <c r="Y54" i="11"/>
  <c r="W54" i="11"/>
  <c r="AB54" i="11" s="1"/>
  <c r="B54" i="11"/>
  <c r="Z53" i="11"/>
  <c r="Y53" i="11"/>
  <c r="S53" i="11"/>
  <c r="W53" i="11" s="1"/>
  <c r="Z52" i="11"/>
  <c r="Y52" i="11"/>
  <c r="S52" i="11"/>
  <c r="W52" i="11" s="1"/>
  <c r="O52" i="11"/>
  <c r="Z51" i="11"/>
  <c r="AB51" i="11" s="1"/>
  <c r="Y51" i="11"/>
  <c r="AA51" i="11" s="1"/>
  <c r="W51" i="11"/>
  <c r="Z50" i="11"/>
  <c r="Y50" i="11"/>
  <c r="S50" i="11"/>
  <c r="W50" i="11" s="1"/>
  <c r="R49" i="11"/>
  <c r="P49" i="11"/>
  <c r="P48" i="11"/>
  <c r="B48" i="11"/>
  <c r="D47" i="11"/>
  <c r="B47" i="11"/>
  <c r="E50" i="11" s="1"/>
  <c r="C44" i="11"/>
  <c r="C43" i="11"/>
  <c r="C42" i="11"/>
  <c r="Q41" i="11"/>
  <c r="P41" i="11"/>
  <c r="O41" i="11"/>
  <c r="N41" i="11"/>
  <c r="M41" i="11"/>
  <c r="C41" i="11"/>
  <c r="Z40" i="11"/>
  <c r="Y40" i="11"/>
  <c r="X40" i="11"/>
  <c r="W40" i="11"/>
  <c r="Q40" i="11"/>
  <c r="R40" i="11" s="1"/>
  <c r="C40" i="11"/>
  <c r="Z39" i="11"/>
  <c r="Y39" i="11"/>
  <c r="X39" i="11"/>
  <c r="C39" i="11"/>
  <c r="Z38" i="11"/>
  <c r="Y38" i="11"/>
  <c r="X38" i="11"/>
  <c r="C38" i="11"/>
  <c r="Z37" i="11"/>
  <c r="C37" i="11"/>
  <c r="Z36" i="11"/>
  <c r="C36" i="11"/>
  <c r="Z35" i="11"/>
  <c r="C35" i="11"/>
  <c r="Z34" i="11"/>
  <c r="C34" i="11"/>
  <c r="Z33" i="11"/>
  <c r="C33" i="11"/>
  <c r="Z32" i="11"/>
  <c r="C32" i="11"/>
  <c r="Z31" i="11"/>
  <c r="C31" i="11"/>
  <c r="N30" i="11"/>
  <c r="C30" i="11"/>
  <c r="C29" i="11"/>
  <c r="C28" i="11"/>
  <c r="C27" i="11"/>
  <c r="C26" i="11"/>
  <c r="C25" i="11"/>
  <c r="C24" i="11"/>
  <c r="C23" i="11"/>
  <c r="C22" i="11"/>
  <c r="C21" i="11"/>
  <c r="C20" i="11"/>
  <c r="B20" i="11"/>
  <c r="B21" i="11" s="1"/>
  <c r="B22" i="11" s="1"/>
  <c r="B23" i="11" s="1"/>
  <c r="B24" i="11" s="1"/>
  <c r="B25" i="11" s="1"/>
  <c r="B26" i="11" s="1"/>
  <c r="B27" i="11" s="1"/>
  <c r="B28" i="11" s="1"/>
  <c r="B29" i="11" s="1"/>
  <c r="B30" i="11" s="1"/>
  <c r="B31" i="11" s="1"/>
  <c r="B32" i="11" s="1"/>
  <c r="B33" i="11" s="1"/>
  <c r="B34" i="11" s="1"/>
  <c r="B35" i="11" s="1"/>
  <c r="B36" i="11" s="1"/>
  <c r="B37" i="11" s="1"/>
  <c r="B38" i="11" s="1"/>
  <c r="B39" i="11" s="1"/>
  <c r="B40" i="11" s="1"/>
  <c r="B41" i="11" s="1"/>
  <c r="B42" i="11" s="1"/>
  <c r="B43" i="11" s="1"/>
  <c r="B44" i="11" s="1"/>
  <c r="C19" i="11"/>
  <c r="B19" i="11"/>
  <c r="N16" i="11"/>
  <c r="N10" i="11" s="1"/>
  <c r="N11" i="11" s="1"/>
  <c r="M16" i="11"/>
  <c r="M10" i="11" s="1"/>
  <c r="M11" i="11" s="1"/>
  <c r="L16" i="11"/>
  <c r="L14" i="11" s="1"/>
  <c r="L15" i="11" s="1"/>
  <c r="K16" i="11"/>
  <c r="K14" i="11" s="1"/>
  <c r="J16" i="11"/>
  <c r="J10" i="11" s="1"/>
  <c r="C15" i="11"/>
  <c r="C14" i="11"/>
  <c r="C13" i="11"/>
  <c r="B13" i="11"/>
  <c r="C12" i="11"/>
  <c r="G11" i="11"/>
  <c r="G13" i="11" s="1"/>
  <c r="G12" i="11" s="1"/>
  <c r="F11" i="11"/>
  <c r="F13" i="11" s="1"/>
  <c r="F12" i="11" s="1"/>
  <c r="E11" i="11"/>
  <c r="E13" i="11" s="1"/>
  <c r="E12" i="11" s="1"/>
  <c r="D11" i="11"/>
  <c r="D13" i="11" s="1"/>
  <c r="D12" i="11" s="1"/>
  <c r="C11" i="11"/>
  <c r="S9" i="11"/>
  <c r="R9" i="11"/>
  <c r="K9" i="11"/>
  <c r="K8" i="11" s="1"/>
  <c r="S65" i="11" s="1"/>
  <c r="G9" i="11"/>
  <c r="F9" i="11"/>
  <c r="D9" i="11"/>
  <c r="S8" i="11"/>
  <c r="Q8" i="11"/>
  <c r="P8" i="11"/>
  <c r="O8" i="11"/>
  <c r="N8" i="11"/>
  <c r="M8" i="11"/>
  <c r="L8" i="11"/>
  <c r="J8" i="11"/>
  <c r="S68" i="11" s="1"/>
  <c r="W68" i="11" s="1"/>
  <c r="F8" i="11"/>
  <c r="D8" i="11"/>
  <c r="O56" i="11" s="1"/>
  <c r="P6" i="11"/>
  <c r="O6" i="11"/>
  <c r="N6" i="11"/>
  <c r="B6" i="11"/>
  <c r="E5" i="11"/>
  <c r="M74" i="11" s="1"/>
  <c r="P4" i="11"/>
  <c r="B3" i="11"/>
  <c r="B2" i="11"/>
  <c r="AE242" i="11" l="1"/>
  <c r="AC238" i="11"/>
  <c r="M75" i="11"/>
  <c r="Z250" i="11"/>
  <c r="AD250" i="11"/>
  <c r="I6" i="11"/>
  <c r="Y37" i="11" s="1"/>
  <c r="AF238" i="11"/>
  <c r="AD238" i="11"/>
  <c r="AG238" i="11"/>
  <c r="AE238" i="11"/>
  <c r="AE250" i="11"/>
  <c r="H95" i="11"/>
  <c r="R76" i="11"/>
  <c r="N48" i="11"/>
  <c r="AB58" i="11"/>
  <c r="AA58" i="11"/>
  <c r="N18" i="11"/>
  <c r="N13" i="11"/>
  <c r="N12" i="11" s="1"/>
  <c r="AB52" i="11"/>
  <c r="AA52" i="11"/>
  <c r="W65" i="11"/>
  <c r="O65" i="11"/>
  <c r="Q65" i="11" s="1"/>
  <c r="R65" i="11" s="1"/>
  <c r="Q56" i="11"/>
  <c r="R56" i="11" s="1"/>
  <c r="X36" i="11"/>
  <c r="W36" i="11"/>
  <c r="Q36" i="11" s="1"/>
  <c r="R36" i="11" s="1"/>
  <c r="W38" i="11"/>
  <c r="Q38" i="11" s="1"/>
  <c r="R38" i="11" s="1"/>
  <c r="X37" i="11"/>
  <c r="W39" i="11"/>
  <c r="Q39" i="11" s="1"/>
  <c r="R39" i="11" s="1"/>
  <c r="Y32" i="11"/>
  <c r="B62" i="11"/>
  <c r="W37" i="11"/>
  <c r="Q37" i="11" s="1"/>
  <c r="R37" i="11" s="1"/>
  <c r="Y31" i="11"/>
  <c r="W34" i="11"/>
  <c r="Q34" i="11" s="1"/>
  <c r="R34" i="11" s="1"/>
  <c r="J90" i="11"/>
  <c r="J91" i="11" s="1"/>
  <c r="J92" i="11" s="1"/>
  <c r="Y34" i="11"/>
  <c r="W31" i="11"/>
  <c r="Q31" i="11" s="1"/>
  <c r="R31" i="11" s="1"/>
  <c r="Y33" i="11"/>
  <c r="W33" i="11"/>
  <c r="Q33" i="11" s="1"/>
  <c r="R33" i="11" s="1"/>
  <c r="Y36" i="11"/>
  <c r="K90" i="11"/>
  <c r="K91" i="11" s="1"/>
  <c r="K92" i="11" s="1"/>
  <c r="L6" i="11"/>
  <c r="X33" i="11"/>
  <c r="B61" i="11"/>
  <c r="B60" i="11" s="1"/>
  <c r="H90" i="11"/>
  <c r="H91" i="11" s="1"/>
  <c r="H92" i="11" s="1"/>
  <c r="L90" i="11"/>
  <c r="L91" i="11" s="1"/>
  <c r="L92" i="11" s="1"/>
  <c r="F90" i="11"/>
  <c r="F91" i="11" s="1"/>
  <c r="F92" i="11" s="1"/>
  <c r="F106" i="11"/>
  <c r="K106" i="11" s="1"/>
  <c r="L106" i="11" s="1"/>
  <c r="I90" i="11"/>
  <c r="I91" i="11" s="1"/>
  <c r="I92" i="11" s="1"/>
  <c r="G90" i="11"/>
  <c r="G91" i="11" s="1"/>
  <c r="G92" i="11" s="1"/>
  <c r="E90" i="11"/>
  <c r="E91" i="11" s="1"/>
  <c r="E92" i="11" s="1"/>
  <c r="Y35" i="11"/>
  <c r="D90" i="11"/>
  <c r="D91" i="11" s="1"/>
  <c r="D92" i="11" s="1"/>
  <c r="W32" i="11"/>
  <c r="Q32" i="11" s="1"/>
  <c r="R32" i="11" s="1"/>
  <c r="X35" i="11"/>
  <c r="W35" i="11"/>
  <c r="Q35" i="11" s="1"/>
  <c r="R35" i="11" s="1"/>
  <c r="X32" i="11"/>
  <c r="K15" i="11"/>
  <c r="J71" i="11"/>
  <c r="Q52" i="11"/>
  <c r="R52" i="11" s="1"/>
  <c r="J11" i="11"/>
  <c r="Z217" i="11"/>
  <c r="Y217" i="11"/>
  <c r="X217" i="11"/>
  <c r="H10" i="11"/>
  <c r="I10" i="11"/>
  <c r="W217" i="11"/>
  <c r="M13" i="11"/>
  <c r="M12" i="11" s="1"/>
  <c r="M18" i="11"/>
  <c r="X56" i="11"/>
  <c r="P56" i="11"/>
  <c r="I102" i="11"/>
  <c r="P52" i="11"/>
  <c r="H109" i="11"/>
  <c r="Q16" i="11"/>
  <c r="O64" i="11"/>
  <c r="Q64" i="11" s="1"/>
  <c r="R64" i="11" s="1"/>
  <c r="O67" i="11"/>
  <c r="G104" i="11"/>
  <c r="H106" i="11" s="1"/>
  <c r="X52" i="11"/>
  <c r="I109" i="11"/>
  <c r="AA54" i="11"/>
  <c r="S16" i="11"/>
  <c r="AG234" i="11"/>
  <c r="L82" i="11" s="1"/>
  <c r="L83" i="11" s="1"/>
  <c r="L84" i="11" s="1"/>
  <c r="AF234" i="11"/>
  <c r="K82" i="11" s="1"/>
  <c r="K83" i="11" s="1"/>
  <c r="K84" i="11" s="1"/>
  <c r="AE234" i="11"/>
  <c r="J82" i="11" s="1"/>
  <c r="J83" i="11" s="1"/>
  <c r="J84" i="11" s="1"/>
  <c r="AD234" i="11"/>
  <c r="I82" i="11" s="1"/>
  <c r="I83" i="11" s="1"/>
  <c r="I84" i="11" s="1"/>
  <c r="D18" i="11"/>
  <c r="E18" i="11"/>
  <c r="J110" i="11"/>
  <c r="F110" i="11" s="1"/>
  <c r="K110" i="11" s="1"/>
  <c r="L110" i="11" s="1"/>
  <c r="Z234" i="11"/>
  <c r="E82" i="11" s="1"/>
  <c r="E83" i="11" s="1"/>
  <c r="M94" i="11"/>
  <c r="F18" i="11"/>
  <c r="J14" i="11"/>
  <c r="W218" i="11" s="1"/>
  <c r="G18" i="11"/>
  <c r="AA234" i="11"/>
  <c r="F82" i="11" s="1"/>
  <c r="F83" i="11" s="1"/>
  <c r="F84" i="11" s="1"/>
  <c r="AA265" i="11"/>
  <c r="AA263" i="11"/>
  <c r="AA68" i="11"/>
  <c r="AB68" i="11"/>
  <c r="X66" i="11"/>
  <c r="O60" i="11"/>
  <c r="O16" i="11"/>
  <c r="M14" i="11"/>
  <c r="AB55" i="11"/>
  <c r="M90" i="11"/>
  <c r="O58" i="11"/>
  <c r="W64" i="11"/>
  <c r="AA57" i="11"/>
  <c r="AB57" i="11"/>
  <c r="AB62" i="11"/>
  <c r="AA62" i="11"/>
  <c r="AB234" i="11"/>
  <c r="G82" i="11" s="1"/>
  <c r="G83" i="11" s="1"/>
  <c r="G84" i="11" s="1"/>
  <c r="O84" i="11"/>
  <c r="G50" i="11"/>
  <c r="I50" i="11"/>
  <c r="AB50" i="11"/>
  <c r="AA50" i="11"/>
  <c r="O63" i="11"/>
  <c r="E88" i="11"/>
  <c r="Q66" i="11"/>
  <c r="R66" i="11" s="1"/>
  <c r="F76" i="11"/>
  <c r="N14" i="11"/>
  <c r="O68" i="11"/>
  <c r="Q68" i="11" s="1"/>
  <c r="R68" i="11" s="1"/>
  <c r="Q69" i="11"/>
  <c r="R69" i="11" s="1"/>
  <c r="G76" i="11"/>
  <c r="H76" i="11"/>
  <c r="AC246" i="11"/>
  <c r="O51" i="11"/>
  <c r="O55" i="11"/>
  <c r="Q55" i="11" s="1"/>
  <c r="R55" i="11" s="1"/>
  <c r="O61" i="11"/>
  <c r="Q61" i="11" s="1"/>
  <c r="R61" i="11" s="1"/>
  <c r="R72" i="11"/>
  <c r="AC234" i="11"/>
  <c r="H82" i="11" s="1"/>
  <c r="H83" i="11" s="1"/>
  <c r="AB60" i="11"/>
  <c r="AB67" i="11"/>
  <c r="N90" i="11"/>
  <c r="L126" i="11"/>
  <c r="K10" i="11"/>
  <c r="K11" i="11" s="1"/>
  <c r="L10" i="11"/>
  <c r="L11" i="11" s="1"/>
  <c r="D82" i="11"/>
  <c r="D83" i="11" s="1"/>
  <c r="AA61" i="11"/>
  <c r="O69" i="11"/>
  <c r="I76" i="11"/>
  <c r="Z238" i="11"/>
  <c r="AD246" i="11"/>
  <c r="P16" i="11"/>
  <c r="R16" i="11"/>
  <c r="O53" i="11"/>
  <c r="AB53" i="11"/>
  <c r="AA53" i="11"/>
  <c r="O59" i="11"/>
  <c r="Q59" i="11" s="1"/>
  <c r="R59" i="11" s="1"/>
  <c r="Q63" i="11"/>
  <c r="R63" i="11" s="1"/>
  <c r="P5" i="11"/>
  <c r="AA56" i="11"/>
  <c r="AB59" i="11"/>
  <c r="AA59" i="11"/>
  <c r="W69" i="11"/>
  <c r="J76" i="11"/>
  <c r="H108" i="11"/>
  <c r="AA238" i="11"/>
  <c r="AE246" i="11"/>
  <c r="O62" i="11"/>
  <c r="K50" i="11"/>
  <c r="O50" i="11"/>
  <c r="K76" i="11"/>
  <c r="I108" i="11"/>
  <c r="AB238" i="11"/>
  <c r="W66" i="11"/>
  <c r="C50" i="11"/>
  <c r="Q75" i="11"/>
  <c r="O54" i="11"/>
  <c r="O57" i="11"/>
  <c r="AA242" i="11"/>
  <c r="AA250" i="11"/>
  <c r="AB242" i="11"/>
  <c r="AC242" i="11"/>
  <c r="AC250" i="11"/>
  <c r="I101" i="11"/>
  <c r="AF242" i="11"/>
  <c r="J130" i="9"/>
  <c r="J125" i="9"/>
  <c r="H125" i="9"/>
  <c r="H123" i="9"/>
  <c r="G123" i="9"/>
  <c r="K123" i="9"/>
  <c r="J123" i="9"/>
  <c r="K119" i="9"/>
  <c r="J119" i="9"/>
  <c r="X34" i="11" l="1"/>
  <c r="X31" i="11"/>
  <c r="Y218" i="11"/>
  <c r="Y219" i="11" s="1"/>
  <c r="F14" i="11" s="1"/>
  <c r="F15" i="11" s="1"/>
  <c r="H84" i="11"/>
  <c r="W219" i="11"/>
  <c r="D14" i="11" s="1"/>
  <c r="D15" i="11" s="1"/>
  <c r="R41" i="11"/>
  <c r="AB69" i="11"/>
  <c r="AA69" i="11"/>
  <c r="D30" i="11"/>
  <c r="D27" i="11"/>
  <c r="D32" i="11"/>
  <c r="D43" i="11"/>
  <c r="D34" i="11"/>
  <c r="D22" i="11"/>
  <c r="D19" i="11"/>
  <c r="D25" i="11"/>
  <c r="D28" i="11"/>
  <c r="D37" i="11"/>
  <c r="D40" i="11"/>
  <c r="D23" i="11"/>
  <c r="D42" i="11"/>
  <c r="D24" i="11"/>
  <c r="D41" i="11"/>
  <c r="D44" i="11"/>
  <c r="D36" i="11"/>
  <c r="D31" i="11"/>
  <c r="D39" i="11"/>
  <c r="D21" i="11"/>
  <c r="D38" i="11"/>
  <c r="D33" i="11"/>
  <c r="D26" i="11"/>
  <c r="D20" i="11"/>
  <c r="R74" i="11"/>
  <c r="R4" i="11" s="1"/>
  <c r="J13" i="11"/>
  <c r="J12" i="11" s="1"/>
  <c r="J18" i="11"/>
  <c r="P58" i="11"/>
  <c r="X58" i="11"/>
  <c r="I110" i="11"/>
  <c r="I106" i="11"/>
  <c r="K104" i="11"/>
  <c r="AB64" i="11"/>
  <c r="AA64" i="11"/>
  <c r="X68" i="11"/>
  <c r="P68" i="11"/>
  <c r="F107" i="11"/>
  <c r="X51" i="11"/>
  <c r="P51" i="11"/>
  <c r="N15" i="11"/>
  <c r="B65" i="11" s="1"/>
  <c r="G65" i="11"/>
  <c r="F65" i="11"/>
  <c r="J65" i="11"/>
  <c r="E65" i="11"/>
  <c r="I65" i="11"/>
  <c r="H65" i="11"/>
  <c r="L65" i="11"/>
  <c r="K65" i="11"/>
  <c r="D65" i="11"/>
  <c r="H71" i="11"/>
  <c r="M15" i="11"/>
  <c r="I71" i="11"/>
  <c r="X67" i="11"/>
  <c r="Q67" i="11"/>
  <c r="R67" i="11" s="1"/>
  <c r="P67" i="11"/>
  <c r="Q60" i="11"/>
  <c r="R60" i="11" s="1"/>
  <c r="X60" i="11"/>
  <c r="P60" i="11"/>
  <c r="P10" i="11"/>
  <c r="P11" i="11" s="1"/>
  <c r="P14" i="11"/>
  <c r="Q54" i="11"/>
  <c r="R54" i="11" s="1"/>
  <c r="P54" i="11"/>
  <c r="X54" i="11"/>
  <c r="AB65" i="11"/>
  <c r="AA65" i="11"/>
  <c r="S14" i="11"/>
  <c r="S15" i="11" s="1"/>
  <c r="S10" i="11"/>
  <c r="S11" i="11" s="1"/>
  <c r="S13" i="11" s="1"/>
  <c r="S12" i="11" s="1"/>
  <c r="O10" i="11"/>
  <c r="O11" i="11" s="1"/>
  <c r="O14" i="11"/>
  <c r="X65" i="11"/>
  <c r="P65" i="11"/>
  <c r="Q58" i="11"/>
  <c r="R58" i="11" s="1"/>
  <c r="D54" i="11"/>
  <c r="M6" i="11"/>
  <c r="I78" i="11"/>
  <c r="X53" i="11"/>
  <c r="P53" i="11"/>
  <c r="AB66" i="11"/>
  <c r="AA66" i="11"/>
  <c r="P61" i="11"/>
  <c r="X61" i="11"/>
  <c r="P55" i="11"/>
  <c r="X55" i="11"/>
  <c r="X59" i="11"/>
  <c r="P59" i="11"/>
  <c r="P64" i="11"/>
  <c r="X64" i="11"/>
  <c r="X57" i="11"/>
  <c r="P57" i="11"/>
  <c r="Q57" i="11"/>
  <c r="R57" i="11" s="1"/>
  <c r="Q10" i="11"/>
  <c r="Q11" i="11" s="1"/>
  <c r="Q14" i="11"/>
  <c r="K13" i="11"/>
  <c r="K12" i="11" s="1"/>
  <c r="K18" i="11"/>
  <c r="I11" i="11"/>
  <c r="AB218" i="11"/>
  <c r="AB217" i="11"/>
  <c r="AB219" i="11" s="1"/>
  <c r="I14" i="11" s="1"/>
  <c r="I15" i="11" s="1"/>
  <c r="N20" i="11"/>
  <c r="N19" i="11"/>
  <c r="N24" i="11"/>
  <c r="N21" i="11"/>
  <c r="N25" i="11"/>
  <c r="N23" i="11"/>
  <c r="N22" i="11"/>
  <c r="P69" i="11"/>
  <c r="X69" i="11"/>
  <c r="E84" i="11"/>
  <c r="AA217" i="11"/>
  <c r="AA218" i="11"/>
  <c r="H11" i="11"/>
  <c r="Q53" i="11"/>
  <c r="R53" i="11" s="1"/>
  <c r="R14" i="11"/>
  <c r="R10" i="11"/>
  <c r="R11" i="11" s="1"/>
  <c r="F22" i="11"/>
  <c r="F36" i="11"/>
  <c r="F32" i="11"/>
  <c r="F43" i="11"/>
  <c r="F34" i="11"/>
  <c r="F25" i="11"/>
  <c r="F40" i="11"/>
  <c r="F28" i="11"/>
  <c r="F27" i="11"/>
  <c r="F39" i="11"/>
  <c r="F42" i="11"/>
  <c r="F21" i="11"/>
  <c r="F31" i="11"/>
  <c r="F37" i="11"/>
  <c r="F19" i="11"/>
  <c r="F38" i="11"/>
  <c r="F30" i="11"/>
  <c r="F23" i="11"/>
  <c r="F29" i="11"/>
  <c r="F35" i="11"/>
  <c r="F20" i="11"/>
  <c r="F33" i="11"/>
  <c r="F26" i="11"/>
  <c r="F41" i="11"/>
  <c r="F44" i="11"/>
  <c r="L13" i="11"/>
  <c r="L12" i="11" s="1"/>
  <c r="L18" i="11"/>
  <c r="O91" i="11"/>
  <c r="M22" i="11"/>
  <c r="M20" i="11"/>
  <c r="M26" i="11"/>
  <c r="M23" i="11"/>
  <c r="M21" i="11"/>
  <c r="M19" i="11"/>
  <c r="M24" i="11"/>
  <c r="M25" i="11"/>
  <c r="O83" i="11"/>
  <c r="O100" i="11" s="1"/>
  <c r="J15" i="11"/>
  <c r="L71" i="11"/>
  <c r="K71" i="11"/>
  <c r="Q51" i="11"/>
  <c r="R51" i="11" s="1"/>
  <c r="X218" i="11"/>
  <c r="X219" i="11" s="1"/>
  <c r="E14" i="11" s="1"/>
  <c r="E15" i="11" s="1"/>
  <c r="X50" i="11"/>
  <c r="P50" i="11"/>
  <c r="Z218" i="11"/>
  <c r="Z219" i="11" s="1"/>
  <c r="G14" i="11" s="1"/>
  <c r="X62" i="11"/>
  <c r="Q62" i="11"/>
  <c r="R62" i="11" s="1"/>
  <c r="P62" i="11"/>
  <c r="L121" i="11"/>
  <c r="L120" i="11"/>
  <c r="M122" i="11" s="1"/>
  <c r="M119" i="11"/>
  <c r="L118" i="11"/>
  <c r="L117" i="11"/>
  <c r="L119" i="11"/>
  <c r="X63" i="11"/>
  <c r="P63" i="11"/>
  <c r="Q50" i="11"/>
  <c r="R50" i="11" s="1"/>
  <c r="H110" i="11"/>
  <c r="K116" i="9"/>
  <c r="J116" i="9"/>
  <c r="K111" i="9"/>
  <c r="J111" i="9"/>
  <c r="J109" i="9"/>
  <c r="H108" i="9"/>
  <c r="J106" i="9"/>
  <c r="J102" i="9"/>
  <c r="J99" i="9"/>
  <c r="K99" i="9"/>
  <c r="J96" i="9"/>
  <c r="H96" i="9"/>
  <c r="G96" i="9"/>
  <c r="J95" i="9"/>
  <c r="K95" i="9"/>
  <c r="K90" i="9"/>
  <c r="J90" i="9"/>
  <c r="K88" i="9"/>
  <c r="J88" i="9"/>
  <c r="O88" i="11" l="1"/>
  <c r="O101" i="11" s="1"/>
  <c r="AG256" i="11"/>
  <c r="D29" i="11"/>
  <c r="F24" i="11"/>
  <c r="D35" i="11"/>
  <c r="E38" i="11"/>
  <c r="E20" i="11"/>
  <c r="G15" i="11"/>
  <c r="G27" i="11"/>
  <c r="G36" i="11"/>
  <c r="G40" i="11"/>
  <c r="G25" i="11"/>
  <c r="G39" i="11"/>
  <c r="G33" i="11"/>
  <c r="G20" i="11"/>
  <c r="G24" i="11"/>
  <c r="G23" i="11"/>
  <c r="G41" i="11"/>
  <c r="G30" i="11"/>
  <c r="G44" i="11"/>
  <c r="G42" i="11"/>
  <c r="G37" i="11"/>
  <c r="G21" i="11"/>
  <c r="G26" i="11"/>
  <c r="G34" i="11"/>
  <c r="G22" i="11"/>
  <c r="G35" i="11"/>
  <c r="G31" i="11"/>
  <c r="G19" i="11"/>
  <c r="G38" i="11"/>
  <c r="G43" i="11"/>
  <c r="G32" i="11"/>
  <c r="G28" i="11"/>
  <c r="G29" i="11"/>
  <c r="Q15" i="11"/>
  <c r="F71" i="11"/>
  <c r="E23" i="11"/>
  <c r="E40" i="11"/>
  <c r="E35" i="11"/>
  <c r="E39" i="11"/>
  <c r="E29" i="11"/>
  <c r="E33" i="11"/>
  <c r="E28" i="11"/>
  <c r="E36" i="11"/>
  <c r="G54" i="11"/>
  <c r="G55" i="11" s="1"/>
  <c r="L54" i="11"/>
  <c r="L55" i="11" s="1"/>
  <c r="I54" i="11"/>
  <c r="I55" i="11" s="1"/>
  <c r="K54" i="11"/>
  <c r="K55" i="11" s="1"/>
  <c r="J54" i="11"/>
  <c r="J55" i="11" s="1"/>
  <c r="H54" i="11"/>
  <c r="H55" i="11" s="1"/>
  <c r="F54" i="11"/>
  <c r="F55" i="11" s="1"/>
  <c r="E54" i="11"/>
  <c r="E55" i="11" s="1"/>
  <c r="D55" i="11"/>
  <c r="G107" i="11"/>
  <c r="H107" i="11" s="1"/>
  <c r="K107" i="11"/>
  <c r="L107" i="11" s="1"/>
  <c r="J107" i="11"/>
  <c r="E24" i="11"/>
  <c r="Q18" i="11"/>
  <c r="Q13" i="11"/>
  <c r="Q12" i="11" s="1"/>
  <c r="E21" i="11"/>
  <c r="K77" i="11"/>
  <c r="G77" i="11"/>
  <c r="J77" i="11"/>
  <c r="F77" i="11"/>
  <c r="L77" i="11"/>
  <c r="I77" i="11"/>
  <c r="H77" i="11"/>
  <c r="H13" i="11"/>
  <c r="H12" i="11" s="1"/>
  <c r="H18" i="11"/>
  <c r="O18" i="11"/>
  <c r="O13" i="11"/>
  <c r="O12" i="11" s="1"/>
  <c r="E32" i="11"/>
  <c r="F60" i="11"/>
  <c r="E60" i="11"/>
  <c r="I61" i="11"/>
  <c r="D60" i="11"/>
  <c r="L61" i="11"/>
  <c r="K61" i="11"/>
  <c r="J61" i="11"/>
  <c r="D62" i="11"/>
  <c r="F61" i="11"/>
  <c r="E61" i="11"/>
  <c r="G60" i="11"/>
  <c r="R15" i="11"/>
  <c r="B63" i="11" s="1"/>
  <c r="H61" i="11"/>
  <c r="J63" i="11"/>
  <c r="I63" i="11"/>
  <c r="K62" i="11"/>
  <c r="L63" i="11"/>
  <c r="H63" i="11"/>
  <c r="H62" i="11"/>
  <c r="D61" i="11"/>
  <c r="L62" i="11"/>
  <c r="E62" i="11"/>
  <c r="I62" i="11"/>
  <c r="G61" i="11"/>
  <c r="H60" i="11"/>
  <c r="I60" i="11"/>
  <c r="G62" i="11"/>
  <c r="F62" i="11"/>
  <c r="E71" i="11"/>
  <c r="J62" i="11"/>
  <c r="L60" i="11"/>
  <c r="K60" i="11"/>
  <c r="J60" i="11"/>
  <c r="E22" i="11"/>
  <c r="P18" i="11"/>
  <c r="P13" i="11"/>
  <c r="P12" i="11" s="1"/>
  <c r="E41" i="11"/>
  <c r="E44" i="11"/>
  <c r="E42" i="11"/>
  <c r="L24" i="11"/>
  <c r="L22" i="11"/>
  <c r="L20" i="11"/>
  <c r="L26" i="11"/>
  <c r="L21" i="11"/>
  <c r="L19" i="11"/>
  <c r="L27" i="11"/>
  <c r="L23" i="11"/>
  <c r="L28" i="11"/>
  <c r="L25" i="11"/>
  <c r="O15" i="11"/>
  <c r="G71" i="11"/>
  <c r="E31" i="11"/>
  <c r="J32" i="11"/>
  <c r="J22" i="11"/>
  <c r="J36" i="11"/>
  <c r="J43" i="11"/>
  <c r="J29" i="11"/>
  <c r="J20" i="11"/>
  <c r="J34" i="11"/>
  <c r="J24" i="11"/>
  <c r="J38" i="11"/>
  <c r="J26" i="11"/>
  <c r="J37" i="11"/>
  <c r="J42" i="11"/>
  <c r="J39" i="11"/>
  <c r="J33" i="11"/>
  <c r="J19" i="11"/>
  <c r="J27" i="11"/>
  <c r="J21" i="11"/>
  <c r="J31" i="11"/>
  <c r="J25" i="11"/>
  <c r="J40" i="11"/>
  <c r="J44" i="11"/>
  <c r="J41" i="11"/>
  <c r="J30" i="11"/>
  <c r="J23" i="11"/>
  <c r="J28" i="11"/>
  <c r="J35" i="11"/>
  <c r="E26" i="11"/>
  <c r="E34" i="11"/>
  <c r="E43" i="11"/>
  <c r="E27" i="11"/>
  <c r="I13" i="11"/>
  <c r="I12" i="11" s="1"/>
  <c r="I18" i="11"/>
  <c r="P15" i="11"/>
  <c r="B64" i="11" s="1"/>
  <c r="G64" i="11"/>
  <c r="D64" i="11"/>
  <c r="E64" i="11"/>
  <c r="F64" i="11"/>
  <c r="R13" i="11"/>
  <c r="R12" i="11" s="1"/>
  <c r="R18" i="11"/>
  <c r="AA219" i="11"/>
  <c r="H14" i="11" s="1"/>
  <c r="H15" i="11" s="1"/>
  <c r="K24" i="11"/>
  <c r="K22" i="11"/>
  <c r="K29" i="11"/>
  <c r="K20" i="11"/>
  <c r="K26" i="11"/>
  <c r="K30" i="11"/>
  <c r="K28" i="11"/>
  <c r="K27" i="11"/>
  <c r="K19" i="11"/>
  <c r="K31" i="11"/>
  <c r="K23" i="11"/>
  <c r="K21" i="11"/>
  <c r="K25" i="11"/>
  <c r="E19" i="11"/>
  <c r="AG259" i="11"/>
  <c r="AG253" i="11"/>
  <c r="O95" i="11" s="1"/>
  <c r="O102" i="11" s="1"/>
  <c r="O103" i="11" s="1"/>
  <c r="O104" i="11" s="1"/>
  <c r="O105" i="11" s="1"/>
  <c r="E37" i="11"/>
  <c r="E25" i="11"/>
  <c r="E30" i="11"/>
  <c r="R75" i="11"/>
  <c r="K4" i="7"/>
  <c r="J85" i="9"/>
  <c r="J81" i="9"/>
  <c r="K81" i="9"/>
  <c r="J75" i="9"/>
  <c r="H64" i="11" l="1"/>
  <c r="L64" i="11"/>
  <c r="K64" i="11"/>
  <c r="I34" i="11"/>
  <c r="I32" i="11"/>
  <c r="I24" i="11"/>
  <c r="I43" i="11"/>
  <c r="I22" i="11"/>
  <c r="I36" i="11"/>
  <c r="I38" i="11"/>
  <c r="I29" i="11"/>
  <c r="I20" i="11"/>
  <c r="I28" i="11"/>
  <c r="I27" i="11"/>
  <c r="I44" i="11"/>
  <c r="I42" i="11"/>
  <c r="I37" i="11"/>
  <c r="I31" i="11"/>
  <c r="I39" i="11"/>
  <c r="I41" i="11"/>
  <c r="I19" i="11"/>
  <c r="I21" i="11"/>
  <c r="I26" i="11"/>
  <c r="I33" i="11"/>
  <c r="I25" i="11"/>
  <c r="I30" i="11"/>
  <c r="I23" i="11"/>
  <c r="I40" i="11"/>
  <c r="I35" i="11"/>
  <c r="O96" i="11"/>
  <c r="D63" i="11"/>
  <c r="K63" i="11"/>
  <c r="E63" i="11"/>
  <c r="F63" i="11"/>
  <c r="O20" i="11"/>
  <c r="O24" i="11"/>
  <c r="O19" i="11"/>
  <c r="O23" i="11"/>
  <c r="O21" i="11"/>
  <c r="O22" i="11"/>
  <c r="I107" i="11"/>
  <c r="R21" i="11"/>
  <c r="R20" i="11"/>
  <c r="R19" i="11"/>
  <c r="R22" i="11"/>
  <c r="H43" i="11"/>
  <c r="H24" i="11"/>
  <c r="H32" i="11"/>
  <c r="H34" i="11"/>
  <c r="H22" i="11"/>
  <c r="H29" i="11"/>
  <c r="H20" i="11"/>
  <c r="H38" i="11"/>
  <c r="H36" i="11"/>
  <c r="H19" i="11"/>
  <c r="H28" i="11"/>
  <c r="H27" i="11"/>
  <c r="H42" i="11"/>
  <c r="H37" i="11"/>
  <c r="H33" i="11"/>
  <c r="H31" i="11"/>
  <c r="H39" i="11"/>
  <c r="H26" i="11"/>
  <c r="H40" i="11"/>
  <c r="H21" i="11"/>
  <c r="H41" i="11"/>
  <c r="H23" i="11"/>
  <c r="H30" i="11"/>
  <c r="H44" i="11"/>
  <c r="H35" i="11"/>
  <c r="H25" i="11"/>
  <c r="R5" i="11"/>
  <c r="I5" i="11" s="1"/>
  <c r="R78" i="11"/>
  <c r="Q23" i="11"/>
  <c r="Q20" i="11"/>
  <c r="Q21" i="11"/>
  <c r="Q19" i="11"/>
  <c r="Q22" i="11"/>
  <c r="G63" i="11"/>
  <c r="P19" i="11"/>
  <c r="P21" i="11"/>
  <c r="P23" i="11"/>
  <c r="P22" i="11"/>
  <c r="P20" i="11"/>
  <c r="I64" i="11"/>
  <c r="J64" i="11"/>
  <c r="K73" i="9"/>
  <c r="J73" i="9"/>
  <c r="H72" i="9"/>
  <c r="G72" i="9"/>
  <c r="J3" i="7"/>
  <c r="J4" i="7"/>
  <c r="J5" i="7"/>
  <c r="J6" i="7"/>
  <c r="J7" i="7"/>
  <c r="J8" i="7"/>
  <c r="J9" i="7"/>
  <c r="J10" i="7"/>
  <c r="J11" i="7"/>
  <c r="J12" i="7"/>
  <c r="J13" i="7"/>
  <c r="J14" i="7"/>
  <c r="J15" i="7"/>
  <c r="J16" i="7"/>
  <c r="J17" i="7"/>
  <c r="J18" i="7"/>
  <c r="J19" i="7"/>
  <c r="J20" i="7"/>
  <c r="J67" i="9"/>
  <c r="H67" i="9"/>
  <c r="G67" i="9"/>
  <c r="J64" i="9"/>
  <c r="H64" i="9"/>
  <c r="G64" i="9"/>
  <c r="K60" i="9"/>
  <c r="J60" i="9"/>
  <c r="H60" i="9"/>
  <c r="G60" i="9"/>
  <c r="J57" i="9"/>
  <c r="I57" i="9"/>
  <c r="J55" i="9"/>
  <c r="K55" i="9"/>
  <c r="H55" i="9"/>
  <c r="G55" i="9"/>
  <c r="J53" i="9"/>
  <c r="H52" i="9"/>
  <c r="G52" i="9"/>
  <c r="I50" i="9"/>
  <c r="H49" i="9"/>
  <c r="G49" i="9"/>
  <c r="J48" i="9"/>
  <c r="J43" i="9"/>
  <c r="AA21" i="9"/>
  <c r="AB21" i="9" s="1"/>
  <c r="AA22" i="9"/>
  <c r="AB22" i="9" s="1"/>
  <c r="AA78" i="9"/>
  <c r="AB78" i="9" s="1"/>
  <c r="H39" i="9"/>
  <c r="G39" i="9"/>
  <c r="K35" i="9"/>
  <c r="G34" i="9"/>
  <c r="G33" i="9"/>
  <c r="K32" i="9"/>
  <c r="R6" i="11" l="1"/>
  <c r="R80" i="11"/>
  <c r="M35" i="8"/>
  <c r="M33" i="8"/>
  <c r="M31" i="8"/>
  <c r="M29" i="8"/>
  <c r="M27" i="8"/>
  <c r="M25" i="8"/>
  <c r="M23" i="8"/>
  <c r="M21" i="8"/>
  <c r="M19" i="8"/>
  <c r="M17" i="8"/>
  <c r="M15" i="8"/>
  <c r="M13" i="8"/>
  <c r="M11" i="8"/>
  <c r="M9" i="8"/>
  <c r="M7" i="8"/>
  <c r="M5" i="8"/>
  <c r="M3" i="8"/>
  <c r="W83" i="9"/>
  <c r="I7" i="7"/>
  <c r="F43" i="9"/>
  <c r="M43" i="9" s="1"/>
  <c r="F27" i="9"/>
  <c r="W31" i="9" s="1"/>
  <c r="I4" i="7"/>
  <c r="I5" i="7"/>
  <c r="I6" i="7"/>
  <c r="I8" i="7"/>
  <c r="I9" i="7"/>
  <c r="I10" i="7"/>
  <c r="I11" i="7"/>
  <c r="I12" i="7"/>
  <c r="I13" i="7"/>
  <c r="I14" i="7"/>
  <c r="I15" i="7"/>
  <c r="I16" i="7"/>
  <c r="I17" i="7"/>
  <c r="I18" i="7"/>
  <c r="I19" i="7"/>
  <c r="I3" i="7"/>
  <c r="I20" i="7"/>
  <c r="N15" i="9"/>
  <c r="K3" i="7" s="1"/>
  <c r="K11" i="9"/>
  <c r="W16" i="9"/>
  <c r="W17" i="9"/>
  <c r="W18" i="9"/>
  <c r="W19" i="9"/>
  <c r="W20" i="9"/>
  <c r="W21" i="9"/>
  <c r="W22" i="9"/>
  <c r="W23" i="9"/>
  <c r="W24" i="9"/>
  <c r="W25" i="9"/>
  <c r="W26" i="9"/>
  <c r="W34" i="9"/>
  <c r="W35" i="9"/>
  <c r="W36" i="9"/>
  <c r="W37" i="9"/>
  <c r="W38" i="9"/>
  <c r="W39" i="9"/>
  <c r="W40" i="9"/>
  <c r="W41" i="9"/>
  <c r="W42" i="9"/>
  <c r="W44" i="9"/>
  <c r="W46" i="9"/>
  <c r="W49" i="9"/>
  <c r="W50" i="9"/>
  <c r="W51" i="9"/>
  <c r="W52" i="9"/>
  <c r="W53" i="9"/>
  <c r="W54" i="9"/>
  <c r="W55" i="9"/>
  <c r="W56" i="9"/>
  <c r="W57" i="9"/>
  <c r="W58" i="9"/>
  <c r="W59" i="9"/>
  <c r="W60" i="9"/>
  <c r="W61" i="9"/>
  <c r="W62" i="9"/>
  <c r="W63" i="9"/>
  <c r="W64" i="9"/>
  <c r="W65" i="9"/>
  <c r="W66" i="9"/>
  <c r="W67" i="9"/>
  <c r="W68" i="9"/>
  <c r="W69" i="9"/>
  <c r="W70" i="9"/>
  <c r="W71" i="9"/>
  <c r="W72" i="9"/>
  <c r="W73" i="9"/>
  <c r="W74" i="9"/>
  <c r="W75" i="9"/>
  <c r="W76" i="9"/>
  <c r="W77" i="9"/>
  <c r="W81" i="9"/>
  <c r="W82" i="9"/>
  <c r="W84" i="9"/>
  <c r="W85" i="9"/>
  <c r="W86" i="9"/>
  <c r="W87" i="9"/>
  <c r="W88" i="9"/>
  <c r="W89" i="9"/>
  <c r="W90" i="9"/>
  <c r="W91" i="9"/>
  <c r="W92" i="9"/>
  <c r="W93" i="9"/>
  <c r="W94" i="9"/>
  <c r="W95" i="9"/>
  <c r="W96" i="9"/>
  <c r="W97" i="9"/>
  <c r="W98" i="9"/>
  <c r="W99" i="9"/>
  <c r="W100" i="9"/>
  <c r="W101" i="9"/>
  <c r="W102" i="9"/>
  <c r="W103" i="9"/>
  <c r="W104" i="9"/>
  <c r="W105" i="9"/>
  <c r="W106" i="9"/>
  <c r="W107" i="9"/>
  <c r="W108" i="9"/>
  <c r="W109" i="9"/>
  <c r="W110" i="9"/>
  <c r="W111" i="9"/>
  <c r="W112" i="9"/>
  <c r="W113" i="9"/>
  <c r="W114" i="9"/>
  <c r="W115" i="9"/>
  <c r="W116" i="9"/>
  <c r="W117" i="9"/>
  <c r="W118" i="9"/>
  <c r="W119" i="9"/>
  <c r="W120" i="9"/>
  <c r="W121" i="9"/>
  <c r="W122" i="9"/>
  <c r="W123" i="9"/>
  <c r="W124" i="9"/>
  <c r="W125" i="9"/>
  <c r="W126" i="9"/>
  <c r="W127" i="9"/>
  <c r="W128" i="9"/>
  <c r="W129" i="9"/>
  <c r="W130" i="9"/>
  <c r="W131" i="9"/>
  <c r="W132" i="9"/>
  <c r="W133" i="9"/>
  <c r="W134" i="9"/>
  <c r="W135" i="9"/>
  <c r="W15" i="9"/>
  <c r="X15" i="9" s="1"/>
  <c r="T16" i="9"/>
  <c r="T17" i="9"/>
  <c r="T18" i="9"/>
  <c r="T19" i="9"/>
  <c r="T20" i="9"/>
  <c r="T21" i="9"/>
  <c r="T22" i="9"/>
  <c r="T23" i="9"/>
  <c r="T24" i="9"/>
  <c r="T25" i="9"/>
  <c r="T26" i="9"/>
  <c r="T27" i="9"/>
  <c r="T28" i="9"/>
  <c r="T29" i="9"/>
  <c r="T30" i="9"/>
  <c r="T31" i="9"/>
  <c r="T32" i="9"/>
  <c r="T33" i="9"/>
  <c r="T34" i="9"/>
  <c r="T35" i="9"/>
  <c r="T36" i="9"/>
  <c r="T37" i="9"/>
  <c r="T38" i="9"/>
  <c r="T39" i="9"/>
  <c r="T40" i="9"/>
  <c r="T41" i="9"/>
  <c r="T42" i="9"/>
  <c r="T43" i="9"/>
  <c r="T44" i="9"/>
  <c r="T45" i="9"/>
  <c r="T46" i="9"/>
  <c r="T47" i="9"/>
  <c r="T48" i="9"/>
  <c r="T49" i="9"/>
  <c r="T50" i="9"/>
  <c r="T51" i="9"/>
  <c r="T52" i="9"/>
  <c r="T53" i="9"/>
  <c r="T54" i="9"/>
  <c r="T55" i="9"/>
  <c r="T56" i="9"/>
  <c r="T57" i="9"/>
  <c r="T58" i="9"/>
  <c r="T59" i="9"/>
  <c r="T60" i="9"/>
  <c r="T61" i="9"/>
  <c r="T62" i="9"/>
  <c r="T63" i="9"/>
  <c r="T64" i="9"/>
  <c r="T65" i="9"/>
  <c r="T66" i="9"/>
  <c r="T67" i="9"/>
  <c r="T68" i="9"/>
  <c r="T69" i="9"/>
  <c r="T70" i="9"/>
  <c r="T71" i="9"/>
  <c r="T72" i="9"/>
  <c r="T73" i="9"/>
  <c r="T74" i="9"/>
  <c r="T75" i="9"/>
  <c r="T76" i="9"/>
  <c r="T77" i="9"/>
  <c r="T78" i="9"/>
  <c r="T79" i="9"/>
  <c r="T80" i="9"/>
  <c r="T81" i="9"/>
  <c r="T82" i="9"/>
  <c r="T83" i="9"/>
  <c r="T84" i="9"/>
  <c r="T85" i="9"/>
  <c r="T86" i="9"/>
  <c r="T87" i="9"/>
  <c r="T88" i="9"/>
  <c r="T89" i="9"/>
  <c r="T90" i="9"/>
  <c r="T91" i="9"/>
  <c r="T92" i="9"/>
  <c r="T93" i="9"/>
  <c r="T94" i="9"/>
  <c r="T95" i="9"/>
  <c r="T96" i="9"/>
  <c r="T97" i="9"/>
  <c r="T98" i="9"/>
  <c r="T99" i="9"/>
  <c r="T100" i="9"/>
  <c r="T101" i="9"/>
  <c r="T102" i="9"/>
  <c r="T103" i="9"/>
  <c r="T104" i="9"/>
  <c r="T105" i="9"/>
  <c r="T106" i="9"/>
  <c r="T107" i="9"/>
  <c r="T108" i="9"/>
  <c r="T109" i="9"/>
  <c r="T110" i="9"/>
  <c r="T111" i="9"/>
  <c r="T112" i="9"/>
  <c r="T113" i="9"/>
  <c r="T114" i="9"/>
  <c r="T115" i="9"/>
  <c r="T116" i="9"/>
  <c r="T117" i="9"/>
  <c r="T118" i="9"/>
  <c r="T119" i="9"/>
  <c r="T120" i="9"/>
  <c r="T121" i="9"/>
  <c r="T122" i="9"/>
  <c r="T123" i="9"/>
  <c r="T124" i="9"/>
  <c r="T125" i="9"/>
  <c r="T126" i="9"/>
  <c r="T127" i="9"/>
  <c r="T128" i="9"/>
  <c r="T129" i="9"/>
  <c r="T130" i="9"/>
  <c r="T131" i="9"/>
  <c r="T132" i="9"/>
  <c r="T133" i="9"/>
  <c r="T134" i="9"/>
  <c r="T135" i="9"/>
  <c r="X69" i="9" l="1"/>
  <c r="X128" i="9"/>
  <c r="W30" i="9"/>
  <c r="W28" i="9"/>
  <c r="U102" i="9"/>
  <c r="U78" i="9"/>
  <c r="X127" i="9"/>
  <c r="X71" i="9"/>
  <c r="U134" i="9"/>
  <c r="U110" i="9"/>
  <c r="U86" i="9"/>
  <c r="U62" i="9"/>
  <c r="X135" i="9"/>
  <c r="U133" i="9"/>
  <c r="U125" i="9"/>
  <c r="U117" i="9"/>
  <c r="U109" i="9"/>
  <c r="U101" i="9"/>
  <c r="U93" i="9"/>
  <c r="U85" i="9"/>
  <c r="W80" i="9"/>
  <c r="W48" i="9"/>
  <c r="X54" i="9" s="1"/>
  <c r="W29" i="9"/>
  <c r="U126" i="9"/>
  <c r="U94" i="9"/>
  <c r="U70" i="9"/>
  <c r="U132" i="9"/>
  <c r="U124" i="9"/>
  <c r="U116" i="9"/>
  <c r="U108" i="9"/>
  <c r="U100" i="9"/>
  <c r="U92" i="9"/>
  <c r="U84" i="9"/>
  <c r="W79" i="9"/>
  <c r="W47" i="9"/>
  <c r="U118" i="9"/>
  <c r="U131" i="9"/>
  <c r="U121" i="9"/>
  <c r="U115" i="9"/>
  <c r="U107" i="9"/>
  <c r="U97" i="9"/>
  <c r="U91" i="9"/>
  <c r="U83" i="9"/>
  <c r="X132" i="9"/>
  <c r="W78" i="9"/>
  <c r="X68" i="9"/>
  <c r="U130" i="9"/>
  <c r="U122" i="9"/>
  <c r="U114" i="9"/>
  <c r="U106" i="9"/>
  <c r="U98" i="9"/>
  <c r="U90" i="9"/>
  <c r="X131" i="9"/>
  <c r="W45" i="9"/>
  <c r="X46" i="9" s="1"/>
  <c r="U135" i="9"/>
  <c r="U119" i="9"/>
  <c r="U87" i="9"/>
  <c r="U127" i="9"/>
  <c r="U111" i="9"/>
  <c r="U103" i="9"/>
  <c r="U95" i="9"/>
  <c r="X130" i="9"/>
  <c r="X70" i="9"/>
  <c r="X129" i="9"/>
  <c r="W43" i="9"/>
  <c r="U77" i="9"/>
  <c r="U69" i="9"/>
  <c r="U61" i="9"/>
  <c r="U76" i="9"/>
  <c r="U68" i="9"/>
  <c r="U60" i="9"/>
  <c r="U75" i="9"/>
  <c r="U65" i="9"/>
  <c r="U82" i="9"/>
  <c r="U74" i="9"/>
  <c r="U66" i="9"/>
  <c r="U58" i="9"/>
  <c r="U79" i="9"/>
  <c r="U71" i="9"/>
  <c r="U54" i="9"/>
  <c r="U53" i="9"/>
  <c r="U52" i="9"/>
  <c r="U59" i="9"/>
  <c r="U50" i="9"/>
  <c r="U55" i="9"/>
  <c r="U63" i="9"/>
  <c r="U49" i="9"/>
  <c r="U47" i="9"/>
  <c r="U46" i="9"/>
  <c r="U42" i="9"/>
  <c r="U45" i="9"/>
  <c r="U44" i="9"/>
  <c r="U43" i="9"/>
  <c r="U129" i="9"/>
  <c r="U41" i="9"/>
  <c r="W27" i="9"/>
  <c r="X31" i="9" s="1"/>
  <c r="U113" i="9"/>
  <c r="U81" i="9"/>
  <c r="U57" i="9"/>
  <c r="U128" i="9"/>
  <c r="U104" i="9"/>
  <c r="U88" i="9"/>
  <c r="U64" i="9"/>
  <c r="U56" i="9"/>
  <c r="U89" i="9"/>
  <c r="U80" i="9"/>
  <c r="W33" i="9"/>
  <c r="U105" i="9"/>
  <c r="U73" i="9"/>
  <c r="U120" i="9"/>
  <c r="X126" i="9"/>
  <c r="X74" i="9"/>
  <c r="W32" i="9"/>
  <c r="U123" i="9"/>
  <c r="U99" i="9"/>
  <c r="U67" i="9"/>
  <c r="U51" i="9"/>
  <c r="U112" i="9"/>
  <c r="U96" i="9"/>
  <c r="U72" i="9"/>
  <c r="U48" i="9"/>
  <c r="U40" i="9"/>
  <c r="U38" i="9"/>
  <c r="U37" i="9"/>
  <c r="U39" i="9"/>
  <c r="U36" i="9"/>
  <c r="U35" i="9"/>
  <c r="U34" i="9"/>
  <c r="U33" i="9"/>
  <c r="U32" i="9"/>
  <c r="U30" i="9"/>
  <c r="U31" i="9"/>
  <c r="U29" i="9"/>
  <c r="U28" i="9"/>
  <c r="U27" i="9"/>
  <c r="X133" i="9"/>
  <c r="X134" i="9"/>
  <c r="X125" i="9"/>
  <c r="X72" i="9"/>
  <c r="X123" i="9"/>
  <c r="X122" i="9"/>
  <c r="X121" i="9"/>
  <c r="X124" i="9"/>
  <c r="X119" i="9"/>
  <c r="X120" i="9"/>
  <c r="X118" i="9"/>
  <c r="X111" i="9"/>
  <c r="X109" i="9"/>
  <c r="X110" i="9"/>
  <c r="X108" i="9"/>
  <c r="X107" i="9"/>
  <c r="X106" i="9"/>
  <c r="X114" i="9"/>
  <c r="X113" i="9"/>
  <c r="X112" i="9"/>
  <c r="X115" i="9"/>
  <c r="X116" i="9"/>
  <c r="X117" i="9"/>
  <c r="X101" i="9"/>
  <c r="X103" i="9"/>
  <c r="X102" i="9"/>
  <c r="X99" i="9"/>
  <c r="X100" i="9"/>
  <c r="X105" i="9"/>
  <c r="X104" i="9"/>
  <c r="X98" i="9"/>
  <c r="X95" i="9"/>
  <c r="X97" i="9"/>
  <c r="X96" i="9"/>
  <c r="X94" i="9"/>
  <c r="X93" i="9"/>
  <c r="X91" i="9"/>
  <c r="X89" i="9"/>
  <c r="X88" i="9"/>
  <c r="X87" i="9"/>
  <c r="X90" i="9"/>
  <c r="X92" i="9"/>
  <c r="X77" i="9"/>
  <c r="X76" i="9"/>
  <c r="X75" i="9"/>
  <c r="X73" i="9"/>
  <c r="X67" i="9"/>
  <c r="X58" i="9"/>
  <c r="X57" i="9"/>
  <c r="X56" i="9"/>
  <c r="X66" i="9"/>
  <c r="X60" i="9"/>
  <c r="X61" i="9"/>
  <c r="X65" i="9"/>
  <c r="X64" i="9"/>
  <c r="X63" i="9"/>
  <c r="X62" i="9"/>
  <c r="X59" i="9"/>
  <c r="X55" i="9"/>
  <c r="X42" i="9"/>
  <c r="X41" i="9"/>
  <c r="X40" i="9"/>
  <c r="X16" i="9"/>
  <c r="X25" i="9"/>
  <c r="X26" i="9"/>
  <c r="X24" i="9"/>
  <c r="X23" i="9"/>
  <c r="X22" i="9"/>
  <c r="U26" i="9"/>
  <c r="U25" i="9"/>
  <c r="U24" i="9"/>
  <c r="U23" i="9"/>
  <c r="U22" i="9"/>
  <c r="X21" i="9"/>
  <c r="X20" i="9"/>
  <c r="X19" i="9"/>
  <c r="X18" i="9"/>
  <c r="X17" i="9"/>
  <c r="X84" i="9" l="1"/>
  <c r="X85" i="9"/>
  <c r="X81" i="9"/>
  <c r="X78" i="9"/>
  <c r="X27" i="9"/>
  <c r="X28" i="9"/>
  <c r="X83" i="9"/>
  <c r="X49" i="9"/>
  <c r="X38" i="9"/>
  <c r="X30" i="9"/>
  <c r="X86" i="9"/>
  <c r="X48" i="9"/>
  <c r="X50" i="9"/>
  <c r="X80" i="9"/>
  <c r="X45" i="9"/>
  <c r="X52" i="9"/>
  <c r="X53" i="9"/>
  <c r="X47" i="9"/>
  <c r="X44" i="9"/>
  <c r="X79" i="9"/>
  <c r="X51" i="9"/>
  <c r="X29" i="9"/>
  <c r="X43" i="9"/>
  <c r="X82" i="9"/>
  <c r="X35" i="9"/>
  <c r="X33" i="9"/>
  <c r="X36" i="9"/>
  <c r="X37" i="9"/>
  <c r="X32" i="9"/>
  <c r="X34" i="9"/>
  <c r="X39" i="9"/>
  <c r="M15" i="9"/>
  <c r="P15" i="9" s="1"/>
  <c r="P14" i="9"/>
  <c r="N14" i="9"/>
  <c r="P13" i="9" s="1"/>
  <c r="N134" i="9"/>
  <c r="K20" i="7" s="1"/>
  <c r="N133" i="9"/>
  <c r="N127" i="9"/>
  <c r="K19" i="7" s="1"/>
  <c r="N126" i="9"/>
  <c r="N120" i="9"/>
  <c r="K18" i="7" s="1"/>
  <c r="N119" i="9"/>
  <c r="N113" i="9"/>
  <c r="K17" i="7" s="1"/>
  <c r="N112" i="9"/>
  <c r="N106" i="9"/>
  <c r="K16" i="7" s="1"/>
  <c r="N105" i="9"/>
  <c r="N99" i="9"/>
  <c r="K15" i="7" s="1"/>
  <c r="N98" i="9"/>
  <c r="N92" i="9"/>
  <c r="K14" i="7" s="1"/>
  <c r="N91" i="9"/>
  <c r="N85" i="9"/>
  <c r="K13" i="7" s="1"/>
  <c r="N84" i="9"/>
  <c r="N78" i="9"/>
  <c r="K12" i="7" s="1"/>
  <c r="N77" i="9"/>
  <c r="N71" i="9"/>
  <c r="K11" i="7" s="1"/>
  <c r="N70" i="9"/>
  <c r="N64" i="9"/>
  <c r="K10" i="7" s="1"/>
  <c r="N63" i="9"/>
  <c r="N57" i="9"/>
  <c r="K9" i="7" s="1"/>
  <c r="N56" i="9"/>
  <c r="N50" i="9"/>
  <c r="K8" i="7" s="1"/>
  <c r="N49" i="9"/>
  <c r="N43" i="9"/>
  <c r="K7" i="7" s="1"/>
  <c r="N42" i="9"/>
  <c r="N36" i="9"/>
  <c r="K6" i="7" s="1"/>
  <c r="N35" i="9"/>
  <c r="N29" i="9"/>
  <c r="K5" i="7" s="1"/>
  <c r="N28" i="9"/>
  <c r="N22" i="9"/>
  <c r="N21" i="9"/>
  <c r="M134" i="9"/>
  <c r="M120" i="9"/>
  <c r="M106" i="9"/>
  <c r="M92" i="9"/>
  <c r="M78" i="9"/>
  <c r="M64" i="9"/>
  <c r="M50" i="9"/>
  <c r="M36" i="9"/>
  <c r="M127" i="9"/>
  <c r="M113" i="9"/>
  <c r="M99" i="9"/>
  <c r="M85" i="9"/>
  <c r="M71" i="9"/>
  <c r="M57" i="9"/>
  <c r="M22" i="9"/>
  <c r="M29" i="9"/>
  <c r="P21" i="4"/>
  <c r="Q20" i="4" s="1"/>
  <c r="G4" i="7"/>
  <c r="G5" i="7"/>
  <c r="G6" i="7"/>
  <c r="G7" i="7"/>
  <c r="G8" i="7"/>
  <c r="G9" i="7"/>
  <c r="G10" i="7"/>
  <c r="G11" i="7"/>
  <c r="G12" i="7"/>
  <c r="G13" i="7"/>
  <c r="G14" i="7"/>
  <c r="G15" i="7"/>
  <c r="G16" i="7"/>
  <c r="G17" i="7"/>
  <c r="G18" i="7"/>
  <c r="G19" i="7"/>
  <c r="G3" i="7"/>
  <c r="N135" i="9"/>
  <c r="P20" i="9" l="1"/>
  <c r="P27" i="9" s="1"/>
  <c r="P34" i="9" s="1"/>
  <c r="P41" i="9" s="1"/>
  <c r="P48" i="9" s="1"/>
  <c r="P55" i="9" s="1"/>
  <c r="P62" i="9" s="1"/>
  <c r="P69" i="9" s="1"/>
  <c r="P76" i="9" s="1"/>
  <c r="P83" i="9" s="1"/>
  <c r="P90" i="9" s="1"/>
  <c r="P97" i="9" s="1"/>
  <c r="P104" i="9" s="1"/>
  <c r="P111" i="9" s="1"/>
  <c r="P118" i="9" s="1"/>
  <c r="P125" i="9" s="1"/>
  <c r="P132" i="9" s="1"/>
  <c r="P22" i="9"/>
  <c r="P29" i="9" s="1"/>
  <c r="P36" i="9" s="1"/>
  <c r="P43" i="9" s="1"/>
  <c r="P50" i="9" s="1"/>
  <c r="P57" i="9" s="1"/>
  <c r="P64" i="9" s="1"/>
  <c r="P71" i="9" s="1"/>
  <c r="P78" i="9" s="1"/>
  <c r="P85" i="9" s="1"/>
  <c r="P92" i="9" s="1"/>
  <c r="P99" i="9" s="1"/>
  <c r="P106" i="9" s="1"/>
  <c r="P113" i="9" s="1"/>
  <c r="P120" i="9" s="1"/>
  <c r="P127" i="9" s="1"/>
  <c r="P134" i="9" s="1"/>
  <c r="Q15" i="9"/>
  <c r="P21" i="9"/>
  <c r="T8" i="9"/>
  <c r="T9" i="9"/>
  <c r="T10" i="9"/>
  <c r="D81" i="6"/>
  <c r="Q22" i="9" l="1"/>
  <c r="P28" i="9"/>
  <c r="Q29" i="9" l="1"/>
  <c r="P35" i="9"/>
  <c r="Q36" i="9" l="1"/>
  <c r="P42" i="9"/>
  <c r="Q43" i="9" l="1"/>
  <c r="P49" i="9"/>
  <c r="T13" i="9"/>
  <c r="T14" i="9"/>
  <c r="T15" i="9"/>
  <c r="U21" i="9" s="1"/>
  <c r="T11" i="9"/>
  <c r="T12" i="9"/>
  <c r="I8" i="9"/>
  <c r="I126" i="9"/>
  <c r="I112" i="9"/>
  <c r="I91" i="9"/>
  <c r="I84" i="9"/>
  <c r="I77" i="9"/>
  <c r="D35" i="8"/>
  <c r="D36" i="8"/>
  <c r="D34" i="8"/>
  <c r="D33" i="8"/>
  <c r="F33" i="8" s="1"/>
  <c r="D32" i="8"/>
  <c r="F31" i="8" s="1"/>
  <c r="D30" i="8"/>
  <c r="D29" i="8"/>
  <c r="F29" i="8" s="1"/>
  <c r="D28" i="8"/>
  <c r="D27" i="8"/>
  <c r="F27" i="8" s="1"/>
  <c r="D26" i="8"/>
  <c r="F25" i="8" s="1"/>
  <c r="D24" i="8"/>
  <c r="D23" i="8"/>
  <c r="F23" i="8" s="1"/>
  <c r="D22" i="8"/>
  <c r="D21" i="8"/>
  <c r="D10" i="8"/>
  <c r="D14" i="8"/>
  <c r="F13" i="8" s="1"/>
  <c r="D18" i="8"/>
  <c r="D20" i="8"/>
  <c r="F19" i="8" s="1"/>
  <c r="L135" i="9"/>
  <c r="I135" i="9"/>
  <c r="C135" i="9"/>
  <c r="L134" i="9"/>
  <c r="I134" i="9"/>
  <c r="C134" i="9"/>
  <c r="L133" i="9"/>
  <c r="I133" i="9"/>
  <c r="C133" i="9"/>
  <c r="L132" i="9"/>
  <c r="I132" i="9"/>
  <c r="C132" i="9"/>
  <c r="L131" i="9"/>
  <c r="I131" i="9"/>
  <c r="C131" i="9"/>
  <c r="L130" i="9"/>
  <c r="I130" i="9"/>
  <c r="C130" i="9"/>
  <c r="L129" i="9"/>
  <c r="I129" i="9"/>
  <c r="C129" i="9"/>
  <c r="L128" i="9"/>
  <c r="I128" i="9"/>
  <c r="C128" i="9"/>
  <c r="L127" i="9"/>
  <c r="I127" i="9"/>
  <c r="C127" i="9"/>
  <c r="L126" i="9"/>
  <c r="C126" i="9"/>
  <c r="L125" i="9"/>
  <c r="I125" i="9"/>
  <c r="C125" i="9"/>
  <c r="L124" i="9"/>
  <c r="I124" i="9"/>
  <c r="C124" i="9"/>
  <c r="L123" i="9"/>
  <c r="I123" i="9"/>
  <c r="C123" i="9"/>
  <c r="L122" i="9"/>
  <c r="I122" i="9"/>
  <c r="C122" i="9"/>
  <c r="L121" i="9"/>
  <c r="I121" i="9"/>
  <c r="C121" i="9"/>
  <c r="L120" i="9"/>
  <c r="I120" i="9"/>
  <c r="C120" i="9"/>
  <c r="L119" i="9"/>
  <c r="I119" i="9"/>
  <c r="C119" i="9"/>
  <c r="L118" i="9"/>
  <c r="I118" i="9"/>
  <c r="C118" i="9"/>
  <c r="L117" i="9"/>
  <c r="I117" i="9"/>
  <c r="C117" i="9"/>
  <c r="L116" i="9"/>
  <c r="I116" i="9"/>
  <c r="C116" i="9"/>
  <c r="L115" i="9"/>
  <c r="I115" i="9"/>
  <c r="C115" i="9"/>
  <c r="L114" i="9"/>
  <c r="I114" i="9"/>
  <c r="C114" i="9"/>
  <c r="L113" i="9"/>
  <c r="I113" i="9"/>
  <c r="C113" i="9"/>
  <c r="L112" i="9"/>
  <c r="C112" i="9"/>
  <c r="L111" i="9"/>
  <c r="I111" i="9"/>
  <c r="C111" i="9"/>
  <c r="L110" i="9"/>
  <c r="I110" i="9"/>
  <c r="C110" i="9"/>
  <c r="L109" i="9"/>
  <c r="I109" i="9"/>
  <c r="C109" i="9"/>
  <c r="L108" i="9"/>
  <c r="I108" i="9"/>
  <c r="C108" i="9"/>
  <c r="L107" i="9"/>
  <c r="I107" i="9"/>
  <c r="C107" i="9"/>
  <c r="L106" i="9"/>
  <c r="I106" i="9"/>
  <c r="C106" i="9"/>
  <c r="L105" i="9"/>
  <c r="C105" i="9"/>
  <c r="L104" i="9"/>
  <c r="I104" i="9"/>
  <c r="C104" i="9"/>
  <c r="L103" i="9"/>
  <c r="I103" i="9"/>
  <c r="C103" i="9"/>
  <c r="L102" i="9"/>
  <c r="I102" i="9"/>
  <c r="C102" i="9"/>
  <c r="L101" i="9"/>
  <c r="I101" i="9"/>
  <c r="C101" i="9"/>
  <c r="L100" i="9"/>
  <c r="I100" i="9"/>
  <c r="C100" i="9"/>
  <c r="L99" i="9"/>
  <c r="I99" i="9"/>
  <c r="C99" i="9"/>
  <c r="L98" i="9"/>
  <c r="C98" i="9"/>
  <c r="L97" i="9"/>
  <c r="I97" i="9"/>
  <c r="C97" i="9"/>
  <c r="L96" i="9"/>
  <c r="I96" i="9"/>
  <c r="C96" i="9"/>
  <c r="L95" i="9"/>
  <c r="I95" i="9"/>
  <c r="C95" i="9"/>
  <c r="L94" i="9"/>
  <c r="I94" i="9"/>
  <c r="C94" i="9"/>
  <c r="L93" i="9"/>
  <c r="I93" i="9"/>
  <c r="C93" i="9"/>
  <c r="L92" i="9"/>
  <c r="I92" i="9"/>
  <c r="C92" i="9"/>
  <c r="L91" i="9"/>
  <c r="C91" i="9"/>
  <c r="L90" i="9"/>
  <c r="I90" i="9"/>
  <c r="C90" i="9"/>
  <c r="L89" i="9"/>
  <c r="I89" i="9"/>
  <c r="C89" i="9"/>
  <c r="L88" i="9"/>
  <c r="I88" i="9"/>
  <c r="C88" i="9"/>
  <c r="L87" i="9"/>
  <c r="I87" i="9"/>
  <c r="C87" i="9"/>
  <c r="L86" i="9"/>
  <c r="I86" i="9"/>
  <c r="C86" i="9"/>
  <c r="L85" i="9"/>
  <c r="I85" i="9"/>
  <c r="C85" i="9"/>
  <c r="L84" i="9"/>
  <c r="C84" i="9"/>
  <c r="L83" i="9"/>
  <c r="I83" i="9"/>
  <c r="C83" i="9"/>
  <c r="L82" i="9"/>
  <c r="I82" i="9"/>
  <c r="C82" i="9"/>
  <c r="L81" i="9"/>
  <c r="I81" i="9"/>
  <c r="C81" i="9"/>
  <c r="L80" i="9"/>
  <c r="I80" i="9"/>
  <c r="C80" i="9"/>
  <c r="L79" i="9"/>
  <c r="I79" i="9"/>
  <c r="C79" i="9"/>
  <c r="L78" i="9"/>
  <c r="I78" i="9"/>
  <c r="C78" i="9"/>
  <c r="L77" i="9"/>
  <c r="C77" i="9"/>
  <c r="L76" i="9"/>
  <c r="I76" i="9"/>
  <c r="C76" i="9"/>
  <c r="L75" i="9"/>
  <c r="I75" i="9"/>
  <c r="C75" i="9"/>
  <c r="L74" i="9"/>
  <c r="I74" i="9"/>
  <c r="C74" i="9"/>
  <c r="L73" i="9"/>
  <c r="I73" i="9"/>
  <c r="C73" i="9"/>
  <c r="L72" i="9"/>
  <c r="I72" i="9"/>
  <c r="C72" i="9"/>
  <c r="L71" i="9"/>
  <c r="I71" i="9"/>
  <c r="C71" i="9"/>
  <c r="L70" i="9"/>
  <c r="I70" i="9"/>
  <c r="C70" i="9"/>
  <c r="L69" i="9"/>
  <c r="I69" i="9"/>
  <c r="C69" i="9"/>
  <c r="L68" i="9"/>
  <c r="I68" i="9"/>
  <c r="C68" i="9"/>
  <c r="L67" i="9"/>
  <c r="I67" i="9"/>
  <c r="C67" i="9"/>
  <c r="L66" i="9"/>
  <c r="I66" i="9"/>
  <c r="C66" i="9"/>
  <c r="L65" i="9"/>
  <c r="I65" i="9"/>
  <c r="C65" i="9"/>
  <c r="L64" i="9"/>
  <c r="I64" i="9"/>
  <c r="C64" i="9"/>
  <c r="L63" i="9"/>
  <c r="I63" i="9"/>
  <c r="C63" i="9"/>
  <c r="L62" i="9"/>
  <c r="I62" i="9"/>
  <c r="C62" i="9"/>
  <c r="L61" i="9"/>
  <c r="I61" i="9"/>
  <c r="C61" i="9"/>
  <c r="L60" i="9"/>
  <c r="I60" i="9"/>
  <c r="C60" i="9"/>
  <c r="L59" i="9"/>
  <c r="I59" i="9"/>
  <c r="C59" i="9"/>
  <c r="L58" i="9"/>
  <c r="I58" i="9"/>
  <c r="C58" i="9"/>
  <c r="L57" i="9"/>
  <c r="C57" i="9"/>
  <c r="L56" i="9"/>
  <c r="C56" i="9"/>
  <c r="L55" i="9"/>
  <c r="I55" i="9"/>
  <c r="C55" i="9"/>
  <c r="L54" i="9"/>
  <c r="I54" i="9"/>
  <c r="C54" i="9"/>
  <c r="L53" i="9"/>
  <c r="I53" i="9"/>
  <c r="C53" i="9"/>
  <c r="L52" i="9"/>
  <c r="I52" i="9"/>
  <c r="C52" i="9"/>
  <c r="L51" i="9"/>
  <c r="I51" i="9"/>
  <c r="C51" i="9"/>
  <c r="L50" i="9"/>
  <c r="C50" i="9"/>
  <c r="L49" i="9"/>
  <c r="I49" i="9"/>
  <c r="C49" i="9"/>
  <c r="L48" i="9"/>
  <c r="I48" i="9"/>
  <c r="C48" i="9"/>
  <c r="L47" i="9"/>
  <c r="I47" i="9"/>
  <c r="C47" i="9"/>
  <c r="L46" i="9"/>
  <c r="I46" i="9"/>
  <c r="C46" i="9"/>
  <c r="L45" i="9"/>
  <c r="I45" i="9"/>
  <c r="C45" i="9"/>
  <c r="L44" i="9"/>
  <c r="I44" i="9"/>
  <c r="C44" i="9"/>
  <c r="L43" i="9"/>
  <c r="I43" i="9"/>
  <c r="C43" i="9"/>
  <c r="L42" i="9"/>
  <c r="C42" i="9"/>
  <c r="L41" i="9"/>
  <c r="I41" i="9"/>
  <c r="C41" i="9"/>
  <c r="L40" i="9"/>
  <c r="I40" i="9"/>
  <c r="C40" i="9"/>
  <c r="L39" i="9"/>
  <c r="I39" i="9"/>
  <c r="C39" i="9"/>
  <c r="L38" i="9"/>
  <c r="I38" i="9"/>
  <c r="C38" i="9"/>
  <c r="L37" i="9"/>
  <c r="I37" i="9"/>
  <c r="C37" i="9"/>
  <c r="L36" i="9"/>
  <c r="I36" i="9"/>
  <c r="C36" i="9"/>
  <c r="L35" i="9"/>
  <c r="C35" i="9"/>
  <c r="L34" i="9"/>
  <c r="I34" i="9"/>
  <c r="C34" i="9"/>
  <c r="L33" i="9"/>
  <c r="I33" i="9"/>
  <c r="C33" i="9"/>
  <c r="L32" i="9"/>
  <c r="I32" i="9"/>
  <c r="C32" i="9"/>
  <c r="L31" i="9"/>
  <c r="I31" i="9"/>
  <c r="C31" i="9"/>
  <c r="L30" i="9"/>
  <c r="I30" i="9"/>
  <c r="C30" i="9"/>
  <c r="L29" i="9"/>
  <c r="I29" i="9"/>
  <c r="C29" i="9"/>
  <c r="L28" i="9"/>
  <c r="C28" i="9"/>
  <c r="L27" i="9"/>
  <c r="I27" i="9"/>
  <c r="C27" i="9"/>
  <c r="L26" i="9"/>
  <c r="I26" i="9"/>
  <c r="C26" i="9"/>
  <c r="L25" i="9"/>
  <c r="I25" i="9"/>
  <c r="C25" i="9"/>
  <c r="L24" i="9"/>
  <c r="I24" i="9"/>
  <c r="C24" i="9"/>
  <c r="L23" i="9"/>
  <c r="I23" i="9"/>
  <c r="C23" i="9"/>
  <c r="L22" i="9"/>
  <c r="I22" i="9"/>
  <c r="C22" i="9"/>
  <c r="L21" i="9"/>
  <c r="C21" i="9"/>
  <c r="L20" i="9"/>
  <c r="I20" i="9"/>
  <c r="C20" i="9"/>
  <c r="L19" i="9"/>
  <c r="I19" i="9"/>
  <c r="C19" i="9"/>
  <c r="L18" i="9"/>
  <c r="I18" i="9"/>
  <c r="C18" i="9"/>
  <c r="L17" i="9"/>
  <c r="I17" i="9"/>
  <c r="C17" i="9"/>
  <c r="L16" i="9"/>
  <c r="I16" i="9"/>
  <c r="C16" i="9"/>
  <c r="L15" i="9"/>
  <c r="I15" i="9"/>
  <c r="C15" i="9"/>
  <c r="L14" i="9"/>
  <c r="C14" i="9"/>
  <c r="L13" i="9"/>
  <c r="I13" i="9"/>
  <c r="C13" i="9"/>
  <c r="L12" i="9"/>
  <c r="I12" i="9"/>
  <c r="C12" i="9"/>
  <c r="L11" i="9"/>
  <c r="I11" i="9"/>
  <c r="C11" i="9"/>
  <c r="L10" i="9"/>
  <c r="I10" i="9"/>
  <c r="C10" i="9"/>
  <c r="L9" i="9"/>
  <c r="I9" i="9"/>
  <c r="C9" i="9"/>
  <c r="L8" i="9"/>
  <c r="C8" i="9"/>
  <c r="B2" i="9"/>
  <c r="R1" i="9"/>
  <c r="D17" i="8"/>
  <c r="D16" i="8"/>
  <c r="D15" i="8"/>
  <c r="F15" i="8" s="1"/>
  <c r="D12" i="8"/>
  <c r="D11" i="8"/>
  <c r="N141" i="4"/>
  <c r="N133" i="4"/>
  <c r="N132" i="4"/>
  <c r="N126" i="4"/>
  <c r="N125" i="4"/>
  <c r="N119" i="4"/>
  <c r="N118" i="4"/>
  <c r="N112" i="4"/>
  <c r="N111" i="4"/>
  <c r="N105" i="4"/>
  <c r="N104" i="4"/>
  <c r="N97" i="4"/>
  <c r="N98" i="4"/>
  <c r="N90" i="4"/>
  <c r="N91" i="4"/>
  <c r="N83" i="4"/>
  <c r="N84" i="4"/>
  <c r="N76" i="4"/>
  <c r="N77" i="4"/>
  <c r="N69" i="4"/>
  <c r="N70" i="4"/>
  <c r="N62" i="4"/>
  <c r="N63" i="4"/>
  <c r="N56" i="4"/>
  <c r="N55" i="4"/>
  <c r="N49" i="4"/>
  <c r="N48" i="4"/>
  <c r="N42" i="4"/>
  <c r="N41" i="4"/>
  <c r="N35" i="4"/>
  <c r="N34" i="4"/>
  <c r="N27" i="4"/>
  <c r="N28" i="4"/>
  <c r="N20" i="4"/>
  <c r="N21" i="4"/>
  <c r="L8" i="4"/>
  <c r="L9" i="4"/>
  <c r="I8" i="4"/>
  <c r="I9" i="4"/>
  <c r="C8" i="4"/>
  <c r="C9" i="4"/>
  <c r="P14" i="4"/>
  <c r="D9" i="8"/>
  <c r="D8" i="8"/>
  <c r="F7" i="8" s="1"/>
  <c r="D6" i="8"/>
  <c r="D5" i="8"/>
  <c r="F5" i="8" s="1"/>
  <c r="D4" i="8"/>
  <c r="D3" i="8"/>
  <c r="F3" i="8" s="1"/>
  <c r="H20" i="7"/>
  <c r="H4" i="7"/>
  <c r="H5" i="7"/>
  <c r="H6" i="7"/>
  <c r="H7" i="7"/>
  <c r="H8" i="7"/>
  <c r="H9" i="7"/>
  <c r="H10" i="7"/>
  <c r="H11" i="7"/>
  <c r="H12" i="7"/>
  <c r="H13" i="7"/>
  <c r="H14" i="7"/>
  <c r="H15" i="7"/>
  <c r="H16" i="7"/>
  <c r="H17" i="7"/>
  <c r="H18" i="7"/>
  <c r="H19" i="7"/>
  <c r="H3" i="7"/>
  <c r="AF260" i="6"/>
  <c r="AC260" i="6"/>
  <c r="Z260" i="6"/>
  <c r="AF259" i="6"/>
  <c r="AC259" i="6"/>
  <c r="Z259" i="6"/>
  <c r="AC258" i="6"/>
  <c r="Z258" i="6"/>
  <c r="AF257" i="6"/>
  <c r="AC257" i="6"/>
  <c r="Z257" i="6"/>
  <c r="AG256" i="6"/>
  <c r="AF256" i="6"/>
  <c r="AC256" i="6"/>
  <c r="Z256" i="6"/>
  <c r="AC255" i="6"/>
  <c r="Z255" i="6"/>
  <c r="AF254" i="6"/>
  <c r="AC254" i="6"/>
  <c r="Z254" i="6"/>
  <c r="AF253" i="6"/>
  <c r="AB250" i="6"/>
  <c r="AE250" i="6" s="1"/>
  <c r="AF249" i="6"/>
  <c r="AE249" i="6"/>
  <c r="AD249" i="6"/>
  <c r="AC249" i="6"/>
  <c r="AB249" i="6"/>
  <c r="AA249" i="6"/>
  <c r="Z249" i="6"/>
  <c r="W249" i="6"/>
  <c r="Z248" i="6"/>
  <c r="AB246" i="6"/>
  <c r="AC246" i="6" s="1"/>
  <c r="AF245" i="6"/>
  <c r="AE245" i="6"/>
  <c r="AD245" i="6"/>
  <c r="AC245" i="6"/>
  <c r="AB245" i="6"/>
  <c r="AA245" i="6"/>
  <c r="Z245" i="6"/>
  <c r="W245" i="6"/>
  <c r="Z244" i="6"/>
  <c r="Y242" i="6"/>
  <c r="AA242" i="6" s="1"/>
  <c r="AF241" i="6"/>
  <c r="AE241" i="6"/>
  <c r="AD241" i="6"/>
  <c r="AC241" i="6"/>
  <c r="AB241" i="6"/>
  <c r="AA241" i="6"/>
  <c r="Z241" i="6"/>
  <c r="Y241" i="6"/>
  <c r="W241" i="6"/>
  <c r="Z240" i="6"/>
  <c r="Y238" i="6"/>
  <c r="AE238" i="6" s="1"/>
  <c r="AG237" i="6"/>
  <c r="AF237" i="6"/>
  <c r="AE237" i="6"/>
  <c r="AD237" i="6"/>
  <c r="AC237" i="6"/>
  <c r="AB237" i="6"/>
  <c r="AA237" i="6"/>
  <c r="Z237" i="6"/>
  <c r="Y237" i="6"/>
  <c r="W237" i="6"/>
  <c r="Z236" i="6"/>
  <c r="Y234" i="6"/>
  <c r="AE234" i="6" s="1"/>
  <c r="J82" i="6" s="1"/>
  <c r="AG233" i="6"/>
  <c r="L81" i="6" s="1"/>
  <c r="AF233" i="6"/>
  <c r="K81" i="6" s="1"/>
  <c r="AE233" i="6"/>
  <c r="AD233" i="6"/>
  <c r="AC233" i="6"/>
  <c r="AB233" i="6"/>
  <c r="AA233" i="6"/>
  <c r="Z233" i="6"/>
  <c r="Y233" i="6"/>
  <c r="W233" i="6"/>
  <c r="Z232" i="6"/>
  <c r="AB213" i="6"/>
  <c r="AB211" i="6"/>
  <c r="AB209" i="6"/>
  <c r="AB207" i="6"/>
  <c r="AB205" i="6"/>
  <c r="AB203" i="6"/>
  <c r="AB201" i="6"/>
  <c r="AB199" i="6"/>
  <c r="AB197" i="6"/>
  <c r="AB195" i="6"/>
  <c r="AB193" i="6"/>
  <c r="AB191" i="6"/>
  <c r="AB189" i="6"/>
  <c r="AB187" i="6"/>
  <c r="AB185" i="6"/>
  <c r="AB183" i="6"/>
  <c r="AB181" i="6"/>
  <c r="AB179" i="6"/>
  <c r="AB177" i="6"/>
  <c r="AB175" i="6"/>
  <c r="AB173" i="6"/>
  <c r="AB171" i="6"/>
  <c r="AB169" i="6"/>
  <c r="AB167" i="6"/>
  <c r="AB165" i="6"/>
  <c r="AB163" i="6"/>
  <c r="AB161" i="6"/>
  <c r="AB159" i="6"/>
  <c r="AB157" i="6"/>
  <c r="AB155" i="6"/>
  <c r="AB153" i="6"/>
  <c r="AB151" i="6"/>
  <c r="AB149" i="6"/>
  <c r="AB147" i="6"/>
  <c r="AB145" i="6"/>
  <c r="AB143" i="6"/>
  <c r="AD142" i="6"/>
  <c r="AD143" i="6" s="1"/>
  <c r="AD144" i="6" s="1"/>
  <c r="AD145" i="6" s="1"/>
  <c r="AD146" i="6" s="1"/>
  <c r="AD147" i="6" s="1"/>
  <c r="AD148" i="6" s="1"/>
  <c r="AD149" i="6" s="1"/>
  <c r="AD150" i="6" s="1"/>
  <c r="AD151" i="6" s="1"/>
  <c r="AD152" i="6" s="1"/>
  <c r="AD153" i="6" s="1"/>
  <c r="AD154" i="6" s="1"/>
  <c r="AD155" i="6" s="1"/>
  <c r="AD156" i="6" s="1"/>
  <c r="AD157" i="6" s="1"/>
  <c r="AD158" i="6" s="1"/>
  <c r="AD159" i="6" s="1"/>
  <c r="AD160" i="6" s="1"/>
  <c r="AD161" i="6" s="1"/>
  <c r="AD162" i="6" s="1"/>
  <c r="AD163" i="6" s="1"/>
  <c r="AD164" i="6" s="1"/>
  <c r="AD165" i="6" s="1"/>
  <c r="AD166" i="6" s="1"/>
  <c r="AD167" i="6" s="1"/>
  <c r="AD168" i="6" s="1"/>
  <c r="AD169" i="6" s="1"/>
  <c r="AD170" i="6" s="1"/>
  <c r="AD171" i="6" s="1"/>
  <c r="AD172" i="6" s="1"/>
  <c r="AD173" i="6" s="1"/>
  <c r="AD174" i="6" s="1"/>
  <c r="AD175" i="6" s="1"/>
  <c r="AD176" i="6" s="1"/>
  <c r="AD177" i="6" s="1"/>
  <c r="AD178" i="6" s="1"/>
  <c r="AD179" i="6" s="1"/>
  <c r="AD180" i="6" s="1"/>
  <c r="AD181" i="6" s="1"/>
  <c r="AD182" i="6" s="1"/>
  <c r="AD183" i="6" s="1"/>
  <c r="AD184" i="6" s="1"/>
  <c r="AD185" i="6" s="1"/>
  <c r="AD186" i="6" s="1"/>
  <c r="AD187" i="6" s="1"/>
  <c r="AD188" i="6" s="1"/>
  <c r="AD189" i="6" s="1"/>
  <c r="AD190" i="6" s="1"/>
  <c r="AD191" i="6" s="1"/>
  <c r="AD192" i="6" s="1"/>
  <c r="AD193" i="6" s="1"/>
  <c r="AD194" i="6" s="1"/>
  <c r="AD195" i="6" s="1"/>
  <c r="AD196" i="6" s="1"/>
  <c r="AD197" i="6" s="1"/>
  <c r="AD198" i="6" s="1"/>
  <c r="AD199" i="6" s="1"/>
  <c r="AD200" i="6" s="1"/>
  <c r="AD201" i="6" s="1"/>
  <c r="AD202" i="6" s="1"/>
  <c r="AD203" i="6" s="1"/>
  <c r="AD204" i="6" s="1"/>
  <c r="AD205" i="6" s="1"/>
  <c r="AD206" i="6" s="1"/>
  <c r="AD207" i="6" s="1"/>
  <c r="AD208" i="6" s="1"/>
  <c r="AD209" i="6" s="1"/>
  <c r="AD210" i="6" s="1"/>
  <c r="AD211" i="6" s="1"/>
  <c r="AD212" i="6" s="1"/>
  <c r="AD213" i="6" s="1"/>
  <c r="AD214" i="6" s="1"/>
  <c r="AD215" i="6" s="1"/>
  <c r="AD216" i="6" s="1"/>
  <c r="AD217" i="6" s="1"/>
  <c r="AD218" i="6" s="1"/>
  <c r="AD219" i="6" s="1"/>
  <c r="AD220" i="6" s="1"/>
  <c r="AD221" i="6" s="1"/>
  <c r="AD222" i="6" s="1"/>
  <c r="AD223" i="6" s="1"/>
  <c r="AD224" i="6" s="1"/>
  <c r="AD225" i="6" s="1"/>
  <c r="AD226" i="6" s="1"/>
  <c r="AD227" i="6" s="1"/>
  <c r="AD228" i="6" s="1"/>
  <c r="AD229" i="6" s="1"/>
  <c r="AD230" i="6" s="1"/>
  <c r="AB141" i="6"/>
  <c r="AB139" i="6"/>
  <c r="AB137" i="6"/>
  <c r="AD136" i="6"/>
  <c r="AD137" i="6" s="1"/>
  <c r="AD138" i="6" s="1"/>
  <c r="AD139" i="6" s="1"/>
  <c r="AD140" i="6" s="1"/>
  <c r="AD141" i="6" s="1"/>
  <c r="K126" i="6"/>
  <c r="J126" i="6"/>
  <c r="L126" i="6" s="1"/>
  <c r="I126" i="6"/>
  <c r="H126" i="6"/>
  <c r="G126" i="6"/>
  <c r="F126" i="6"/>
  <c r="F119" i="6" s="1"/>
  <c r="E126" i="6"/>
  <c r="E119" i="6" s="1"/>
  <c r="L125" i="6"/>
  <c r="M125" i="6" s="1"/>
  <c r="R124" i="6"/>
  <c r="L124" i="6"/>
  <c r="R123" i="6"/>
  <c r="L123" i="6"/>
  <c r="R122" i="6"/>
  <c r="L122" i="6"/>
  <c r="R120" i="6"/>
  <c r="Q120" i="6"/>
  <c r="R119" i="6"/>
  <c r="Q119" i="6"/>
  <c r="J119" i="6"/>
  <c r="I119" i="6"/>
  <c r="H119" i="6"/>
  <c r="G119" i="6"/>
  <c r="R118" i="6"/>
  <c r="Q118" i="6"/>
  <c r="R117" i="6"/>
  <c r="Q117" i="6"/>
  <c r="R116" i="6"/>
  <c r="Q116" i="6"/>
  <c r="R115" i="6"/>
  <c r="Q115" i="6"/>
  <c r="Q113" i="6"/>
  <c r="J113" i="6"/>
  <c r="Q112" i="6"/>
  <c r="Q111" i="6"/>
  <c r="Q110" i="6"/>
  <c r="G110" i="6"/>
  <c r="J110" i="6" s="1"/>
  <c r="E110" i="6"/>
  <c r="C110" i="6"/>
  <c r="J109" i="6"/>
  <c r="G109" i="6"/>
  <c r="I109" i="6" s="1"/>
  <c r="F109" i="6"/>
  <c r="K109" i="6" s="1"/>
  <c r="L109" i="6" s="1"/>
  <c r="Q108" i="6"/>
  <c r="J108" i="6"/>
  <c r="I108" i="6"/>
  <c r="G108" i="6"/>
  <c r="H108" i="6" s="1"/>
  <c r="F108" i="6"/>
  <c r="K108" i="6" s="1"/>
  <c r="L108" i="6" s="1"/>
  <c r="Q107" i="6"/>
  <c r="Q106" i="6"/>
  <c r="G106" i="6"/>
  <c r="J106" i="6" s="1"/>
  <c r="E106" i="6"/>
  <c r="B106" i="6"/>
  <c r="Q105" i="6"/>
  <c r="M105" i="6"/>
  <c r="M104" i="6"/>
  <c r="I104" i="6"/>
  <c r="F104" i="6"/>
  <c r="P103" i="6"/>
  <c r="Q102" i="6"/>
  <c r="G102" i="6"/>
  <c r="K102" i="6" s="1"/>
  <c r="E102" i="6"/>
  <c r="B102" i="6"/>
  <c r="G101" i="6"/>
  <c r="E101" i="6"/>
  <c r="B101" i="6"/>
  <c r="Q100" i="6"/>
  <c r="R97" i="6"/>
  <c r="K97" i="6"/>
  <c r="J97" i="6"/>
  <c r="I97" i="6"/>
  <c r="H97" i="6"/>
  <c r="G97" i="6"/>
  <c r="F97" i="6"/>
  <c r="E97" i="6"/>
  <c r="D97" i="6"/>
  <c r="B97" i="6"/>
  <c r="M96" i="6"/>
  <c r="R95" i="6"/>
  <c r="M95" i="6"/>
  <c r="K95" i="6"/>
  <c r="J95" i="6"/>
  <c r="I95" i="6"/>
  <c r="G95" i="6"/>
  <c r="R92" i="6"/>
  <c r="B92" i="6"/>
  <c r="M91" i="6"/>
  <c r="R90" i="6"/>
  <c r="M90" i="6"/>
  <c r="N89" i="6"/>
  <c r="L89" i="6"/>
  <c r="K89" i="6"/>
  <c r="J89" i="6"/>
  <c r="I89" i="6"/>
  <c r="H89" i="6"/>
  <c r="G89" i="6"/>
  <c r="F89" i="6"/>
  <c r="E89" i="6"/>
  <c r="D89" i="6"/>
  <c r="B89" i="6"/>
  <c r="M88" i="6"/>
  <c r="K88" i="6"/>
  <c r="J88" i="6"/>
  <c r="I88" i="6"/>
  <c r="H88" i="6"/>
  <c r="G88" i="6"/>
  <c r="F88" i="6"/>
  <c r="B88" i="6"/>
  <c r="B87" i="6"/>
  <c r="R85" i="6"/>
  <c r="P86" i="6" s="1"/>
  <c r="O85" i="6"/>
  <c r="Q75" i="6" s="1"/>
  <c r="P84" i="6"/>
  <c r="M84" i="6"/>
  <c r="B84" i="6"/>
  <c r="B83" i="6"/>
  <c r="J81" i="6"/>
  <c r="I81" i="6"/>
  <c r="H81" i="6"/>
  <c r="G81" i="6"/>
  <c r="F81" i="6"/>
  <c r="E81" i="6"/>
  <c r="Q80" i="6"/>
  <c r="P80" i="6"/>
  <c r="J80" i="6"/>
  <c r="C80" i="6"/>
  <c r="R79" i="6"/>
  <c r="P78" i="6"/>
  <c r="C78" i="6"/>
  <c r="K76" i="6" s="1"/>
  <c r="R77" i="6"/>
  <c r="B77" i="6"/>
  <c r="H76" i="6"/>
  <c r="G76" i="6"/>
  <c r="F76" i="6"/>
  <c r="O74" i="6"/>
  <c r="P73" i="6"/>
  <c r="P3" i="6" s="1"/>
  <c r="M73" i="6"/>
  <c r="L72" i="6"/>
  <c r="K72" i="6"/>
  <c r="J72" i="6"/>
  <c r="I72" i="6"/>
  <c r="G72" i="6"/>
  <c r="M71" i="6"/>
  <c r="B71" i="6"/>
  <c r="E70" i="6"/>
  <c r="Z69" i="6"/>
  <c r="Y69" i="6"/>
  <c r="S69" i="6"/>
  <c r="Z68" i="6"/>
  <c r="Y68" i="6"/>
  <c r="S68" i="6"/>
  <c r="W68" i="6" s="1"/>
  <c r="Z67" i="6"/>
  <c r="Y67" i="6"/>
  <c r="S67" i="6"/>
  <c r="Z66" i="6"/>
  <c r="Y66" i="6"/>
  <c r="S66" i="6"/>
  <c r="AB65" i="6"/>
  <c r="Z65" i="6"/>
  <c r="Y65" i="6"/>
  <c r="W65" i="6"/>
  <c r="AA65" i="6" s="1"/>
  <c r="M65" i="6"/>
  <c r="Z64" i="6"/>
  <c r="Y64" i="6"/>
  <c r="S64" i="6"/>
  <c r="W64" i="6" s="1"/>
  <c r="Z63" i="6"/>
  <c r="Y63" i="6"/>
  <c r="W63" i="6"/>
  <c r="M63" i="6"/>
  <c r="Z62" i="6"/>
  <c r="AB62" i="6" s="1"/>
  <c r="Y62" i="6"/>
  <c r="AA62" i="6" s="1"/>
  <c r="S62" i="6"/>
  <c r="W62" i="6" s="1"/>
  <c r="M62" i="6"/>
  <c r="Z61" i="6"/>
  <c r="Y61" i="6"/>
  <c r="S61" i="6"/>
  <c r="W61" i="6" s="1"/>
  <c r="Z60" i="6"/>
  <c r="Y60" i="6"/>
  <c r="W60" i="6"/>
  <c r="S60" i="6"/>
  <c r="AA59" i="6"/>
  <c r="Z59" i="6"/>
  <c r="AB59" i="6" s="1"/>
  <c r="Y59" i="6"/>
  <c r="W59" i="6"/>
  <c r="L59" i="6"/>
  <c r="K59" i="6"/>
  <c r="J59" i="6"/>
  <c r="I59" i="6"/>
  <c r="H59" i="6"/>
  <c r="G59" i="6"/>
  <c r="F59" i="6"/>
  <c r="E59" i="6"/>
  <c r="D59" i="6"/>
  <c r="B59" i="6"/>
  <c r="Z58" i="6"/>
  <c r="Y58" i="6"/>
  <c r="S58" i="6"/>
  <c r="B58" i="6"/>
  <c r="AA57" i="6"/>
  <c r="Z57" i="6"/>
  <c r="AB57" i="6" s="1"/>
  <c r="Y57" i="6"/>
  <c r="W57" i="6"/>
  <c r="Z56" i="6"/>
  <c r="Y56" i="6"/>
  <c r="W56" i="6"/>
  <c r="S56" i="6"/>
  <c r="AB55" i="6"/>
  <c r="AA55" i="6"/>
  <c r="Z55" i="6"/>
  <c r="Y55" i="6"/>
  <c r="W55" i="6"/>
  <c r="AA54" i="6"/>
  <c r="Z54" i="6"/>
  <c r="AB54" i="6" s="1"/>
  <c r="Y54" i="6"/>
  <c r="W54" i="6"/>
  <c r="B54" i="6"/>
  <c r="Z53" i="6"/>
  <c r="Y53" i="6"/>
  <c r="S53" i="6"/>
  <c r="W53" i="6" s="1"/>
  <c r="AB53" i="6" s="1"/>
  <c r="AB52" i="6"/>
  <c r="Z52" i="6"/>
  <c r="Y52" i="6"/>
  <c r="S52" i="6"/>
  <c r="W52" i="6" s="1"/>
  <c r="AA52" i="6" s="1"/>
  <c r="Z51" i="6"/>
  <c r="Y51" i="6"/>
  <c r="W51" i="6"/>
  <c r="Z50" i="6"/>
  <c r="Y50" i="6"/>
  <c r="S50" i="6"/>
  <c r="G50" i="6"/>
  <c r="E50" i="6"/>
  <c r="C50" i="6"/>
  <c r="R49" i="6"/>
  <c r="P49" i="6"/>
  <c r="P48" i="6"/>
  <c r="B48" i="6"/>
  <c r="D47" i="6"/>
  <c r="B47" i="6"/>
  <c r="C44" i="6"/>
  <c r="C43" i="6"/>
  <c r="C42" i="6"/>
  <c r="Q41" i="6"/>
  <c r="P41" i="6"/>
  <c r="O41" i="6"/>
  <c r="N41" i="6"/>
  <c r="M41" i="6"/>
  <c r="C41" i="6"/>
  <c r="Z40" i="6"/>
  <c r="Y40" i="6"/>
  <c r="X40" i="6"/>
  <c r="W40" i="6"/>
  <c r="C40" i="6"/>
  <c r="Z39" i="6"/>
  <c r="Y39" i="6"/>
  <c r="X39" i="6"/>
  <c r="C39" i="6"/>
  <c r="Z38" i="6"/>
  <c r="Y38" i="6"/>
  <c r="X38" i="6"/>
  <c r="C38" i="6"/>
  <c r="Z37" i="6"/>
  <c r="C37" i="6"/>
  <c r="Z36" i="6"/>
  <c r="C36" i="6"/>
  <c r="Z35" i="6"/>
  <c r="C35" i="6"/>
  <c r="Z34" i="6"/>
  <c r="C34" i="6"/>
  <c r="Z33" i="6"/>
  <c r="C33" i="6"/>
  <c r="Z32" i="6"/>
  <c r="C32" i="6"/>
  <c r="Z31" i="6"/>
  <c r="C31" i="6"/>
  <c r="N30" i="6"/>
  <c r="C30" i="6"/>
  <c r="C29" i="6"/>
  <c r="C28" i="6"/>
  <c r="C27" i="6"/>
  <c r="C26" i="6"/>
  <c r="C25" i="6"/>
  <c r="C24" i="6"/>
  <c r="C23" i="6"/>
  <c r="C22" i="6"/>
  <c r="C21" i="6"/>
  <c r="B21" i="6"/>
  <c r="B22" i="6" s="1"/>
  <c r="B23" i="6" s="1"/>
  <c r="B24" i="6" s="1"/>
  <c r="B25" i="6" s="1"/>
  <c r="B26" i="6" s="1"/>
  <c r="B27" i="6" s="1"/>
  <c r="B28" i="6" s="1"/>
  <c r="B29" i="6" s="1"/>
  <c r="B30" i="6" s="1"/>
  <c r="B31" i="6" s="1"/>
  <c r="B32" i="6" s="1"/>
  <c r="B33" i="6" s="1"/>
  <c r="B34" i="6" s="1"/>
  <c r="B35" i="6" s="1"/>
  <c r="B36" i="6" s="1"/>
  <c r="B37" i="6" s="1"/>
  <c r="B38" i="6" s="1"/>
  <c r="B39" i="6" s="1"/>
  <c r="B40" i="6" s="1"/>
  <c r="B41" i="6" s="1"/>
  <c r="B42" i="6" s="1"/>
  <c r="B43" i="6" s="1"/>
  <c r="B44" i="6" s="1"/>
  <c r="C20" i="6"/>
  <c r="C19" i="6"/>
  <c r="B19" i="6"/>
  <c r="B20" i="6" s="1"/>
  <c r="C15" i="6"/>
  <c r="C14" i="6"/>
  <c r="C13" i="6"/>
  <c r="B13" i="6"/>
  <c r="C12" i="6"/>
  <c r="G11" i="6"/>
  <c r="G13" i="6" s="1"/>
  <c r="G12" i="6" s="1"/>
  <c r="F11" i="6"/>
  <c r="F18" i="6" s="1"/>
  <c r="E11" i="6"/>
  <c r="D11" i="6"/>
  <c r="C11" i="6"/>
  <c r="S9" i="6"/>
  <c r="F8" i="6" s="1"/>
  <c r="G104" i="6" s="1"/>
  <c r="R9" i="6"/>
  <c r="K9" i="6"/>
  <c r="K8" i="6" s="1"/>
  <c r="S65" i="6" s="1"/>
  <c r="G9" i="6"/>
  <c r="F9" i="6"/>
  <c r="D9" i="6"/>
  <c r="S8" i="6"/>
  <c r="D8" i="6" s="1"/>
  <c r="O59" i="6" s="1"/>
  <c r="X59" i="6" s="1"/>
  <c r="Q8" i="6"/>
  <c r="P8" i="6"/>
  <c r="O8" i="6"/>
  <c r="N8" i="6"/>
  <c r="M8" i="6"/>
  <c r="L8" i="6"/>
  <c r="J8" i="6"/>
  <c r="P6" i="6"/>
  <c r="O6" i="6"/>
  <c r="N6" i="6"/>
  <c r="B6" i="6"/>
  <c r="E5" i="6"/>
  <c r="M74" i="6" s="1"/>
  <c r="P4" i="6"/>
  <c r="B3" i="6"/>
  <c r="B2" i="6"/>
  <c r="G18" i="6" l="1"/>
  <c r="F13" i="6"/>
  <c r="F12" i="6" s="1"/>
  <c r="M64" i="6"/>
  <c r="F21" i="8"/>
  <c r="F11" i="8"/>
  <c r="F17" i="8"/>
  <c r="F35" i="8"/>
  <c r="F9" i="8"/>
  <c r="U20" i="9"/>
  <c r="U18" i="9"/>
  <c r="U17" i="9"/>
  <c r="U16" i="9"/>
  <c r="U15" i="9"/>
  <c r="U14" i="9"/>
  <c r="U19" i="9"/>
  <c r="Q50" i="9"/>
  <c r="P56" i="9"/>
  <c r="L13" i="7"/>
  <c r="L10" i="7"/>
  <c r="L11" i="7"/>
  <c r="L9" i="7"/>
  <c r="L16" i="7"/>
  <c r="L19" i="7"/>
  <c r="L12" i="7"/>
  <c r="L20" i="7"/>
  <c r="Q40" i="6"/>
  <c r="R40" i="6" s="1"/>
  <c r="L5" i="7"/>
  <c r="L6" i="7"/>
  <c r="L4" i="7"/>
  <c r="L7" i="7"/>
  <c r="L8" i="7"/>
  <c r="L17" i="7"/>
  <c r="I105" i="9"/>
  <c r="L14" i="7"/>
  <c r="I56" i="9"/>
  <c r="I42" i="9"/>
  <c r="I35" i="9"/>
  <c r="I28" i="9"/>
  <c r="I98" i="9"/>
  <c r="I21" i="9"/>
  <c r="I14" i="9"/>
  <c r="O53" i="6"/>
  <c r="X53" i="6" s="1"/>
  <c r="O68" i="6"/>
  <c r="P68" i="6" s="1"/>
  <c r="Q16" i="6"/>
  <c r="Q10" i="6" s="1"/>
  <c r="Q11" i="6" s="1"/>
  <c r="Q18" i="6" s="1"/>
  <c r="R16" i="6"/>
  <c r="R10" i="6" s="1"/>
  <c r="R11" i="6" s="1"/>
  <c r="R13" i="6" s="1"/>
  <c r="R12" i="6" s="1"/>
  <c r="O16" i="6"/>
  <c r="O10" i="6" s="1"/>
  <c r="O11" i="6" s="1"/>
  <c r="O13" i="6" s="1"/>
  <c r="O12" i="6" s="1"/>
  <c r="D82" i="6"/>
  <c r="D83" i="6" s="1"/>
  <c r="N16" i="6"/>
  <c r="N10" i="6" s="1"/>
  <c r="N11" i="6" s="1"/>
  <c r="N18" i="6" s="1"/>
  <c r="O58" i="6"/>
  <c r="P58" i="6" s="1"/>
  <c r="O50" i="6"/>
  <c r="P50" i="6" s="1"/>
  <c r="M16" i="6"/>
  <c r="M10" i="6" s="1"/>
  <c r="M11" i="6" s="1"/>
  <c r="M13" i="6" s="1"/>
  <c r="M12" i="6" s="1"/>
  <c r="P16" i="6"/>
  <c r="P10" i="6" s="1"/>
  <c r="P11" i="6" s="1"/>
  <c r="P18" i="6" s="1"/>
  <c r="I102" i="6"/>
  <c r="N48" i="6"/>
  <c r="AE242" i="6"/>
  <c r="Z250" i="6"/>
  <c r="AF238" i="6"/>
  <c r="AG238" i="6"/>
  <c r="AA246" i="6"/>
  <c r="AF250" i="6"/>
  <c r="AE246" i="6"/>
  <c r="Z234" i="6"/>
  <c r="E82" i="6" s="1"/>
  <c r="E83" i="6" s="1"/>
  <c r="AF246" i="6"/>
  <c r="AA234" i="6"/>
  <c r="F82" i="6" s="1"/>
  <c r="F83" i="6" s="1"/>
  <c r="AB234" i="6"/>
  <c r="G82" i="6" s="1"/>
  <c r="G83" i="6" s="1"/>
  <c r="AD246" i="6"/>
  <c r="AC234" i="6"/>
  <c r="H82" i="6" s="1"/>
  <c r="H83" i="6" s="1"/>
  <c r="AD242" i="6"/>
  <c r="AD234" i="6"/>
  <c r="I82" i="6" s="1"/>
  <c r="I83" i="6" s="1"/>
  <c r="AF242" i="6"/>
  <c r="F110" i="6"/>
  <c r="K110" i="6" s="1"/>
  <c r="L110" i="6" s="1"/>
  <c r="Z242" i="6"/>
  <c r="AB242" i="6"/>
  <c r="AC242" i="6"/>
  <c r="AA61" i="6"/>
  <c r="AB61" i="6"/>
  <c r="AB68" i="6"/>
  <c r="AA68" i="6"/>
  <c r="I106" i="6"/>
  <c r="K104" i="6"/>
  <c r="I110" i="6"/>
  <c r="H110" i="6"/>
  <c r="AB64" i="6"/>
  <c r="AA64" i="6"/>
  <c r="Q59" i="6"/>
  <c r="R59" i="6" s="1"/>
  <c r="E13" i="6"/>
  <c r="E12" i="6" s="1"/>
  <c r="E18" i="6"/>
  <c r="AB51" i="6"/>
  <c r="AA51" i="6"/>
  <c r="W58" i="6"/>
  <c r="AA60" i="6"/>
  <c r="AB60" i="6"/>
  <c r="O51" i="6"/>
  <c r="O57" i="6"/>
  <c r="O54" i="6"/>
  <c r="L16" i="6"/>
  <c r="O62" i="6"/>
  <c r="O52" i="6"/>
  <c r="O64" i="6"/>
  <c r="O63" i="6"/>
  <c r="B81" i="6"/>
  <c r="D56" i="6" s="1"/>
  <c r="M94" i="6"/>
  <c r="I6" i="6"/>
  <c r="O55" i="6"/>
  <c r="Q55" i="6" s="1"/>
  <c r="R55" i="6" s="1"/>
  <c r="R72" i="6"/>
  <c r="X265" i="6"/>
  <c r="X264" i="6"/>
  <c r="X263" i="6"/>
  <c r="J16" i="6"/>
  <c r="O61" i="6"/>
  <c r="AB63" i="6"/>
  <c r="AA63" i="6"/>
  <c r="AA53" i="6"/>
  <c r="O65" i="6"/>
  <c r="L117" i="6"/>
  <c r="L121" i="6"/>
  <c r="L120" i="6"/>
  <c r="M122" i="6" s="1"/>
  <c r="L118" i="6"/>
  <c r="M119" i="6"/>
  <c r="L119" i="6"/>
  <c r="M75" i="6"/>
  <c r="O84" i="6"/>
  <c r="O76" i="6"/>
  <c r="W50" i="6"/>
  <c r="P59" i="6"/>
  <c r="D13" i="6"/>
  <c r="D12" i="6" s="1"/>
  <c r="D18" i="6"/>
  <c r="O69" i="6"/>
  <c r="S16" i="6"/>
  <c r="O60" i="6"/>
  <c r="W69" i="6"/>
  <c r="AB56" i="6"/>
  <c r="AA56" i="6"/>
  <c r="O66" i="6"/>
  <c r="W66" i="6"/>
  <c r="J83" i="6"/>
  <c r="K101" i="6"/>
  <c r="I101" i="6"/>
  <c r="L76" i="6"/>
  <c r="J76" i="6"/>
  <c r="I76" i="6"/>
  <c r="K16" i="6"/>
  <c r="H95" i="6"/>
  <c r="E88" i="6"/>
  <c r="R76" i="6"/>
  <c r="P5" i="6"/>
  <c r="K50" i="6"/>
  <c r="I50" i="6"/>
  <c r="O67" i="6"/>
  <c r="K119" i="6"/>
  <c r="W67" i="6"/>
  <c r="Z238" i="6"/>
  <c r="AA238" i="6"/>
  <c r="AA250" i="6"/>
  <c r="AB238" i="6"/>
  <c r="AC238" i="6"/>
  <c r="AC250" i="6"/>
  <c r="AD238" i="6"/>
  <c r="AD250" i="6"/>
  <c r="O56" i="6"/>
  <c r="H106" i="6"/>
  <c r="AG234" i="6"/>
  <c r="L82" i="6" s="1"/>
  <c r="L83" i="6" s="1"/>
  <c r="AF234" i="6"/>
  <c r="K82" i="6" s="1"/>
  <c r="K83" i="6" s="1"/>
  <c r="Z246" i="6"/>
  <c r="H109" i="6"/>
  <c r="W31" i="6" l="1"/>
  <c r="K3" i="9"/>
  <c r="W39" i="6"/>
  <c r="Q39" i="6" s="1"/>
  <c r="R39" i="6" s="1"/>
  <c r="W38" i="6"/>
  <c r="Q38" i="6" s="1"/>
  <c r="R38" i="6" s="1"/>
  <c r="Q57" i="9"/>
  <c r="P63" i="9"/>
  <c r="L15" i="7"/>
  <c r="L18" i="7"/>
  <c r="R14" i="6"/>
  <c r="R15" i="6" s="1"/>
  <c r="B63" i="6" s="1"/>
  <c r="K90" i="6"/>
  <c r="K91" i="6" s="1"/>
  <c r="K92" i="6" s="1"/>
  <c r="W35" i="6"/>
  <c r="W36" i="6"/>
  <c r="X37" i="6"/>
  <c r="X31" i="6"/>
  <c r="W34" i="6"/>
  <c r="W37" i="6"/>
  <c r="X34" i="6"/>
  <c r="W33" i="6"/>
  <c r="X36" i="6"/>
  <c r="X33" i="6"/>
  <c r="X35" i="6"/>
  <c r="X32" i="6"/>
  <c r="W32" i="6"/>
  <c r="Q68" i="6"/>
  <c r="R68" i="6" s="1"/>
  <c r="Q14" i="6"/>
  <c r="Q20" i="6" s="1"/>
  <c r="X68" i="6"/>
  <c r="P53" i="6"/>
  <c r="Q53" i="6"/>
  <c r="R53" i="6" s="1"/>
  <c r="Q58" i="6"/>
  <c r="R58" i="6" s="1"/>
  <c r="N14" i="6"/>
  <c r="N20" i="6" s="1"/>
  <c r="X58" i="6"/>
  <c r="F84" i="6"/>
  <c r="X50" i="6"/>
  <c r="M14" i="6"/>
  <c r="M15" i="6" s="1"/>
  <c r="G84" i="6"/>
  <c r="N13" i="6"/>
  <c r="N12" i="6" s="1"/>
  <c r="P13" i="6"/>
  <c r="P12" i="6" s="1"/>
  <c r="E84" i="6"/>
  <c r="O18" i="6"/>
  <c r="R18" i="6"/>
  <c r="Q13" i="6"/>
  <c r="Q12" i="6" s="1"/>
  <c r="M18" i="6"/>
  <c r="Q50" i="6"/>
  <c r="R50" i="6" s="1"/>
  <c r="P14" i="6"/>
  <c r="P15" i="6" s="1"/>
  <c r="B64" i="6" s="1"/>
  <c r="O14" i="6"/>
  <c r="I90" i="6"/>
  <c r="I91" i="6" s="1"/>
  <c r="I92" i="6" s="1"/>
  <c r="L90" i="6"/>
  <c r="L91" i="6" s="1"/>
  <c r="L92" i="6" s="1"/>
  <c r="H90" i="6"/>
  <c r="H91" i="6" s="1"/>
  <c r="H92" i="6" s="1"/>
  <c r="Q56" i="6"/>
  <c r="R56" i="6" s="1"/>
  <c r="P56" i="6"/>
  <c r="X56" i="6"/>
  <c r="L14" i="6"/>
  <c r="L15" i="6" s="1"/>
  <c r="L10" i="6"/>
  <c r="L11" i="6" s="1"/>
  <c r="AB67" i="6"/>
  <c r="AA67" i="6"/>
  <c r="X54" i="6"/>
  <c r="Q54" i="6"/>
  <c r="R54" i="6" s="1"/>
  <c r="P54" i="6"/>
  <c r="Q67" i="6"/>
  <c r="R67" i="6" s="1"/>
  <c r="P67" i="6"/>
  <c r="X67" i="6"/>
  <c r="X61" i="6"/>
  <c r="P61" i="6"/>
  <c r="J10" i="6"/>
  <c r="J14" i="6"/>
  <c r="J84" i="6"/>
  <c r="Q63" i="6"/>
  <c r="R63" i="6" s="1"/>
  <c r="P63" i="6"/>
  <c r="X63" i="6"/>
  <c r="AB66" i="6"/>
  <c r="AA66" i="6"/>
  <c r="P66" i="6"/>
  <c r="X66" i="6"/>
  <c r="Q66" i="6"/>
  <c r="R66" i="6" s="1"/>
  <c r="Q64" i="6"/>
  <c r="R64" i="6" s="1"/>
  <c r="P64" i="6"/>
  <c r="X64" i="6"/>
  <c r="I84" i="6"/>
  <c r="K84" i="6"/>
  <c r="X52" i="6"/>
  <c r="Q52" i="6"/>
  <c r="R52" i="6" s="1"/>
  <c r="P52" i="6"/>
  <c r="L84" i="6"/>
  <c r="H84" i="6"/>
  <c r="Q65" i="6"/>
  <c r="R65" i="6" s="1"/>
  <c r="X65" i="6"/>
  <c r="P65" i="6"/>
  <c r="X62" i="6"/>
  <c r="Q62" i="6"/>
  <c r="R62" i="6" s="1"/>
  <c r="P62" i="6"/>
  <c r="Q57" i="6"/>
  <c r="R57" i="6" s="1"/>
  <c r="P57" i="6"/>
  <c r="X57" i="6"/>
  <c r="AA58" i="6"/>
  <c r="AB58" i="6"/>
  <c r="P51" i="6"/>
  <c r="X51" i="6"/>
  <c r="Q51" i="6"/>
  <c r="R51" i="6" s="1"/>
  <c r="AF263" i="6"/>
  <c r="AF262" i="6"/>
  <c r="R74" i="6"/>
  <c r="R4" i="6" s="1"/>
  <c r="AA69" i="6"/>
  <c r="AB69" i="6"/>
  <c r="Q60" i="6"/>
  <c r="R60" i="6" s="1"/>
  <c r="P60" i="6"/>
  <c r="X60" i="6"/>
  <c r="S14" i="6"/>
  <c r="S15" i="6" s="1"/>
  <c r="S10" i="6"/>
  <c r="S11" i="6" s="1"/>
  <c r="S13" i="6" s="1"/>
  <c r="S12" i="6" s="1"/>
  <c r="P69" i="6"/>
  <c r="X69" i="6"/>
  <c r="Q69" i="6"/>
  <c r="R69" i="6" s="1"/>
  <c r="K14" i="6"/>
  <c r="K10" i="6"/>
  <c r="K11" i="6" s="1"/>
  <c r="AB50" i="6"/>
  <c r="AA50" i="6"/>
  <c r="P55" i="6"/>
  <c r="X55" i="6"/>
  <c r="L6" i="6"/>
  <c r="B62" i="6"/>
  <c r="K62" i="6" s="1"/>
  <c r="Y31" i="6"/>
  <c r="Q31" i="6" s="1"/>
  <c r="R31" i="6" s="1"/>
  <c r="F106" i="6"/>
  <c r="Y33" i="6"/>
  <c r="D90" i="6"/>
  <c r="D91" i="6" s="1"/>
  <c r="D92" i="6" s="1"/>
  <c r="Y32" i="6"/>
  <c r="B61" i="6"/>
  <c r="B60" i="6" s="1"/>
  <c r="Y36" i="6"/>
  <c r="Y34" i="6"/>
  <c r="F90" i="6"/>
  <c r="F91" i="6" s="1"/>
  <c r="F92" i="6" s="1"/>
  <c r="N90" i="6"/>
  <c r="G90" i="6"/>
  <c r="G91" i="6" s="1"/>
  <c r="G92" i="6" s="1"/>
  <c r="Y35" i="6"/>
  <c r="Y37" i="6"/>
  <c r="Q61" i="6"/>
  <c r="R61" i="6" s="1"/>
  <c r="E90" i="6"/>
  <c r="E91" i="6" s="1"/>
  <c r="E92" i="6" s="1"/>
  <c r="O83" i="6"/>
  <c r="O100" i="6" s="1"/>
  <c r="J90" i="6"/>
  <c r="J91" i="6" s="1"/>
  <c r="J92" i="6" s="1"/>
  <c r="E71" i="6" l="1"/>
  <c r="R19" i="6"/>
  <c r="Z99" i="9"/>
  <c r="AA99" i="9" s="1"/>
  <c r="AB99" i="9" s="1"/>
  <c r="Z66" i="9"/>
  <c r="AA66" i="9" s="1"/>
  <c r="AB66" i="9" s="1"/>
  <c r="Z23" i="9"/>
  <c r="AA23" i="9" s="1"/>
  <c r="AB23" i="9" s="1"/>
  <c r="Z45" i="9"/>
  <c r="AA45" i="9" s="1"/>
  <c r="AB45" i="9" s="1"/>
  <c r="Z14" i="9"/>
  <c r="AA14" i="9" s="1"/>
  <c r="AB14" i="9" s="1"/>
  <c r="Z60" i="9"/>
  <c r="AA60" i="9" s="1"/>
  <c r="AB60" i="9" s="1"/>
  <c r="Z118" i="9"/>
  <c r="AA118" i="9" s="1"/>
  <c r="AB118" i="9" s="1"/>
  <c r="Z28" i="9"/>
  <c r="AA28" i="9" s="1"/>
  <c r="AB28" i="9" s="1"/>
  <c r="Z94" i="9"/>
  <c r="AA94" i="9" s="1"/>
  <c r="AB94" i="9" s="1"/>
  <c r="Z54" i="9"/>
  <c r="AA54" i="9" s="1"/>
  <c r="AB54" i="9" s="1"/>
  <c r="Z101" i="9"/>
  <c r="AA101" i="9" s="1"/>
  <c r="AB101" i="9" s="1"/>
  <c r="Z12" i="9"/>
  <c r="AA12" i="9" s="1"/>
  <c r="AB12" i="9" s="1"/>
  <c r="Z107" i="9"/>
  <c r="AA107" i="9" s="1"/>
  <c r="AB107" i="9" s="1"/>
  <c r="Z73" i="9"/>
  <c r="AA73" i="9" s="1"/>
  <c r="AB73" i="9" s="1"/>
  <c r="Z37" i="9"/>
  <c r="AA37" i="9" s="1"/>
  <c r="AB37" i="9" s="1"/>
  <c r="Z110" i="9"/>
  <c r="AA110" i="9" s="1"/>
  <c r="AB110" i="9" s="1"/>
  <c r="Z77" i="9"/>
  <c r="AA77" i="9" s="1"/>
  <c r="AB77" i="9" s="1"/>
  <c r="Z39" i="9"/>
  <c r="AA39" i="9" s="1"/>
  <c r="AB39" i="9" s="1"/>
  <c r="Z17" i="9"/>
  <c r="AA17" i="9" s="1"/>
  <c r="AB17" i="9" s="1"/>
  <c r="Z96" i="9"/>
  <c r="AA96" i="9" s="1"/>
  <c r="AB96" i="9" s="1"/>
  <c r="Z86" i="9"/>
  <c r="AA86" i="9" s="1"/>
  <c r="AB86" i="9" s="1"/>
  <c r="Z106" i="9"/>
  <c r="AA106" i="9" s="1"/>
  <c r="AB106" i="9" s="1"/>
  <c r="Z95" i="9"/>
  <c r="AA95" i="9" s="1"/>
  <c r="AB95" i="9" s="1"/>
  <c r="Z18" i="9"/>
  <c r="AA18" i="9" s="1"/>
  <c r="AB18" i="9" s="1"/>
  <c r="Z68" i="9"/>
  <c r="AA68" i="9" s="1"/>
  <c r="AB68" i="9" s="1"/>
  <c r="Z97" i="9"/>
  <c r="AA97" i="9" s="1"/>
  <c r="AB97" i="9" s="1"/>
  <c r="Z125" i="9"/>
  <c r="AA125" i="9" s="1"/>
  <c r="AB125" i="9" s="1"/>
  <c r="Z85" i="9"/>
  <c r="AA85" i="9" s="1"/>
  <c r="AB85" i="9" s="1"/>
  <c r="Z64" i="9"/>
  <c r="AA64" i="9" s="1"/>
  <c r="AB64" i="9" s="1"/>
  <c r="Z88" i="9"/>
  <c r="AA88" i="9" s="1"/>
  <c r="AB88" i="9" s="1"/>
  <c r="Z100" i="9"/>
  <c r="AA100" i="9" s="1"/>
  <c r="AB100" i="9" s="1"/>
  <c r="Z52" i="9"/>
  <c r="AA52" i="9" s="1"/>
  <c r="AB52" i="9" s="1"/>
  <c r="Z33" i="9"/>
  <c r="AA33" i="9" s="1"/>
  <c r="AB33" i="9" s="1"/>
  <c r="Z32" i="9"/>
  <c r="AA32" i="9" s="1"/>
  <c r="AB32" i="9" s="1"/>
  <c r="Z13" i="9"/>
  <c r="AA13" i="9" s="1"/>
  <c r="AB13" i="9" s="1"/>
  <c r="Z122" i="9"/>
  <c r="AA122" i="9" s="1"/>
  <c r="AB122" i="9" s="1"/>
  <c r="Z79" i="9"/>
  <c r="AA79" i="9" s="1"/>
  <c r="AB79" i="9" s="1"/>
  <c r="Z113" i="9"/>
  <c r="AA113" i="9" s="1"/>
  <c r="AB113" i="9" s="1"/>
  <c r="Z27" i="9"/>
  <c r="AA27" i="9" s="1"/>
  <c r="AB27" i="9" s="1"/>
  <c r="Z121" i="9"/>
  <c r="AA121" i="9" s="1"/>
  <c r="AB121" i="9" s="1"/>
  <c r="Z112" i="9"/>
  <c r="AA112" i="9" s="1"/>
  <c r="AB112" i="9" s="1"/>
  <c r="Z83" i="9"/>
  <c r="AA83" i="9" s="1"/>
  <c r="AB83" i="9" s="1"/>
  <c r="Z20" i="9"/>
  <c r="AA20" i="9" s="1"/>
  <c r="AB20" i="9" s="1"/>
  <c r="Z22" i="9"/>
  <c r="Z51" i="9"/>
  <c r="AA51" i="9" s="1"/>
  <c r="AB51" i="9" s="1"/>
  <c r="Z134" i="9"/>
  <c r="AA134" i="9" s="1"/>
  <c r="AB134" i="9" s="1"/>
  <c r="Z78" i="9"/>
  <c r="Z49" i="9"/>
  <c r="AA49" i="9" s="1"/>
  <c r="AB49" i="9" s="1"/>
  <c r="Z135" i="9"/>
  <c r="AA135" i="9" s="1"/>
  <c r="AB135" i="9" s="1"/>
  <c r="Z108" i="9"/>
  <c r="AA108" i="9" s="1"/>
  <c r="AB108" i="9" s="1"/>
  <c r="Z19" i="9"/>
  <c r="AA19" i="9" s="1"/>
  <c r="AB19" i="9" s="1"/>
  <c r="AC25" i="9" s="1"/>
  <c r="Z87" i="9"/>
  <c r="AA87" i="9" s="1"/>
  <c r="AB87" i="9" s="1"/>
  <c r="Z8" i="9"/>
  <c r="AA8" i="9" s="1"/>
  <c r="AB8" i="9" s="1"/>
  <c r="Z124" i="9"/>
  <c r="AA124" i="9" s="1"/>
  <c r="AB124" i="9" s="1"/>
  <c r="Z58" i="9"/>
  <c r="AA58" i="9" s="1"/>
  <c r="AB58" i="9" s="1"/>
  <c r="Z50" i="9"/>
  <c r="AA50" i="9" s="1"/>
  <c r="AB50" i="9" s="1"/>
  <c r="Z67" i="9"/>
  <c r="AA67" i="9" s="1"/>
  <c r="AB67" i="9" s="1"/>
  <c r="Z82" i="9"/>
  <c r="AA82" i="9" s="1"/>
  <c r="AB82" i="9" s="1"/>
  <c r="Z119" i="9"/>
  <c r="AA119" i="9" s="1"/>
  <c r="AB119" i="9" s="1"/>
  <c r="Z102" i="9"/>
  <c r="AA102" i="9" s="1"/>
  <c r="AB102" i="9" s="1"/>
  <c r="Z132" i="9"/>
  <c r="AA132" i="9" s="1"/>
  <c r="AB132" i="9" s="1"/>
  <c r="Z111" i="9"/>
  <c r="AA111" i="9" s="1"/>
  <c r="AB111" i="9" s="1"/>
  <c r="Z11" i="9"/>
  <c r="AA11" i="9" s="1"/>
  <c r="AB11" i="9" s="1"/>
  <c r="Z89" i="9"/>
  <c r="AA89" i="9" s="1"/>
  <c r="AB89" i="9" s="1"/>
  <c r="Z105" i="9"/>
  <c r="AA105" i="9" s="1"/>
  <c r="AB105" i="9" s="1"/>
  <c r="Z59" i="9"/>
  <c r="AA59" i="9" s="1"/>
  <c r="AB59" i="9" s="1"/>
  <c r="Z9" i="9"/>
  <c r="AA9" i="9" s="1"/>
  <c r="AB9" i="9" s="1"/>
  <c r="Z29" i="9"/>
  <c r="AA29" i="9" s="1"/>
  <c r="AB29" i="9" s="1"/>
  <c r="Z38" i="9"/>
  <c r="AA38" i="9" s="1"/>
  <c r="AB38" i="9" s="1"/>
  <c r="Z133" i="9"/>
  <c r="AA133" i="9" s="1"/>
  <c r="AB133" i="9" s="1"/>
  <c r="Z84" i="9"/>
  <c r="AA84" i="9" s="1"/>
  <c r="AB84" i="9" s="1"/>
  <c r="Z130" i="9"/>
  <c r="AA130" i="9" s="1"/>
  <c r="AB130" i="9" s="1"/>
  <c r="Z80" i="9"/>
  <c r="AA80" i="9" s="1"/>
  <c r="AB80" i="9" s="1"/>
  <c r="Z81" i="9"/>
  <c r="AA81" i="9" s="1"/>
  <c r="AB81" i="9" s="1"/>
  <c r="Z34" i="9"/>
  <c r="AA34" i="9" s="1"/>
  <c r="AB34" i="9" s="1"/>
  <c r="Z21" i="9"/>
  <c r="Z123" i="9"/>
  <c r="AA123" i="9" s="1"/>
  <c r="AB123" i="9" s="1"/>
  <c r="Z93" i="9"/>
  <c r="AA93" i="9" s="1"/>
  <c r="AB93" i="9" s="1"/>
  <c r="Z40" i="9"/>
  <c r="AA40" i="9" s="1"/>
  <c r="AB40" i="9" s="1"/>
  <c r="Z16" i="9"/>
  <c r="AA16" i="9" s="1"/>
  <c r="AB16" i="9" s="1"/>
  <c r="Z15" i="9"/>
  <c r="AA15" i="9" s="1"/>
  <c r="AB15" i="9" s="1"/>
  <c r="Z42" i="9"/>
  <c r="AA42" i="9" s="1"/>
  <c r="AB42" i="9" s="1"/>
  <c r="Z75" i="9"/>
  <c r="AA75" i="9" s="1"/>
  <c r="AB75" i="9" s="1"/>
  <c r="Z30" i="9"/>
  <c r="AA30" i="9" s="1"/>
  <c r="AB30" i="9" s="1"/>
  <c r="Z53" i="9"/>
  <c r="AA53" i="9" s="1"/>
  <c r="AB53" i="9" s="1"/>
  <c r="Z26" i="9"/>
  <c r="AA26" i="9" s="1"/>
  <c r="AB26" i="9" s="1"/>
  <c r="Z131" i="9"/>
  <c r="AA131" i="9" s="1"/>
  <c r="AB131" i="9" s="1"/>
  <c r="Z92" i="9"/>
  <c r="AA92" i="9" s="1"/>
  <c r="AB92" i="9" s="1"/>
  <c r="Z44" i="9"/>
  <c r="AA44" i="9" s="1"/>
  <c r="AB44" i="9" s="1"/>
  <c r="Z47" i="9"/>
  <c r="AA47" i="9" s="1"/>
  <c r="AB47" i="9" s="1"/>
  <c r="Z114" i="9"/>
  <c r="AA114" i="9" s="1"/>
  <c r="AB114" i="9" s="1"/>
  <c r="Z55" i="9"/>
  <c r="AA55" i="9" s="1"/>
  <c r="AB55" i="9" s="1"/>
  <c r="Z76" i="9"/>
  <c r="AA76" i="9" s="1"/>
  <c r="AB76" i="9" s="1"/>
  <c r="Z41" i="9"/>
  <c r="AA41" i="9" s="1"/>
  <c r="AB41" i="9" s="1"/>
  <c r="Z43" i="9"/>
  <c r="AA43" i="9" s="1"/>
  <c r="AB43" i="9" s="1"/>
  <c r="Z104" i="9"/>
  <c r="AA104" i="9" s="1"/>
  <c r="AB104" i="9" s="1"/>
  <c r="Z90" i="9"/>
  <c r="AA90" i="9" s="1"/>
  <c r="AB90" i="9" s="1"/>
  <c r="Z62" i="9"/>
  <c r="AA62" i="9" s="1"/>
  <c r="AB62" i="9" s="1"/>
  <c r="Z24" i="9"/>
  <c r="AA24" i="9" s="1"/>
  <c r="AB24" i="9" s="1"/>
  <c r="Z57" i="9"/>
  <c r="AA57" i="9" s="1"/>
  <c r="AB57" i="9" s="1"/>
  <c r="Z103" i="9"/>
  <c r="AA103" i="9" s="1"/>
  <c r="AB103" i="9" s="1"/>
  <c r="Z72" i="9"/>
  <c r="AA72" i="9" s="1"/>
  <c r="AB72" i="9" s="1"/>
  <c r="Z91" i="9"/>
  <c r="AA91" i="9" s="1"/>
  <c r="AB91" i="9" s="1"/>
  <c r="Z61" i="9"/>
  <c r="AA61" i="9" s="1"/>
  <c r="AB61" i="9" s="1"/>
  <c r="Z109" i="9"/>
  <c r="AA109" i="9" s="1"/>
  <c r="AB109" i="9" s="1"/>
  <c r="Z115" i="9"/>
  <c r="AA115" i="9" s="1"/>
  <c r="AB115" i="9" s="1"/>
  <c r="Z74" i="9"/>
  <c r="AA74" i="9" s="1"/>
  <c r="AB74" i="9" s="1"/>
  <c r="Z25" i="9"/>
  <c r="AA25" i="9" s="1"/>
  <c r="AB25" i="9" s="1"/>
  <c r="Z126" i="9"/>
  <c r="AA126" i="9" s="1"/>
  <c r="AB126" i="9" s="1"/>
  <c r="Z129" i="9"/>
  <c r="AA129" i="9" s="1"/>
  <c r="AB129" i="9" s="1"/>
  <c r="Z98" i="9"/>
  <c r="AA98" i="9" s="1"/>
  <c r="AB98" i="9" s="1"/>
  <c r="Z35" i="9"/>
  <c r="AA35" i="9" s="1"/>
  <c r="AB35" i="9" s="1"/>
  <c r="Z10" i="9"/>
  <c r="AA10" i="9" s="1"/>
  <c r="AB10" i="9" s="1"/>
  <c r="Z63" i="9"/>
  <c r="AA63" i="9" s="1"/>
  <c r="AB63" i="9" s="1"/>
  <c r="Z127" i="9"/>
  <c r="Z31" i="9"/>
  <c r="AA31" i="9" s="1"/>
  <c r="AB31" i="9" s="1"/>
  <c r="Z48" i="9"/>
  <c r="AA48" i="9" s="1"/>
  <c r="AB48" i="9" s="1"/>
  <c r="Z65" i="9"/>
  <c r="AA65" i="9" s="1"/>
  <c r="AB65" i="9" s="1"/>
  <c r="Z70" i="9"/>
  <c r="AA70" i="9" s="1"/>
  <c r="AB70" i="9" s="1"/>
  <c r="Z71" i="9"/>
  <c r="AA71" i="9" s="1"/>
  <c r="AB71" i="9" s="1"/>
  <c r="Z116" i="9"/>
  <c r="AA116" i="9" s="1"/>
  <c r="AB116" i="9" s="1"/>
  <c r="Z117" i="9"/>
  <c r="AA117" i="9" s="1"/>
  <c r="AB117" i="9" s="1"/>
  <c r="Z56" i="9"/>
  <c r="AA56" i="9" s="1"/>
  <c r="AB56" i="9" s="1"/>
  <c r="Z69" i="9"/>
  <c r="AA69" i="9" s="1"/>
  <c r="AB69" i="9" s="1"/>
  <c r="Z120" i="9"/>
  <c r="AA120" i="9" s="1"/>
  <c r="AB120" i="9" s="1"/>
  <c r="Z46" i="9"/>
  <c r="AA46" i="9" s="1"/>
  <c r="AB46" i="9" s="1"/>
  <c r="Z36" i="9"/>
  <c r="AA36" i="9" s="1"/>
  <c r="AB36" i="9" s="1"/>
  <c r="Z128" i="9"/>
  <c r="AA128" i="9" s="1"/>
  <c r="AB128" i="9" s="1"/>
  <c r="N22" i="6"/>
  <c r="N23" i="6"/>
  <c r="N19" i="6"/>
  <c r="N21" i="6"/>
  <c r="R21" i="6"/>
  <c r="Q35" i="6"/>
  <c r="R35" i="6" s="1"/>
  <c r="Q37" i="6"/>
  <c r="R37" i="6" s="1"/>
  <c r="Q36" i="6"/>
  <c r="R36" i="6" s="1"/>
  <c r="F60" i="6"/>
  <c r="Q34" i="6"/>
  <c r="R34" i="6" s="1"/>
  <c r="N15" i="6"/>
  <c r="B65" i="6" s="1"/>
  <c r="N24" i="6"/>
  <c r="Q64" i="9"/>
  <c r="P70" i="9"/>
  <c r="Q33" i="6"/>
  <c r="R33" i="6" s="1"/>
  <c r="M24" i="6"/>
  <c r="Q32" i="6"/>
  <c r="R32" i="6" s="1"/>
  <c r="R41" i="6" s="1"/>
  <c r="Q15" i="6"/>
  <c r="F71" i="6"/>
  <c r="Q22" i="6"/>
  <c r="Q21" i="6"/>
  <c r="Q23" i="6"/>
  <c r="Q19" i="6"/>
  <c r="N25" i="6"/>
  <c r="I71" i="6"/>
  <c r="R22" i="6"/>
  <c r="R20" i="6"/>
  <c r="O20" i="6"/>
  <c r="O22" i="6"/>
  <c r="O21" i="6"/>
  <c r="O23" i="6"/>
  <c r="O19" i="6"/>
  <c r="O24" i="6"/>
  <c r="M22" i="6"/>
  <c r="P22" i="6"/>
  <c r="P20" i="6"/>
  <c r="P21" i="6"/>
  <c r="P23" i="6"/>
  <c r="P19" i="6"/>
  <c r="M20" i="6"/>
  <c r="M26" i="6"/>
  <c r="M23" i="6"/>
  <c r="M21" i="6"/>
  <c r="J63" i="6"/>
  <c r="M19" i="6"/>
  <c r="M25" i="6"/>
  <c r="D65" i="6"/>
  <c r="O15" i="6"/>
  <c r="G71" i="6"/>
  <c r="I62" i="6"/>
  <c r="H71" i="6"/>
  <c r="J62" i="6"/>
  <c r="D62" i="6"/>
  <c r="G60" i="6"/>
  <c r="G62" i="6"/>
  <c r="H62" i="6"/>
  <c r="L60" i="6"/>
  <c r="E63" i="6"/>
  <c r="F65" i="6"/>
  <c r="G64" i="6"/>
  <c r="J65" i="6"/>
  <c r="H64" i="6"/>
  <c r="I64" i="6"/>
  <c r="K60" i="6"/>
  <c r="M6" i="6"/>
  <c r="I78" i="6"/>
  <c r="D54" i="6"/>
  <c r="D63" i="6"/>
  <c r="O91" i="6"/>
  <c r="O88" i="6" s="1"/>
  <c r="O101" i="6" s="1"/>
  <c r="G63" i="6"/>
  <c r="J15" i="6"/>
  <c r="L71" i="6"/>
  <c r="K71" i="6"/>
  <c r="L62" i="6"/>
  <c r="G61" i="6"/>
  <c r="I61" i="6"/>
  <c r="E64" i="6"/>
  <c r="G65" i="6"/>
  <c r="I65" i="6"/>
  <c r="D61" i="6"/>
  <c r="I10" i="6"/>
  <c r="Z218" i="6"/>
  <c r="X218" i="6"/>
  <c r="Z217" i="6"/>
  <c r="Y217" i="6"/>
  <c r="Y218" i="6"/>
  <c r="W218" i="6"/>
  <c r="X217" i="6"/>
  <c r="W217" i="6"/>
  <c r="H10" i="6"/>
  <c r="J11" i="6"/>
  <c r="L13" i="6"/>
  <c r="L12" i="6" s="1"/>
  <c r="L18" i="6"/>
  <c r="E61" i="6"/>
  <c r="K63" i="6"/>
  <c r="F62" i="6"/>
  <c r="E62" i="6"/>
  <c r="I60" i="6"/>
  <c r="K13" i="6"/>
  <c r="K12" i="6" s="1"/>
  <c r="K18" i="6"/>
  <c r="F64" i="6"/>
  <c r="D64" i="6"/>
  <c r="J60" i="6"/>
  <c r="F63" i="6"/>
  <c r="J64" i="6"/>
  <c r="K64" i="6"/>
  <c r="F107" i="6"/>
  <c r="K106" i="6"/>
  <c r="L106" i="6" s="1"/>
  <c r="L64" i="6"/>
  <c r="F61" i="6"/>
  <c r="H60" i="6"/>
  <c r="R75" i="6"/>
  <c r="L63" i="6"/>
  <c r="H61" i="6"/>
  <c r="D60" i="6"/>
  <c r="J61" i="6"/>
  <c r="H63" i="6"/>
  <c r="E60" i="6"/>
  <c r="K61" i="6"/>
  <c r="J71" i="6"/>
  <c r="K15" i="6"/>
  <c r="I63" i="6"/>
  <c r="L61" i="6"/>
  <c r="AA127" i="9" l="1"/>
  <c r="AB127" i="9" s="1"/>
  <c r="AC135" i="9"/>
  <c r="AC134" i="9"/>
  <c r="AE134" i="9" s="1"/>
  <c r="AC124" i="9"/>
  <c r="AC126" i="9"/>
  <c r="AC125" i="9"/>
  <c r="AC121" i="9"/>
  <c r="AC123" i="9"/>
  <c r="AC122" i="9"/>
  <c r="AC120" i="9"/>
  <c r="AE120" i="9" s="1"/>
  <c r="AC119" i="9"/>
  <c r="AC116" i="9"/>
  <c r="AC117" i="9"/>
  <c r="AC118" i="9"/>
  <c r="AC114" i="9"/>
  <c r="AC115" i="9"/>
  <c r="AC17" i="9"/>
  <c r="AC32" i="9"/>
  <c r="AC24" i="9"/>
  <c r="AC110" i="9"/>
  <c r="AC112" i="9"/>
  <c r="AC113" i="9"/>
  <c r="AC111" i="9"/>
  <c r="AC109" i="9"/>
  <c r="AC108" i="9"/>
  <c r="AC106" i="9"/>
  <c r="AC107" i="9"/>
  <c r="AC105" i="9"/>
  <c r="AC104" i="9"/>
  <c r="AC103" i="9"/>
  <c r="AC102" i="9"/>
  <c r="AC101" i="9"/>
  <c r="AC100" i="9"/>
  <c r="AC99" i="9"/>
  <c r="AC97" i="9"/>
  <c r="AC98" i="9"/>
  <c r="AC95" i="9"/>
  <c r="AC96" i="9"/>
  <c r="AC94" i="9"/>
  <c r="AC93" i="9"/>
  <c r="AC91" i="9"/>
  <c r="AC92" i="9"/>
  <c r="AE92" i="9" s="1"/>
  <c r="AC90" i="9"/>
  <c r="AC88" i="9"/>
  <c r="AC89" i="9"/>
  <c r="AC86" i="9"/>
  <c r="AC87" i="9"/>
  <c r="AC84" i="9"/>
  <c r="AC85" i="9"/>
  <c r="AC83" i="9"/>
  <c r="AC82" i="9"/>
  <c r="AC77" i="9"/>
  <c r="AC81" i="9"/>
  <c r="AC80" i="9"/>
  <c r="AC79" i="9"/>
  <c r="AC78" i="9"/>
  <c r="AE78" i="9" s="1"/>
  <c r="AC76" i="9"/>
  <c r="AC75" i="9"/>
  <c r="AC73" i="9"/>
  <c r="AC74" i="9"/>
  <c r="AC70" i="9"/>
  <c r="AC71" i="9"/>
  <c r="AC72" i="9"/>
  <c r="AC69" i="9"/>
  <c r="AC64" i="9"/>
  <c r="AE64" i="9" s="1"/>
  <c r="AC67" i="9"/>
  <c r="AC68" i="9"/>
  <c r="AC66" i="9"/>
  <c r="AC65" i="9"/>
  <c r="AC62" i="9"/>
  <c r="K65" i="6"/>
  <c r="AC49" i="9"/>
  <c r="AC50" i="9"/>
  <c r="AC48" i="9"/>
  <c r="AC47" i="9"/>
  <c r="AC42" i="9"/>
  <c r="AC58" i="9"/>
  <c r="AC36" i="9"/>
  <c r="AC23" i="9"/>
  <c r="AC35" i="9"/>
  <c r="AC37" i="9"/>
  <c r="AC21" i="9"/>
  <c r="AC43" i="9"/>
  <c r="AE14" i="9"/>
  <c r="AC14" i="9"/>
  <c r="AC18" i="9"/>
  <c r="AC40" i="9"/>
  <c r="AC16" i="9"/>
  <c r="AC51" i="9"/>
  <c r="AC57" i="9"/>
  <c r="AC55" i="9"/>
  <c r="AC54" i="9"/>
  <c r="AC53" i="9"/>
  <c r="AC56" i="9"/>
  <c r="AC52" i="9"/>
  <c r="AC60" i="9"/>
  <c r="AC59" i="9"/>
  <c r="AC31" i="9"/>
  <c r="AC34" i="9"/>
  <c r="AC33" i="9"/>
  <c r="AC26" i="9"/>
  <c r="AC44" i="9"/>
  <c r="AC20" i="9"/>
  <c r="AC45" i="9"/>
  <c r="AC61" i="9"/>
  <c r="AC63" i="9"/>
  <c r="AC41" i="9"/>
  <c r="AC30" i="9"/>
  <c r="AC15" i="9"/>
  <c r="AE15" i="9"/>
  <c r="AC19" i="9"/>
  <c r="AC27" i="9"/>
  <c r="AC29" i="9"/>
  <c r="AC28" i="9"/>
  <c r="AC38" i="9"/>
  <c r="AC22" i="9"/>
  <c r="AC46" i="9"/>
  <c r="AC39" i="9"/>
  <c r="H65" i="6"/>
  <c r="L65" i="6"/>
  <c r="E65" i="6"/>
  <c r="Q71" i="9"/>
  <c r="P77" i="9"/>
  <c r="Z219" i="6"/>
  <c r="G14" i="6" s="1"/>
  <c r="G32" i="6" s="1"/>
  <c r="X219" i="6"/>
  <c r="E14" i="6" s="1"/>
  <c r="E42" i="6" s="1"/>
  <c r="W219" i="6"/>
  <c r="D14" i="6" s="1"/>
  <c r="D26" i="6" s="1"/>
  <c r="AG262" i="6"/>
  <c r="L24" i="6"/>
  <c r="L27" i="6"/>
  <c r="L22" i="6"/>
  <c r="L25" i="6"/>
  <c r="L21" i="6"/>
  <c r="L26" i="6"/>
  <c r="L19" i="6"/>
  <c r="L23" i="6"/>
  <c r="L28" i="6"/>
  <c r="L20" i="6"/>
  <c r="AA218" i="6"/>
  <c r="AA217" i="6"/>
  <c r="H11" i="6"/>
  <c r="AG253" i="6"/>
  <c r="O95" i="6" s="1"/>
  <c r="O102" i="6" s="1"/>
  <c r="O103" i="6" s="1"/>
  <c r="O104" i="6" s="1"/>
  <c r="O105" i="6" s="1"/>
  <c r="AG259" i="6"/>
  <c r="I77" i="6"/>
  <c r="H77" i="6"/>
  <c r="L77" i="6"/>
  <c r="K77" i="6"/>
  <c r="J77" i="6"/>
  <c r="G77" i="6"/>
  <c r="F77" i="6"/>
  <c r="K24" i="6"/>
  <c r="K27" i="6"/>
  <c r="K22" i="6"/>
  <c r="K21" i="6"/>
  <c r="K29" i="6"/>
  <c r="K30" i="6"/>
  <c r="K25" i="6"/>
  <c r="K26" i="6"/>
  <c r="K19" i="6"/>
  <c r="K23" i="6"/>
  <c r="K20" i="6"/>
  <c r="K28" i="6"/>
  <c r="K31" i="6"/>
  <c r="J13" i="6"/>
  <c r="J12" i="6" s="1"/>
  <c r="J18" i="6"/>
  <c r="R5" i="6"/>
  <c r="I5" i="6" s="1"/>
  <c r="R78" i="6"/>
  <c r="J54" i="6"/>
  <c r="J55" i="6" s="1"/>
  <c r="I54" i="6"/>
  <c r="I55" i="6" s="1"/>
  <c r="L54" i="6"/>
  <c r="L55" i="6" s="1"/>
  <c r="K54" i="6"/>
  <c r="K55" i="6" s="1"/>
  <c r="H54" i="6"/>
  <c r="H55" i="6" s="1"/>
  <c r="G54" i="6"/>
  <c r="G55" i="6" s="1"/>
  <c r="E54" i="6"/>
  <c r="E55" i="6" s="1"/>
  <c r="D55" i="6"/>
  <c r="F54" i="6"/>
  <c r="F55" i="6" s="1"/>
  <c r="Y219" i="6"/>
  <c r="F14" i="6" s="1"/>
  <c r="G107" i="6"/>
  <c r="H107" i="6" s="1"/>
  <c r="K107" i="6"/>
  <c r="L107" i="6" s="1"/>
  <c r="AB218" i="6"/>
  <c r="AB217" i="6"/>
  <c r="I11" i="6"/>
  <c r="AC133" i="9" l="1"/>
  <c r="AC129" i="9"/>
  <c r="AC130" i="9"/>
  <c r="AC131" i="9"/>
  <c r="AC132" i="9"/>
  <c r="AC127" i="9"/>
  <c r="AC128" i="9"/>
  <c r="AD135" i="9"/>
  <c r="AD129" i="9"/>
  <c r="AD134" i="9"/>
  <c r="AD124" i="9"/>
  <c r="AD126" i="9"/>
  <c r="AD131" i="9"/>
  <c r="AD132" i="9"/>
  <c r="AD133" i="9"/>
  <c r="AE127" i="9"/>
  <c r="AD130" i="9"/>
  <c r="AD125" i="9"/>
  <c r="AD128" i="9"/>
  <c r="AD121" i="9"/>
  <c r="AD127" i="9"/>
  <c r="AD115" i="9"/>
  <c r="AD119" i="9"/>
  <c r="AD117" i="9"/>
  <c r="AD116" i="9"/>
  <c r="AD123" i="9"/>
  <c r="AD122" i="9"/>
  <c r="AD120" i="9"/>
  <c r="AE113" i="9"/>
  <c r="AD56" i="9"/>
  <c r="AD39" i="9"/>
  <c r="AD54" i="9"/>
  <c r="AD26" i="9"/>
  <c r="AD58" i="9"/>
  <c r="AD72" i="9"/>
  <c r="AD40" i="9"/>
  <c r="AD69" i="9"/>
  <c r="AD71" i="9"/>
  <c r="AD32" i="9"/>
  <c r="AD70" i="9"/>
  <c r="AD37" i="9"/>
  <c r="AD62" i="9"/>
  <c r="AD44" i="9"/>
  <c r="AD41" i="9"/>
  <c r="AD51" i="9"/>
  <c r="AD68" i="9"/>
  <c r="AD22" i="9"/>
  <c r="AD29" i="9"/>
  <c r="AD52" i="9"/>
  <c r="AD42" i="9"/>
  <c r="AD66" i="9"/>
  <c r="AD59" i="9"/>
  <c r="AD60" i="9"/>
  <c r="AD63" i="9"/>
  <c r="AD46" i="9"/>
  <c r="AD24" i="9"/>
  <c r="AD14" i="9"/>
  <c r="AD17" i="9"/>
  <c r="AD16" i="9"/>
  <c r="AD18" i="9"/>
  <c r="AD19" i="9"/>
  <c r="AD15" i="9"/>
  <c r="AD20" i="9"/>
  <c r="AD27" i="9"/>
  <c r="AD35" i="9"/>
  <c r="AD33" i="9"/>
  <c r="AD64" i="9"/>
  <c r="AD30" i="9"/>
  <c r="AD67" i="9"/>
  <c r="AD50" i="9"/>
  <c r="AD65" i="9"/>
  <c r="AD28" i="9"/>
  <c r="AD43" i="9"/>
  <c r="AD36" i="9"/>
  <c r="AD48" i="9"/>
  <c r="AD31" i="9"/>
  <c r="AD55" i="9"/>
  <c r="AD73" i="9"/>
  <c r="AD61" i="9"/>
  <c r="AD57" i="9"/>
  <c r="AD45" i="9"/>
  <c r="AD49" i="9"/>
  <c r="AD34" i="9"/>
  <c r="AD25" i="9"/>
  <c r="AD23" i="9"/>
  <c r="AD21" i="9"/>
  <c r="AD47" i="9"/>
  <c r="AD53" i="9"/>
  <c r="AD38" i="9"/>
  <c r="AD118" i="9"/>
  <c r="AD114" i="9"/>
  <c r="AD113" i="9"/>
  <c r="AD112" i="9"/>
  <c r="AD109" i="9"/>
  <c r="AD110" i="9"/>
  <c r="AD111" i="9"/>
  <c r="AE106" i="9"/>
  <c r="AD108" i="9"/>
  <c r="AD104" i="9"/>
  <c r="AD107" i="9"/>
  <c r="AD105" i="9"/>
  <c r="AE99" i="9"/>
  <c r="AD106" i="9"/>
  <c r="AD98" i="9"/>
  <c r="AD101" i="9"/>
  <c r="AD100" i="9"/>
  <c r="AD102" i="9"/>
  <c r="AD96" i="9"/>
  <c r="AD97" i="9"/>
  <c r="AD103" i="9"/>
  <c r="AD95" i="9"/>
  <c r="AD99" i="9"/>
  <c r="AD93" i="9"/>
  <c r="AD94" i="9"/>
  <c r="AD92" i="9"/>
  <c r="AD88" i="9"/>
  <c r="AD89" i="9"/>
  <c r="AD91" i="9"/>
  <c r="AE85" i="9"/>
  <c r="AD90" i="9"/>
  <c r="AD86" i="9"/>
  <c r="AD87" i="9"/>
  <c r="AD81" i="9"/>
  <c r="AD82" i="9"/>
  <c r="AD85" i="9"/>
  <c r="AD84" i="9"/>
  <c r="AD79" i="9"/>
  <c r="AD76" i="9"/>
  <c r="AD80" i="9"/>
  <c r="AD75" i="9"/>
  <c r="AD74" i="9"/>
  <c r="AD77" i="9"/>
  <c r="AD78" i="9"/>
  <c r="AD83" i="9"/>
  <c r="AE71" i="9"/>
  <c r="G24" i="6"/>
  <c r="G36" i="6"/>
  <c r="G44" i="6"/>
  <c r="G41" i="6"/>
  <c r="G30" i="6"/>
  <c r="G21" i="6"/>
  <c r="G23" i="6"/>
  <c r="G27" i="6"/>
  <c r="G19" i="6"/>
  <c r="G39" i="6"/>
  <c r="G22" i="6"/>
  <c r="AE57" i="9"/>
  <c r="G20" i="6"/>
  <c r="E29" i="6"/>
  <c r="G38" i="6"/>
  <c r="AE43" i="9"/>
  <c r="E31" i="6"/>
  <c r="AE22" i="9"/>
  <c r="D34" i="6"/>
  <c r="G15" i="6"/>
  <c r="AE28" i="9"/>
  <c r="E19" i="6"/>
  <c r="D20" i="6"/>
  <c r="D44" i="6"/>
  <c r="G37" i="6"/>
  <c r="E24" i="6"/>
  <c r="D31" i="6"/>
  <c r="G35" i="6"/>
  <c r="D42" i="6"/>
  <c r="E15" i="6"/>
  <c r="D25" i="6"/>
  <c r="E26" i="6"/>
  <c r="E21" i="6"/>
  <c r="G25" i="6"/>
  <c r="D37" i="6"/>
  <c r="G28" i="6"/>
  <c r="D38" i="6"/>
  <c r="G40" i="6"/>
  <c r="D15" i="6"/>
  <c r="AE36" i="9"/>
  <c r="D23" i="6"/>
  <c r="AA219" i="6"/>
  <c r="H14" i="6" s="1"/>
  <c r="H15" i="6" s="1"/>
  <c r="G31" i="6"/>
  <c r="D32" i="6"/>
  <c r="G43" i="6"/>
  <c r="D19" i="6"/>
  <c r="G33" i="6"/>
  <c r="D29" i="6"/>
  <c r="G42" i="6"/>
  <c r="D30" i="6"/>
  <c r="D24" i="6"/>
  <c r="D28" i="6"/>
  <c r="D41" i="6"/>
  <c r="D39" i="6"/>
  <c r="G26" i="6"/>
  <c r="D22" i="6"/>
  <c r="G34" i="6"/>
  <c r="D21" i="6"/>
  <c r="D27" i="6"/>
  <c r="G29" i="6"/>
  <c r="D43" i="6"/>
  <c r="D40" i="6"/>
  <c r="Q78" i="9"/>
  <c r="P84" i="9"/>
  <c r="E22" i="6"/>
  <c r="E37" i="6"/>
  <c r="E23" i="6"/>
  <c r="E27" i="6"/>
  <c r="E41" i="6"/>
  <c r="E32" i="6"/>
  <c r="AB219" i="6"/>
  <c r="I14" i="6" s="1"/>
  <c r="I15" i="6" s="1"/>
  <c r="E38" i="6"/>
  <c r="E30" i="6"/>
  <c r="E34" i="6"/>
  <c r="D35" i="6"/>
  <c r="E40" i="6"/>
  <c r="D33" i="6"/>
  <c r="D36" i="6"/>
  <c r="E43" i="6"/>
  <c r="E20" i="6"/>
  <c r="E28" i="6"/>
  <c r="E25" i="6"/>
  <c r="E36" i="6"/>
  <c r="E44" i="6"/>
  <c r="E39" i="6"/>
  <c r="E35" i="6"/>
  <c r="E33" i="6"/>
  <c r="J107" i="6"/>
  <c r="I107" i="6"/>
  <c r="J44" i="6"/>
  <c r="J40" i="6"/>
  <c r="J32" i="6"/>
  <c r="J28" i="6"/>
  <c r="J43" i="6"/>
  <c r="J41" i="6"/>
  <c r="J33" i="6"/>
  <c r="J37" i="6"/>
  <c r="J35" i="6"/>
  <c r="J21" i="6"/>
  <c r="J29" i="6"/>
  <c r="J20" i="6"/>
  <c r="J30" i="6"/>
  <c r="J25" i="6"/>
  <c r="J34" i="6"/>
  <c r="J26" i="6"/>
  <c r="J19" i="6"/>
  <c r="J36" i="6"/>
  <c r="J42" i="6"/>
  <c r="J38" i="6"/>
  <c r="J23" i="6"/>
  <c r="J27" i="6"/>
  <c r="J39" i="6"/>
  <c r="J24" i="6"/>
  <c r="J22" i="6"/>
  <c r="J31" i="6"/>
  <c r="O96" i="6"/>
  <c r="H18" i="6"/>
  <c r="H13" i="6"/>
  <c r="H12" i="6" s="1"/>
  <c r="F35" i="6"/>
  <c r="F40" i="6"/>
  <c r="F15" i="6"/>
  <c r="F28" i="6"/>
  <c r="F34" i="6"/>
  <c r="F26" i="6"/>
  <c r="F31" i="6"/>
  <c r="F43" i="6"/>
  <c r="F29" i="6"/>
  <c r="F19" i="6"/>
  <c r="F36" i="6"/>
  <c r="F42" i="6"/>
  <c r="F20" i="6"/>
  <c r="F21" i="6"/>
  <c r="F23" i="6"/>
  <c r="F41" i="6"/>
  <c r="F24" i="6"/>
  <c r="F22" i="6"/>
  <c r="F44" i="6"/>
  <c r="F33" i="6"/>
  <c r="F30" i="6"/>
  <c r="F25" i="6"/>
  <c r="F37" i="6"/>
  <c r="F38" i="6"/>
  <c r="F39" i="6"/>
  <c r="F27" i="6"/>
  <c r="F32" i="6"/>
  <c r="R6" i="6"/>
  <c r="R80" i="6"/>
  <c r="I13" i="6"/>
  <c r="I12" i="6" s="1"/>
  <c r="I18" i="6"/>
  <c r="Q85" i="9" l="1"/>
  <c r="P91" i="9"/>
  <c r="I26" i="6"/>
  <c r="I44" i="6"/>
  <c r="I40" i="6"/>
  <c r="I32" i="6"/>
  <c r="I28" i="6"/>
  <c r="I43" i="6"/>
  <c r="I41" i="6"/>
  <c r="I33" i="6"/>
  <c r="I37" i="6"/>
  <c r="I35" i="6"/>
  <c r="I21" i="6"/>
  <c r="I34" i="6"/>
  <c r="I20" i="6"/>
  <c r="I39" i="6"/>
  <c r="I30" i="6"/>
  <c r="I29" i="6"/>
  <c r="I19" i="6"/>
  <c r="I42" i="6"/>
  <c r="I38" i="6"/>
  <c r="I23" i="6"/>
  <c r="I22" i="6"/>
  <c r="I31" i="6"/>
  <c r="I36" i="6"/>
  <c r="I24" i="6"/>
  <c r="I27" i="6"/>
  <c r="I25" i="6"/>
  <c r="H26" i="6"/>
  <c r="H37" i="6"/>
  <c r="H41" i="6"/>
  <c r="H34" i="6"/>
  <c r="H27" i="6"/>
  <c r="H24" i="6"/>
  <c r="H22" i="6"/>
  <c r="H39" i="6"/>
  <c r="H44" i="6"/>
  <c r="H30" i="6"/>
  <c r="H43" i="6"/>
  <c r="H32" i="6"/>
  <c r="H36" i="6"/>
  <c r="H21" i="6"/>
  <c r="H40" i="6"/>
  <c r="H31" i="6"/>
  <c r="H20" i="6"/>
  <c r="H35" i="6"/>
  <c r="H23" i="6"/>
  <c r="H28" i="6"/>
  <c r="H19" i="6"/>
  <c r="H38" i="6"/>
  <c r="H25" i="6"/>
  <c r="H42" i="6"/>
  <c r="H33" i="6"/>
  <c r="H29" i="6"/>
  <c r="Q92" i="9" l="1"/>
  <c r="P98" i="9"/>
  <c r="I117" i="4"/>
  <c r="I80" i="4"/>
  <c r="I81" i="4"/>
  <c r="I82" i="4"/>
  <c r="I83" i="4"/>
  <c r="I84" i="4"/>
  <c r="I85" i="4"/>
  <c r="I86" i="4"/>
  <c r="I87" i="4"/>
  <c r="I88" i="4"/>
  <c r="I89" i="4"/>
  <c r="I90" i="4"/>
  <c r="I91" i="4"/>
  <c r="I92" i="4"/>
  <c r="I93" i="4"/>
  <c r="I94" i="4"/>
  <c r="I95" i="4"/>
  <c r="I96" i="4"/>
  <c r="I97" i="4"/>
  <c r="I98" i="4"/>
  <c r="I99" i="4"/>
  <c r="I100" i="4"/>
  <c r="I101" i="4"/>
  <c r="I102" i="4"/>
  <c r="I103" i="4"/>
  <c r="I104" i="4"/>
  <c r="I105" i="4"/>
  <c r="I106" i="4"/>
  <c r="I107" i="4"/>
  <c r="I108" i="4"/>
  <c r="I109" i="4"/>
  <c r="I110" i="4"/>
  <c r="I111" i="4"/>
  <c r="I112" i="4"/>
  <c r="I113" i="4"/>
  <c r="I114" i="4"/>
  <c r="I115" i="4"/>
  <c r="I116" i="4"/>
  <c r="I118" i="4"/>
  <c r="I119" i="4"/>
  <c r="I120" i="4"/>
  <c r="I121" i="4"/>
  <c r="I122" i="4"/>
  <c r="I123" i="4"/>
  <c r="I124" i="4"/>
  <c r="I125" i="4"/>
  <c r="I126" i="4"/>
  <c r="I127" i="4"/>
  <c r="I128" i="4"/>
  <c r="I129" i="4"/>
  <c r="I130" i="4"/>
  <c r="I131" i="4"/>
  <c r="I132" i="4"/>
  <c r="I133" i="4"/>
  <c r="I134" i="4"/>
  <c r="I135" i="4"/>
  <c r="I136" i="4"/>
  <c r="I137" i="4"/>
  <c r="I138" i="4"/>
  <c r="I139" i="4"/>
  <c r="I140" i="4"/>
  <c r="I141" i="4"/>
  <c r="I142" i="4"/>
  <c r="I73" i="4"/>
  <c r="I74" i="4"/>
  <c r="I75" i="4"/>
  <c r="I76" i="4"/>
  <c r="I77" i="4"/>
  <c r="I78" i="4"/>
  <c r="I79" i="4"/>
  <c r="I67" i="4"/>
  <c r="I68" i="4"/>
  <c r="I69" i="4"/>
  <c r="I70" i="4"/>
  <c r="I71" i="4"/>
  <c r="I72" i="4"/>
  <c r="I66" i="4"/>
  <c r="I60" i="4"/>
  <c r="I61" i="4"/>
  <c r="I62" i="4"/>
  <c r="I63" i="4"/>
  <c r="I64" i="4"/>
  <c r="I65" i="4"/>
  <c r="I59" i="4"/>
  <c r="I55" i="4"/>
  <c r="N142" i="4"/>
  <c r="L142" i="4"/>
  <c r="C142" i="4"/>
  <c r="L141" i="4"/>
  <c r="C141" i="4"/>
  <c r="L140" i="4"/>
  <c r="C140" i="4"/>
  <c r="L139" i="4"/>
  <c r="C139" i="4"/>
  <c r="L138" i="4"/>
  <c r="C138" i="4"/>
  <c r="L137" i="4"/>
  <c r="C137" i="4"/>
  <c r="L136" i="4"/>
  <c r="C136" i="4"/>
  <c r="L135" i="4"/>
  <c r="C135" i="4"/>
  <c r="L134" i="4"/>
  <c r="C134" i="4"/>
  <c r="L133" i="4"/>
  <c r="C133" i="4"/>
  <c r="L132" i="4"/>
  <c r="C132" i="4"/>
  <c r="L131" i="4"/>
  <c r="C131" i="4"/>
  <c r="L130" i="4"/>
  <c r="C130" i="4"/>
  <c r="L129" i="4"/>
  <c r="C129" i="4"/>
  <c r="L128" i="4"/>
  <c r="C128" i="4"/>
  <c r="L127" i="4"/>
  <c r="C127" i="4"/>
  <c r="L126" i="4"/>
  <c r="C126" i="4"/>
  <c r="L125" i="4"/>
  <c r="C125" i="4"/>
  <c r="L124" i="4"/>
  <c r="C124" i="4"/>
  <c r="L123" i="4"/>
  <c r="C123" i="4"/>
  <c r="L122" i="4"/>
  <c r="C122" i="4"/>
  <c r="L121" i="4"/>
  <c r="C121" i="4"/>
  <c r="L120" i="4"/>
  <c r="C120" i="4"/>
  <c r="L119" i="4"/>
  <c r="C119" i="4"/>
  <c r="L118" i="4"/>
  <c r="C118" i="4"/>
  <c r="L117" i="4"/>
  <c r="C117" i="4"/>
  <c r="L116" i="4"/>
  <c r="C116" i="4"/>
  <c r="L115" i="4"/>
  <c r="C115" i="4"/>
  <c r="L114" i="4"/>
  <c r="C114" i="4"/>
  <c r="L113" i="4"/>
  <c r="C113" i="4"/>
  <c r="L112" i="4"/>
  <c r="C112" i="4"/>
  <c r="L111" i="4"/>
  <c r="C111" i="4"/>
  <c r="L110" i="4"/>
  <c r="C110" i="4"/>
  <c r="L109" i="4"/>
  <c r="C109" i="4"/>
  <c r="L108" i="4"/>
  <c r="C108" i="4"/>
  <c r="L107" i="4"/>
  <c r="C107" i="4"/>
  <c r="L106" i="4"/>
  <c r="C106" i="4"/>
  <c r="L105" i="4"/>
  <c r="C105" i="4"/>
  <c r="L104" i="4"/>
  <c r="C104" i="4"/>
  <c r="L103" i="4"/>
  <c r="C103" i="4"/>
  <c r="L102" i="4"/>
  <c r="C102" i="4"/>
  <c r="L101" i="4"/>
  <c r="C101" i="4"/>
  <c r="L100" i="4"/>
  <c r="C100" i="4"/>
  <c r="L99" i="4"/>
  <c r="C99" i="4"/>
  <c r="L98" i="4"/>
  <c r="C98" i="4"/>
  <c r="L97" i="4"/>
  <c r="C97" i="4"/>
  <c r="L96" i="4"/>
  <c r="C96" i="4"/>
  <c r="L95" i="4"/>
  <c r="C95" i="4"/>
  <c r="L94" i="4"/>
  <c r="C94" i="4"/>
  <c r="L93" i="4"/>
  <c r="C93" i="4"/>
  <c r="L92" i="4"/>
  <c r="C92" i="4"/>
  <c r="L91" i="4"/>
  <c r="C91" i="4"/>
  <c r="L90" i="4"/>
  <c r="C90" i="4"/>
  <c r="L89" i="4"/>
  <c r="C89" i="4"/>
  <c r="L88" i="4"/>
  <c r="C88" i="4"/>
  <c r="L87" i="4"/>
  <c r="C87" i="4"/>
  <c r="L86" i="4"/>
  <c r="C86" i="4"/>
  <c r="L85" i="4"/>
  <c r="C85" i="4"/>
  <c r="L84" i="4"/>
  <c r="C84" i="4"/>
  <c r="L83" i="4"/>
  <c r="C83" i="4"/>
  <c r="L82" i="4"/>
  <c r="C82" i="4"/>
  <c r="L81" i="4"/>
  <c r="C81" i="4"/>
  <c r="L80" i="4"/>
  <c r="C80" i="4"/>
  <c r="L79" i="4"/>
  <c r="C79" i="4"/>
  <c r="L78" i="4"/>
  <c r="C78" i="4"/>
  <c r="L77" i="4"/>
  <c r="C77" i="4"/>
  <c r="L76" i="4"/>
  <c r="C76" i="4"/>
  <c r="L75" i="4"/>
  <c r="C75" i="4"/>
  <c r="L74" i="4"/>
  <c r="C74" i="4"/>
  <c r="L73" i="4"/>
  <c r="C73" i="4"/>
  <c r="L72" i="4"/>
  <c r="C72" i="4"/>
  <c r="L71" i="4"/>
  <c r="C71" i="4"/>
  <c r="L70" i="4"/>
  <c r="C70" i="4"/>
  <c r="L69" i="4"/>
  <c r="C69" i="4"/>
  <c r="L68" i="4"/>
  <c r="C68" i="4"/>
  <c r="L67" i="4"/>
  <c r="C67" i="4"/>
  <c r="L66" i="4"/>
  <c r="C66" i="4"/>
  <c r="L65" i="4"/>
  <c r="C65" i="4"/>
  <c r="L64" i="4"/>
  <c r="C64" i="4"/>
  <c r="L63" i="4"/>
  <c r="C63" i="4"/>
  <c r="L62" i="4"/>
  <c r="C62" i="4"/>
  <c r="L61" i="4"/>
  <c r="C61" i="4"/>
  <c r="L60" i="4"/>
  <c r="C60" i="4"/>
  <c r="L59" i="4"/>
  <c r="C59" i="4"/>
  <c r="L58" i="4"/>
  <c r="I58" i="4"/>
  <c r="C58" i="4"/>
  <c r="L57" i="4"/>
  <c r="I57" i="4"/>
  <c r="C57" i="4"/>
  <c r="L56" i="4"/>
  <c r="I56" i="4"/>
  <c r="C56" i="4"/>
  <c r="L55" i="4"/>
  <c r="C55" i="4"/>
  <c r="L54" i="4"/>
  <c r="I54" i="4"/>
  <c r="C54" i="4"/>
  <c r="L53" i="4"/>
  <c r="I53" i="4"/>
  <c r="C53" i="4"/>
  <c r="L52" i="4"/>
  <c r="I52" i="4"/>
  <c r="C52" i="4"/>
  <c r="L51" i="4"/>
  <c r="I51" i="4"/>
  <c r="C51" i="4"/>
  <c r="L50" i="4"/>
  <c r="I50" i="4"/>
  <c r="C50" i="4"/>
  <c r="L49" i="4"/>
  <c r="I49" i="4"/>
  <c r="C49" i="4"/>
  <c r="L48" i="4"/>
  <c r="I48" i="4"/>
  <c r="C48" i="4"/>
  <c r="L47" i="4"/>
  <c r="I47" i="4"/>
  <c r="C47" i="4"/>
  <c r="L46" i="4"/>
  <c r="I46" i="4"/>
  <c r="C46" i="4"/>
  <c r="L45" i="4"/>
  <c r="I45" i="4"/>
  <c r="C45" i="4"/>
  <c r="L44" i="4"/>
  <c r="I44" i="4"/>
  <c r="C44" i="4"/>
  <c r="L43" i="4"/>
  <c r="I43" i="4"/>
  <c r="C43" i="4"/>
  <c r="L42" i="4"/>
  <c r="I42" i="4"/>
  <c r="C42" i="4"/>
  <c r="L41" i="4"/>
  <c r="I41" i="4"/>
  <c r="C41" i="4"/>
  <c r="L40" i="4"/>
  <c r="I40" i="4"/>
  <c r="C40" i="4"/>
  <c r="L39" i="4"/>
  <c r="I39" i="4"/>
  <c r="C39" i="4"/>
  <c r="L38" i="4"/>
  <c r="I38" i="4"/>
  <c r="C38" i="4"/>
  <c r="L37" i="4"/>
  <c r="I37" i="4"/>
  <c r="C37" i="4"/>
  <c r="L36" i="4"/>
  <c r="I36" i="4"/>
  <c r="C36" i="4"/>
  <c r="L35" i="4"/>
  <c r="I35" i="4"/>
  <c r="C35" i="4"/>
  <c r="L34" i="4"/>
  <c r="I34" i="4"/>
  <c r="C34" i="4"/>
  <c r="L33" i="4"/>
  <c r="I33" i="4"/>
  <c r="C33" i="4"/>
  <c r="L32" i="4"/>
  <c r="I32" i="4"/>
  <c r="C32" i="4"/>
  <c r="L31" i="4"/>
  <c r="I31" i="4"/>
  <c r="C31" i="4"/>
  <c r="L30" i="4"/>
  <c r="I30" i="4"/>
  <c r="C30" i="4"/>
  <c r="L29" i="4"/>
  <c r="I29" i="4"/>
  <c r="C29" i="4"/>
  <c r="L28" i="4"/>
  <c r="I28" i="4"/>
  <c r="C28" i="4"/>
  <c r="L27" i="4"/>
  <c r="I27" i="4"/>
  <c r="C27" i="4"/>
  <c r="L26" i="4"/>
  <c r="I26" i="4"/>
  <c r="C26" i="4"/>
  <c r="L25" i="4"/>
  <c r="I25" i="4"/>
  <c r="C25" i="4"/>
  <c r="L24" i="4"/>
  <c r="I24" i="4"/>
  <c r="C24" i="4"/>
  <c r="P20" i="4"/>
  <c r="L23" i="4"/>
  <c r="I23" i="4"/>
  <c r="C23" i="4"/>
  <c r="L22" i="4"/>
  <c r="I22" i="4"/>
  <c r="C22" i="4"/>
  <c r="L21" i="4"/>
  <c r="I21" i="4"/>
  <c r="C21" i="4"/>
  <c r="L20" i="4"/>
  <c r="I20" i="4"/>
  <c r="C20" i="4"/>
  <c r="L19" i="4"/>
  <c r="I19" i="4"/>
  <c r="C19" i="4"/>
  <c r="L18" i="4"/>
  <c r="I18" i="4"/>
  <c r="C18" i="4"/>
  <c r="L17" i="4"/>
  <c r="I17" i="4"/>
  <c r="C17" i="4"/>
  <c r="P13" i="4"/>
  <c r="P28" i="4" s="1"/>
  <c r="P35" i="4" s="1"/>
  <c r="P42" i="4" s="1"/>
  <c r="P49" i="4" s="1"/>
  <c r="P56" i="4" s="1"/>
  <c r="P63" i="4" s="1"/>
  <c r="P70" i="4" s="1"/>
  <c r="P77" i="4" s="1"/>
  <c r="P84" i="4" s="1"/>
  <c r="P91" i="4" s="1"/>
  <c r="P98" i="4" s="1"/>
  <c r="P105" i="4" s="1"/>
  <c r="P112" i="4" s="1"/>
  <c r="P119" i="4" s="1"/>
  <c r="P126" i="4" s="1"/>
  <c r="P133" i="4" s="1"/>
  <c r="L16" i="4"/>
  <c r="I16" i="4"/>
  <c r="C16" i="4"/>
  <c r="P12" i="4"/>
  <c r="L15" i="4"/>
  <c r="I15" i="4"/>
  <c r="C15" i="4"/>
  <c r="L14" i="4"/>
  <c r="I14" i="4"/>
  <c r="C14" i="4"/>
  <c r="L13" i="4"/>
  <c r="I13" i="4"/>
  <c r="C13" i="4"/>
  <c r="L12" i="4"/>
  <c r="I12" i="4"/>
  <c r="C12" i="4"/>
  <c r="L11" i="4"/>
  <c r="I11" i="4"/>
  <c r="C11" i="4"/>
  <c r="L10" i="4"/>
  <c r="I10" i="4"/>
  <c r="C10" i="4"/>
  <c r="B2" i="4"/>
  <c r="R1" i="4"/>
  <c r="Q99" i="9" l="1"/>
  <c r="P105" i="9"/>
  <c r="P142" i="4"/>
  <c r="P19" i="4"/>
  <c r="P26" i="4" s="1"/>
  <c r="P33" i="4" s="1"/>
  <c r="P40" i="4" s="1"/>
  <c r="P47" i="4" s="1"/>
  <c r="P54" i="4" s="1"/>
  <c r="P61" i="4" s="1"/>
  <c r="P68" i="4" s="1"/>
  <c r="P75" i="4" s="1"/>
  <c r="P82" i="4" s="1"/>
  <c r="P89" i="4" s="1"/>
  <c r="P96" i="4" s="1"/>
  <c r="P103" i="4" s="1"/>
  <c r="P110" i="4" s="1"/>
  <c r="P117" i="4" s="1"/>
  <c r="P124" i="4" s="1"/>
  <c r="P131" i="4" s="1"/>
  <c r="P140" i="4" s="1"/>
  <c r="P27" i="4"/>
  <c r="Q13" i="4"/>
  <c r="Q106" i="9" l="1"/>
  <c r="P112" i="9"/>
  <c r="P34" i="4"/>
  <c r="Q27" i="4"/>
  <c r="Q113" i="9" l="1"/>
  <c r="P119" i="9"/>
  <c r="P41" i="4"/>
  <c r="Q34" i="4"/>
  <c r="Q120" i="9" l="1"/>
  <c r="P126" i="9"/>
  <c r="Q41" i="4"/>
  <c r="P48" i="4"/>
  <c r="Q127" i="9" l="1"/>
  <c r="P133" i="9"/>
  <c r="Q134" i="9" s="1"/>
  <c r="P55" i="4"/>
  <c r="Q48" i="4"/>
  <c r="P62" i="4" l="1"/>
  <c r="Q55" i="4"/>
  <c r="P69" i="4" l="1"/>
  <c r="Q62" i="4"/>
  <c r="P76" i="4" l="1"/>
  <c r="Q69" i="4"/>
  <c r="P83" i="4" l="1"/>
  <c r="Q76" i="4"/>
  <c r="P90" i="4" l="1"/>
  <c r="Q83" i="4"/>
  <c r="Q90" i="4" l="1"/>
  <c r="P97" i="4"/>
  <c r="P104" i="4" l="1"/>
  <c r="Q97" i="4"/>
  <c r="P111" i="4" l="1"/>
  <c r="Q104" i="4"/>
  <c r="P118" i="4" l="1"/>
  <c r="Q111" i="4"/>
  <c r="Q118" i="4" l="1"/>
  <c r="P125" i="4"/>
  <c r="P132" i="4" l="1"/>
  <c r="Q125" i="4"/>
  <c r="P141" i="4" l="1"/>
  <c r="Q141" i="4" s="1"/>
  <c r="Q132" i="4"/>
  <c r="AA265" i="6" l="1"/>
  <c r="AA264" i="6"/>
  <c r="AA263" i="6"/>
  <c r="AF265" i="6"/>
  <c r="AG265" i="6"/>
  <c r="AF266" i="6"/>
  <c r="X265" i="11"/>
  <c r="AA264" i="11"/>
  <c r="X264" i="11"/>
  <c r="X263" i="11"/>
  <c r="AF263" i="11"/>
  <c r="AF262" i="11"/>
  <c r="AG262" i="11" s="1"/>
  <c r="AF266" i="11"/>
  <c r="AF265" i="11"/>
  <c r="AG265" i="1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Herm</author>
    <author>HP Pavilion User</author>
    <author>Herman</author>
    <author>dyhjn</author>
    <author>TECO</author>
  </authors>
  <commentList>
    <comment ref="B4" authorId="0" shapeId="0" xr:uid="{E8DA59C7-0EEE-4A40-99A3-6DAF140258F3}">
      <text>
        <r>
          <rPr>
            <sz val="9"/>
            <color indexed="81"/>
            <rFont val="Tahoma"/>
            <family val="2"/>
          </rPr>
          <t>This Metric selection is only for Height and Weight. Other sections of the worksheet have independent checkboxes for selecting Metric pace &amp; distance</t>
        </r>
      </text>
    </comment>
    <comment ref="I5" authorId="0" shapeId="0" xr:uid="{CB87E2D8-2BC6-4F95-957E-DF3E3E62B8F3}">
      <text>
        <r>
          <rPr>
            <b/>
            <sz val="9"/>
            <color indexed="81"/>
            <rFont val="Tahoma"/>
            <family val="2"/>
          </rPr>
          <t xml:space="preserve">            Age Group Percentage Score</t>
        </r>
        <r>
          <rPr>
            <u/>
            <sz val="9"/>
            <color indexed="81"/>
            <rFont val="Tahoma"/>
            <family val="2"/>
          </rPr>
          <t xml:space="preserve">
USATF Masters gives the following guidelines for scores:</t>
        </r>
        <r>
          <rPr>
            <sz val="9"/>
            <color indexed="81"/>
            <rFont val="Tahoma"/>
            <family val="2"/>
          </rPr>
          <t xml:space="preserve">
100% - Approximate World Record Level
&gt;90% - World Class Level
&gt;80% - National Class Level
&gt;70% - Regional Class Level
&gt;60% - Local Class Level</t>
        </r>
      </text>
    </comment>
    <comment ref="G6" authorId="1" shapeId="0" xr:uid="{A247480E-886E-4357-AB08-32ADD8A4F5DC}">
      <text>
        <r>
          <rPr>
            <sz val="10"/>
            <color indexed="81"/>
            <rFont val="Tahoma"/>
            <family val="2"/>
          </rPr>
          <t xml:space="preserve">Enter all times as
</t>
        </r>
        <r>
          <rPr>
            <b/>
            <sz val="10"/>
            <color indexed="81"/>
            <rFont val="Tahoma"/>
            <family val="2"/>
          </rPr>
          <t>h:mm:ss</t>
        </r>
        <r>
          <rPr>
            <sz val="10"/>
            <color indexed="81"/>
            <rFont val="Tahoma"/>
            <family val="2"/>
          </rPr>
          <t xml:space="preserve">
Hours must be entered even if zero.</t>
        </r>
      </text>
    </comment>
    <comment ref="I6" authorId="1" shapeId="0" xr:uid="{4A5C6F60-8B45-46AE-89DF-5F5E182B75B4}">
      <text>
        <r>
          <rPr>
            <sz val="8"/>
            <color indexed="81"/>
            <rFont val="Tahoma"/>
            <family val="2"/>
          </rPr>
          <t>In editions 1, 2 &amp; 3, the main VDOT range is 30 to 85. The 3rd Edition offers limited info for an extended range from 20 to 30.</t>
        </r>
      </text>
    </comment>
    <comment ref="I7" authorId="0" shapeId="0" xr:uid="{E5E19C63-FC0B-4792-8232-B528F01E1ED1}">
      <text>
        <r>
          <rPr>
            <sz val="9"/>
            <color indexed="81"/>
            <rFont val="Tahoma"/>
            <family val="2"/>
          </rPr>
          <t>1st time and Novice marathoners may do well to target the Mod to Hi Aero HR range until they gain more experience.</t>
        </r>
      </text>
    </comment>
    <comment ref="C8" authorId="0" shapeId="0" xr:uid="{C8D1D624-A906-47D5-AFBD-1A29FECA1255}">
      <text>
        <r>
          <rPr>
            <sz val="9"/>
            <color indexed="81"/>
            <rFont val="Tahoma"/>
            <family val="2"/>
          </rPr>
          <t>HR Profiles 1 - 4 (J.Daniels, plus 3 other studies):
Progressively wider relationship between %Vdot and %HRmax
Largest impact is at the Aerobic Zone end of the table
1) Daniels - Approx formula derived from Edition 2, Table 2.2
2) Panton - 19 men /36 women ages 60-80 (treadmill)
3) Londeree - 10 Recreational men, ages 20-26. (treadmill)
4) Swain - 81 men/81 women ages 18 - 34. (treadmill)</t>
        </r>
      </text>
    </comment>
    <comment ref="C9" authorId="0" shapeId="0" xr:uid="{29226A05-469A-4F84-B2B1-CF00C676D0B9}">
      <text>
        <r>
          <rPr>
            <sz val="9"/>
            <color indexed="81"/>
            <rFont val="Tahoma"/>
            <family val="2"/>
          </rPr>
          <t>Enter a positive value to raise estimated % of HRmax across the entire training/racing range, negative value to lower.
This setting can also be applied to the LTHR range. A checkbox option to enable/disable the tweak is available near the Lactate Threshold Zone heading area.</t>
        </r>
      </text>
    </comment>
    <comment ref="J10" authorId="0" shapeId="0" xr:uid="{F72594E4-1EA3-4088-99EF-615D4A2B1BC6}">
      <text>
        <r>
          <rPr>
            <sz val="9"/>
            <color indexed="81"/>
            <rFont val="Tahoma"/>
            <family val="2"/>
          </rPr>
          <t>This is the %Vdot Row. D10-I10 are preset, but configurable.
J10-S10 are Daniels' Calculated %Vdot, which is used to make the Race Projection calcs.</t>
        </r>
      </text>
    </comment>
    <comment ref="M30" authorId="2" shapeId="0" xr:uid="{0FCE52AA-0D06-4D7C-A511-D878BFE19139}">
      <text>
        <r>
          <rPr>
            <b/>
            <sz val="8"/>
            <color indexed="81"/>
            <rFont val="Tahoma"/>
            <family val="2"/>
          </rPr>
          <t>For this field Time Entry must be in h:mm:ss format</t>
        </r>
      </text>
    </comment>
    <comment ref="O30" authorId="2" shapeId="0" xr:uid="{5A0EDCBD-13A8-4C67-B8BF-5BAA0E75F4FF}">
      <text>
        <r>
          <rPr>
            <b/>
            <sz val="8"/>
            <color indexed="81"/>
            <rFont val="Tahoma"/>
            <family val="2"/>
          </rPr>
          <t>Enter Pace in mm:ss format</t>
        </r>
      </text>
    </comment>
    <comment ref="R48" authorId="0" shapeId="0" xr:uid="{7D8E130A-6ED6-4197-B3D2-DC04A50FC03A}">
      <text>
        <r>
          <rPr>
            <sz val="9"/>
            <color indexed="81"/>
            <rFont val="Tahoma"/>
            <family val="2"/>
          </rPr>
          <t xml:space="preserve">The weight factor is most relevant as a tool to estimate potential imrpovement for yourself given a certain (healthy) weight loss. The weight option can be used while gauging your effort against other runners (male or female). However, there are other factors involved, most notably differences in height, which are not considered in this calculation.
The effect on time for a given weight change is driven by the Power Factor set at cell I87. </t>
        </r>
      </text>
    </comment>
    <comment ref="O74" authorId="1" shapeId="0" xr:uid="{EDA454C2-498F-4A67-82CA-9F016CB1AF2A}">
      <text>
        <r>
          <rPr>
            <sz val="10"/>
            <color indexed="81"/>
            <rFont val="Tahoma"/>
            <family val="2"/>
          </rPr>
          <t xml:space="preserve">Enter time as
</t>
        </r>
        <r>
          <rPr>
            <b/>
            <sz val="10"/>
            <color indexed="81"/>
            <rFont val="Tahoma"/>
            <family val="2"/>
          </rPr>
          <t>h:mm:ss</t>
        </r>
        <r>
          <rPr>
            <sz val="10"/>
            <color indexed="81"/>
            <rFont val="Tahoma"/>
            <family val="2"/>
          </rPr>
          <t xml:space="preserve">
Hours must be entered even if zero.</t>
        </r>
      </text>
    </comment>
    <comment ref="B81" authorId="0" shapeId="0" xr:uid="{511B2B73-F632-49B9-8C0F-B257F9BB8151}">
      <text>
        <r>
          <rPr>
            <sz val="9"/>
            <color indexed="81"/>
            <rFont val="Tahoma"/>
            <family val="2"/>
          </rPr>
          <t>The coaching options are based on different Heat factors:
Temperature, Temperature plus Dew Point, or Heat Index, and shouldn't be directly compared.</t>
        </r>
      </text>
    </comment>
    <comment ref="L85" authorId="0" shapeId="0" xr:uid="{5BA932F8-8AF8-4076-97EB-73F26C9C0B6A}">
      <text>
        <r>
          <rPr>
            <sz val="9"/>
            <color indexed="81"/>
            <rFont val="Tahoma"/>
            <family val="2"/>
          </rPr>
          <t xml:space="preserve">J.Daniels - Temperature
M.Hadley - Temperature + Dew Point
Tinman - Heat Index
El Helou - Temperature
</t>
        </r>
        <r>
          <rPr>
            <sz val="8"/>
            <color indexed="81"/>
            <rFont val="Tahoma"/>
            <family val="2"/>
          </rPr>
          <t>The El Helou study focused exclusively on Marathon events. The slowdown for higher temps is significantly greater than the other options. Given the nature of the Marathon, it's is not too surprising. The El Helou option is probably not valid for shorter distances.</t>
        </r>
      </text>
    </comment>
    <comment ref="I93" authorId="3" shapeId="0" xr:uid="{82312F97-8D17-4A62-BCDF-6CF687056607}">
      <text>
        <r>
          <rPr>
            <u/>
            <sz val="9"/>
            <color indexed="81"/>
            <rFont val="Tahoma"/>
            <family val="2"/>
          </rPr>
          <t xml:space="preserve"> Power Factor for impact of Weight Loss</t>
        </r>
        <r>
          <rPr>
            <sz val="9"/>
            <color indexed="81"/>
            <rFont val="Tahoma"/>
            <family val="2"/>
          </rPr>
          <t>:
1)  Daniels:  0.83 (Optimistic Time Savings)
2)  Physics:  0.50 (Medium Time Savings)
3) Flyer HC:  0.33 (Modest Time Savings)
This setting also affects weight change impacts in the vs Table (next to Extended Porjection table), Entry Time Grading and Peak Potential sections.</t>
        </r>
      </text>
    </comment>
    <comment ref="L93" authorId="0" shapeId="0" xr:uid="{C40BAD7E-CC95-4DEF-A2BB-F36AD08E9E34}">
      <text>
        <r>
          <rPr>
            <sz val="9"/>
            <color indexed="81"/>
            <rFont val="Tahoma"/>
            <family val="2"/>
          </rPr>
          <t>Adjusts the range of Projected Weight
(Dark Orange bar)</t>
        </r>
      </text>
    </comment>
    <comment ref="F105" authorId="0" shapeId="0" xr:uid="{B6E4969C-7EBE-487F-81BE-333A6A40B541}">
      <text>
        <r>
          <rPr>
            <sz val="9"/>
            <color indexed="81"/>
            <rFont val="Tahoma"/>
            <family val="2"/>
          </rPr>
          <t xml:space="preserve">Calculated VDOT and vVO2max are both good indicators of fitness. </t>
        </r>
      </text>
    </comment>
    <comment ref="I105" authorId="0" shapeId="0" xr:uid="{FC9787D9-5156-4249-B4DB-7FE25AE9EDC5}">
      <text>
        <r>
          <rPr>
            <sz val="9"/>
            <color indexed="81"/>
            <rFont val="Tahoma"/>
            <family val="2"/>
          </rPr>
          <t>O2 Cost is the oxygen cost of a given velocity, typically meters per minute.
VO2max is a person's maximum oxygen consumption rate.
VDOT is J.Daniels' psuedo VO2max calaculated from a running performance.
vVO2max Pace is running speed at VO2max
vVO2max Distance is the distance covered at VO2max  in 11.033 minutes
(Daniels formula sets running time for VO2max at 11.033 minutes)</t>
        </r>
      </text>
    </comment>
    <comment ref="E108" authorId="1" shapeId="0" xr:uid="{85C68180-3DFA-44A2-B4EC-D27B7DAF09C8}">
      <text>
        <r>
          <rPr>
            <sz val="10"/>
            <color indexed="81"/>
            <rFont val="Tahoma"/>
            <family val="2"/>
          </rPr>
          <t xml:space="preserve">Enter time as
</t>
        </r>
        <r>
          <rPr>
            <b/>
            <sz val="10"/>
            <color indexed="81"/>
            <rFont val="Tahoma"/>
            <family val="2"/>
          </rPr>
          <t>h:mm:ss</t>
        </r>
        <r>
          <rPr>
            <sz val="10"/>
            <color indexed="81"/>
            <rFont val="Tahoma"/>
            <family val="2"/>
          </rPr>
          <t xml:space="preserve">
Hours must be entered even if zero.</t>
        </r>
      </text>
    </comment>
    <comment ref="E109" authorId="1" shapeId="0" xr:uid="{FC433CDF-083E-4CE6-9311-3D7CC1375B4D}">
      <text>
        <r>
          <rPr>
            <sz val="10"/>
            <color indexed="81"/>
            <rFont val="Tahoma"/>
            <family val="2"/>
          </rPr>
          <t xml:space="preserve">Enter time as
</t>
        </r>
        <r>
          <rPr>
            <b/>
            <sz val="10"/>
            <color indexed="81"/>
            <rFont val="Tahoma"/>
            <family val="2"/>
          </rPr>
          <t>h:mm:ss</t>
        </r>
        <r>
          <rPr>
            <sz val="10"/>
            <color indexed="81"/>
            <rFont val="Tahoma"/>
            <family val="2"/>
          </rPr>
          <t xml:space="preserve">
Hours must be entered even if zero.</t>
        </r>
      </text>
    </comment>
    <comment ref="F113" authorId="0" shapeId="0" xr:uid="{8323BCE3-4D18-4C97-B9D0-B1E54ADB1B3F}">
      <text>
        <r>
          <rPr>
            <sz val="9"/>
            <color indexed="81"/>
            <rFont val="Tahoma"/>
            <family val="2"/>
          </rPr>
          <t>Average Heart Rate for duration of any run, any effort.</t>
        </r>
      </text>
    </comment>
    <comment ref="H113" authorId="0" shapeId="0" xr:uid="{823FE4D8-C5E4-4021-ACFF-F81BFDF6AB9D}">
      <text>
        <r>
          <rPr>
            <sz val="9"/>
            <color indexed="81"/>
            <rFont val="Tahoma"/>
            <family val="2"/>
          </rPr>
          <t>Average pace of that same run.</t>
        </r>
      </text>
    </comment>
    <comment ref="B117" authorId="4" shapeId="0" xr:uid="{A39AB5C5-8637-4CF0-A6F9-1D57C261C375}">
      <text>
        <r>
          <rPr>
            <b/>
            <sz val="8"/>
            <color indexed="81"/>
            <rFont val="Tahoma"/>
            <family val="2"/>
          </rPr>
          <t>Includes recovery runs after hard days, and any other running  around 2 min/mile slower than Marathon pace.</t>
        </r>
      </text>
    </comment>
    <comment ref="B118" authorId="4" shapeId="0" xr:uid="{A997D6D6-A125-4F5B-B594-5C3C7FA51D7C}">
      <text>
        <r>
          <rPr>
            <b/>
            <sz val="8"/>
            <color indexed="81"/>
            <rFont val="Tahoma"/>
            <family val="2"/>
          </rPr>
          <t>30 to 90 minutes.
Around 1 min/mile slower than Marathon pace.</t>
        </r>
      </text>
    </comment>
    <comment ref="B119" authorId="4" shapeId="0" xr:uid="{5C5EC974-8D65-4E59-95ED-0797ECB4C68E}">
      <text>
        <r>
          <rPr>
            <b/>
            <sz val="8"/>
            <color indexed="81"/>
            <rFont val="Tahoma"/>
            <family val="2"/>
          </rPr>
          <t>25-33% percent of weekly total. 90 min up to 2.5 hours or longer. 
Around 1 to 1.5 min/mile slower than Marathon pace.</t>
        </r>
      </text>
    </comment>
    <comment ref="B120" authorId="4" shapeId="0" xr:uid="{55E5450B-737A-4BB2-9C85-8E7DE210D2BD}">
      <text>
        <r>
          <rPr>
            <b/>
            <sz val="8"/>
            <color indexed="81"/>
            <rFont val="Tahoma"/>
            <family val="2"/>
          </rPr>
          <t>7-16 Miles.  
60 to 150 minutes.</t>
        </r>
      </text>
    </comment>
    <comment ref="B121" authorId="4" shapeId="0" xr:uid="{95D1EE2E-7D44-4973-B3BC-1C1648BEB8B3}">
      <text>
        <r>
          <rPr>
            <b/>
            <sz val="8"/>
            <color indexed="81"/>
            <rFont val="Tahoma"/>
            <family val="2"/>
          </rPr>
          <t>Up to 10% of weekly total.
25-30 sec slower than 5k pace.</t>
        </r>
      </text>
    </comment>
    <comment ref="B123" authorId="4" shapeId="0" xr:uid="{092DD45F-1BA0-488E-A637-3DCBE9B0BA1F}">
      <text>
        <r>
          <rPr>
            <b/>
            <sz val="8"/>
            <color indexed="81"/>
            <rFont val="Tahoma"/>
            <family val="2"/>
          </rPr>
          <t>Up to 8% of weekly total.
Around 3k-5k pace.</t>
        </r>
      </text>
    </comment>
    <comment ref="B124" authorId="4" shapeId="0" xr:uid="{71D8464C-8CFA-40A7-8692-9E7FCA7E7F75}">
      <text>
        <r>
          <rPr>
            <b/>
            <sz val="8"/>
            <color indexed="81"/>
            <rFont val="Tahoma"/>
            <family val="2"/>
          </rPr>
          <t>Up to 5% of weekly total.
Target Race Pace.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Herm</author>
    <author>HP Pavilion User</author>
    <author>Herman</author>
    <author>dyhjn</author>
    <author>TECO</author>
  </authors>
  <commentList>
    <comment ref="B4" authorId="0" shapeId="0" xr:uid="{9B70CF85-6474-4D13-BEBE-61685409B58A}">
      <text>
        <r>
          <rPr>
            <sz val="9"/>
            <color indexed="81"/>
            <rFont val="Tahoma"/>
            <family val="2"/>
          </rPr>
          <t>This Metric selection is only for Height and Weight. Other sections of the worksheet have independent checkboxes for selecting Metric pace &amp; distance</t>
        </r>
      </text>
    </comment>
    <comment ref="I5" authorId="0" shapeId="0" xr:uid="{724124E1-03D4-4194-BD08-594152524A6B}">
      <text>
        <r>
          <rPr>
            <b/>
            <sz val="9"/>
            <color indexed="81"/>
            <rFont val="Tahoma"/>
            <family val="2"/>
          </rPr>
          <t xml:space="preserve">            Age Group Percentage Score</t>
        </r>
        <r>
          <rPr>
            <u/>
            <sz val="9"/>
            <color indexed="81"/>
            <rFont val="Tahoma"/>
            <family val="2"/>
          </rPr>
          <t xml:space="preserve">
USATF Masters gives the following guidelines for scores:</t>
        </r>
        <r>
          <rPr>
            <sz val="9"/>
            <color indexed="81"/>
            <rFont val="Tahoma"/>
            <family val="2"/>
          </rPr>
          <t xml:space="preserve">
100% - Approximate World Record Level
&gt;90% - World Class Level
&gt;80% - National Class Level
&gt;70% - Regional Class Level
&gt;60% - Local Class Level</t>
        </r>
      </text>
    </comment>
    <comment ref="G6" authorId="1" shapeId="0" xr:uid="{C6BE185B-C643-4EA6-A896-A9C4D662D17A}">
      <text>
        <r>
          <rPr>
            <sz val="10"/>
            <color indexed="81"/>
            <rFont val="Tahoma"/>
            <family val="2"/>
          </rPr>
          <t xml:space="preserve">Enter all times as
</t>
        </r>
        <r>
          <rPr>
            <b/>
            <sz val="10"/>
            <color indexed="81"/>
            <rFont val="Tahoma"/>
            <family val="2"/>
          </rPr>
          <t>h:mm:ss</t>
        </r>
        <r>
          <rPr>
            <sz val="10"/>
            <color indexed="81"/>
            <rFont val="Tahoma"/>
            <family val="2"/>
          </rPr>
          <t xml:space="preserve">
Hours must be entered even if zero.</t>
        </r>
      </text>
    </comment>
    <comment ref="I6" authorId="1" shapeId="0" xr:uid="{A565C645-C5CE-4ECE-87EF-DF60281312B1}">
      <text>
        <r>
          <rPr>
            <sz val="8"/>
            <color indexed="81"/>
            <rFont val="Tahoma"/>
            <family val="2"/>
          </rPr>
          <t>In editions 1, 2 &amp; 3, the main VDOT range is 30 to 85. The 3rd Edition offers limited info for an extended range from 20 to 30.</t>
        </r>
      </text>
    </comment>
    <comment ref="I7" authorId="0" shapeId="0" xr:uid="{C58263A5-30C3-40F5-9F19-F512A0EEC23B}">
      <text>
        <r>
          <rPr>
            <sz val="9"/>
            <color indexed="81"/>
            <rFont val="Tahoma"/>
            <family val="2"/>
          </rPr>
          <t>1st time and Novice marathoners may do well to target the Mod to Hi Aero HR range until they gain more experience.</t>
        </r>
      </text>
    </comment>
    <comment ref="C8" authorId="0" shapeId="0" xr:uid="{BB05D6F4-BD8B-4A59-AB1E-F00F03545F50}">
      <text>
        <r>
          <rPr>
            <sz val="9"/>
            <color indexed="81"/>
            <rFont val="Tahoma"/>
            <family val="2"/>
          </rPr>
          <t>HR Profiles 1 - 4 (J.Daniels, plus 3 other studies):
Progressively wider relationship between %Vdot and %HRmax
Largest impact is at the Aerobic Zone end of the table
1) Daniels - Approx formula derived from Edition 2, Table 2.2
2) Panton - 19 men /36 women ages 60-80 (treadmill)
3) Londeree - 10 Recreational men, ages 20-26. (treadmill)
4) Swain - 81 men/81 women ages 18 - 34. (treadmill)</t>
        </r>
      </text>
    </comment>
    <comment ref="C9" authorId="0" shapeId="0" xr:uid="{2DC86CB7-A955-4AE5-89DD-EA67A37E7D84}">
      <text>
        <r>
          <rPr>
            <sz val="9"/>
            <color indexed="81"/>
            <rFont val="Tahoma"/>
            <family val="2"/>
          </rPr>
          <t>Enter a positive value to raise estimated % of HRmax across the entire training/racing range, negative value to lower.
This setting can also be applied to the LTHR range. A checkbox option to enable/disable the tweak is available near the Lactate Threshold Zone heading area.</t>
        </r>
      </text>
    </comment>
    <comment ref="J10" authorId="0" shapeId="0" xr:uid="{C1CE5B2F-0827-47FC-AA16-557F8C90AC1F}">
      <text>
        <r>
          <rPr>
            <sz val="9"/>
            <color indexed="81"/>
            <rFont val="Tahoma"/>
            <family val="2"/>
          </rPr>
          <t>This is the %Vdot Row. D10-I10 are preset, but configurable.
J10-S10 are Daniels' Calculated %Vdot, which is used to make the Race Projection calcs.</t>
        </r>
      </text>
    </comment>
    <comment ref="M30" authorId="2" shapeId="0" xr:uid="{248969F7-A9B5-42B6-A69D-E9D4418419C4}">
      <text>
        <r>
          <rPr>
            <b/>
            <sz val="8"/>
            <color indexed="81"/>
            <rFont val="Tahoma"/>
            <family val="2"/>
          </rPr>
          <t>For this field Time Entry must be in h:mm:ss format</t>
        </r>
      </text>
    </comment>
    <comment ref="O30" authorId="2" shapeId="0" xr:uid="{D8585544-7A6F-4F49-BD5E-C8887385181A}">
      <text>
        <r>
          <rPr>
            <b/>
            <sz val="8"/>
            <color indexed="81"/>
            <rFont val="Tahoma"/>
            <family val="2"/>
          </rPr>
          <t>Enter Pace in mm:ss format</t>
        </r>
      </text>
    </comment>
    <comment ref="R48" authorId="0" shapeId="0" xr:uid="{C5061083-63CA-4DBD-8863-8AF9E7FA0CCB}">
      <text>
        <r>
          <rPr>
            <sz val="9"/>
            <color indexed="81"/>
            <rFont val="Tahoma"/>
            <family val="2"/>
          </rPr>
          <t xml:space="preserve">The weight factor is most relevant as a tool to estimate potential imrpovement for yourself given a certain (healthy) weight loss. The weight option can be used while gauging your effort against other runners (male or female). However, there are other factors involved, most notably differences in height, which are not considered in this calculation.
The effect on time for a given weight change is driven by the Power Factor set at cell I87. </t>
        </r>
      </text>
    </comment>
    <comment ref="O74" authorId="1" shapeId="0" xr:uid="{7B08A8D7-E744-43F9-89AC-7E53E9089050}">
      <text>
        <r>
          <rPr>
            <sz val="10"/>
            <color indexed="81"/>
            <rFont val="Tahoma"/>
            <family val="2"/>
          </rPr>
          <t xml:space="preserve">Enter time as
</t>
        </r>
        <r>
          <rPr>
            <b/>
            <sz val="10"/>
            <color indexed="81"/>
            <rFont val="Tahoma"/>
            <family val="2"/>
          </rPr>
          <t>h:mm:ss</t>
        </r>
        <r>
          <rPr>
            <sz val="10"/>
            <color indexed="81"/>
            <rFont val="Tahoma"/>
            <family val="2"/>
          </rPr>
          <t xml:space="preserve">
Hours must be entered even if zero.</t>
        </r>
      </text>
    </comment>
    <comment ref="B81" authorId="0" shapeId="0" xr:uid="{DADDBFC5-84ED-42E8-B7AA-B8CC20E8293C}">
      <text>
        <r>
          <rPr>
            <sz val="9"/>
            <color indexed="81"/>
            <rFont val="Tahoma"/>
            <family val="2"/>
          </rPr>
          <t>The coaching options are based on different Heat factors:
Temperature, Temperature plus Dew Point, or Heat Index, and shouldn't be directly compared.</t>
        </r>
      </text>
    </comment>
    <comment ref="L85" authorId="0" shapeId="0" xr:uid="{A1B95026-85DA-4D4B-AC01-D1FC014BDEE6}">
      <text>
        <r>
          <rPr>
            <sz val="9"/>
            <color indexed="81"/>
            <rFont val="Tahoma"/>
            <family val="2"/>
          </rPr>
          <t xml:space="preserve">J.Daniels - Temperature
M.Hadley - Temperature + Dew Point
Tinman - Heat Index
El Helou - Temperature
</t>
        </r>
        <r>
          <rPr>
            <sz val="8"/>
            <color indexed="81"/>
            <rFont val="Tahoma"/>
            <family val="2"/>
          </rPr>
          <t>The El Helou study focused exclusively on Marathon events. The slowdown for higher temps is significantly greater than the other options. Given the nature of the Marathon, it's is not too surprising. The El Helou option is probably not valid for shorter distances.</t>
        </r>
      </text>
    </comment>
    <comment ref="I93" authorId="3" shapeId="0" xr:uid="{A3C2AB56-7CFE-4C29-8C14-7157B33F304C}">
      <text>
        <r>
          <rPr>
            <u/>
            <sz val="9"/>
            <color indexed="81"/>
            <rFont val="Tahoma"/>
            <family val="2"/>
          </rPr>
          <t xml:space="preserve"> Power Factor for impact of Weight Loss</t>
        </r>
        <r>
          <rPr>
            <sz val="9"/>
            <color indexed="81"/>
            <rFont val="Tahoma"/>
            <family val="2"/>
          </rPr>
          <t>:
1)  Daniels:  0.83 (Optimistic Time Savings)
2)  Physics:  0.50 (Medium Time Savings)
3) Flyer HC:  0.33 (Modest Time Savings)
This setting also affects weight change impacts in the vs Table (next to Extended Porjection table), Entry Time Grading and Peak Potential sections.</t>
        </r>
      </text>
    </comment>
    <comment ref="L93" authorId="0" shapeId="0" xr:uid="{C9D6D2D3-8B6D-44AF-A620-4DA61045B2A3}">
      <text>
        <r>
          <rPr>
            <sz val="9"/>
            <color indexed="81"/>
            <rFont val="Tahoma"/>
            <family val="2"/>
          </rPr>
          <t>Adjusts the range of Projected Weight
(Dark Orange bar)</t>
        </r>
      </text>
    </comment>
    <comment ref="F105" authorId="0" shapeId="0" xr:uid="{4F7727C6-55AB-4BC1-B473-58655EFF4548}">
      <text>
        <r>
          <rPr>
            <sz val="9"/>
            <color indexed="81"/>
            <rFont val="Tahoma"/>
            <family val="2"/>
          </rPr>
          <t xml:space="preserve">Calculated VDOT and vVO2max are both good indicators of fitness. </t>
        </r>
      </text>
    </comment>
    <comment ref="I105" authorId="0" shapeId="0" xr:uid="{FCF8CFFD-2932-4185-A49C-2C3E087EFD9B}">
      <text>
        <r>
          <rPr>
            <sz val="9"/>
            <color indexed="81"/>
            <rFont val="Tahoma"/>
            <family val="2"/>
          </rPr>
          <t>O2 Cost is the oxygen cost of a given velocity, typically meters per minute.
VO2max is a person's maximum oxygen consumption rate.
VDOT is J.Daniels' psuedo VO2max calaculated from a running performance.
vVO2max Pace is running speed at VO2max
vVO2max Distance is the distance covered at VO2max  in 11.033 minutes
(Daniels formula sets running time for VO2max at 11.033 minutes)</t>
        </r>
      </text>
    </comment>
    <comment ref="E108" authorId="1" shapeId="0" xr:uid="{09FD3213-CD9F-4826-AE32-B880C017E3DA}">
      <text>
        <r>
          <rPr>
            <sz val="10"/>
            <color indexed="81"/>
            <rFont val="Tahoma"/>
            <family val="2"/>
          </rPr>
          <t xml:space="preserve">Enter time as
</t>
        </r>
        <r>
          <rPr>
            <b/>
            <sz val="10"/>
            <color indexed="81"/>
            <rFont val="Tahoma"/>
            <family val="2"/>
          </rPr>
          <t>h:mm:ss</t>
        </r>
        <r>
          <rPr>
            <sz val="10"/>
            <color indexed="81"/>
            <rFont val="Tahoma"/>
            <family val="2"/>
          </rPr>
          <t xml:space="preserve">
Hours must be entered even if zero.</t>
        </r>
      </text>
    </comment>
    <comment ref="E109" authorId="1" shapeId="0" xr:uid="{B6B65829-F9CD-4A5F-9F1F-6D999DA338D6}">
      <text>
        <r>
          <rPr>
            <sz val="10"/>
            <color indexed="81"/>
            <rFont val="Tahoma"/>
            <family val="2"/>
          </rPr>
          <t xml:space="preserve">Enter time as
</t>
        </r>
        <r>
          <rPr>
            <b/>
            <sz val="10"/>
            <color indexed="81"/>
            <rFont val="Tahoma"/>
            <family val="2"/>
          </rPr>
          <t>h:mm:ss</t>
        </r>
        <r>
          <rPr>
            <sz val="10"/>
            <color indexed="81"/>
            <rFont val="Tahoma"/>
            <family val="2"/>
          </rPr>
          <t xml:space="preserve">
Hours must be entered even if zero.</t>
        </r>
      </text>
    </comment>
    <comment ref="F113" authorId="0" shapeId="0" xr:uid="{292C2746-1341-4B7A-85B4-67EA99555B6F}">
      <text>
        <r>
          <rPr>
            <sz val="9"/>
            <color indexed="81"/>
            <rFont val="Tahoma"/>
            <family val="2"/>
          </rPr>
          <t>Average Heart Rate for duration of any run, any effort.</t>
        </r>
      </text>
    </comment>
    <comment ref="H113" authorId="0" shapeId="0" xr:uid="{252D7B1C-66BB-44C3-A8D9-CD13EB1F88FE}">
      <text>
        <r>
          <rPr>
            <sz val="9"/>
            <color indexed="81"/>
            <rFont val="Tahoma"/>
            <family val="2"/>
          </rPr>
          <t>Average pace of that same run.</t>
        </r>
      </text>
    </comment>
    <comment ref="B117" authorId="4" shapeId="0" xr:uid="{0C89A1A3-EF21-4761-80B5-E2F1296C8D5E}">
      <text>
        <r>
          <rPr>
            <b/>
            <sz val="8"/>
            <color indexed="81"/>
            <rFont val="Tahoma"/>
            <family val="2"/>
          </rPr>
          <t>Includes recovery runs after hard days, and any other running  around 2 min/mile slower than Marathon pace.</t>
        </r>
      </text>
    </comment>
    <comment ref="B118" authorId="4" shapeId="0" xr:uid="{E4789672-6939-4F53-818E-3021681209F9}">
      <text>
        <r>
          <rPr>
            <b/>
            <sz val="8"/>
            <color indexed="81"/>
            <rFont val="Tahoma"/>
            <family val="2"/>
          </rPr>
          <t>30 to 90 minutes.
Around 1 min/mile slower than Marathon pace.</t>
        </r>
      </text>
    </comment>
    <comment ref="B119" authorId="4" shapeId="0" xr:uid="{7AEB5F3D-4126-4E82-9DCB-2FDDF99DB659}">
      <text>
        <r>
          <rPr>
            <b/>
            <sz val="8"/>
            <color indexed="81"/>
            <rFont val="Tahoma"/>
            <family val="2"/>
          </rPr>
          <t>25-33% percent of weekly total. 90 min up to 2.5 hours or longer. 
Around 1 to 1.5 min/mile slower than Marathon pace.</t>
        </r>
      </text>
    </comment>
    <comment ref="B120" authorId="4" shapeId="0" xr:uid="{E741EA9F-03DE-49FD-827E-A91C9AD789AC}">
      <text>
        <r>
          <rPr>
            <b/>
            <sz val="8"/>
            <color indexed="81"/>
            <rFont val="Tahoma"/>
            <family val="2"/>
          </rPr>
          <t>7-16 Miles.  
60 to 150 minutes.</t>
        </r>
      </text>
    </comment>
    <comment ref="B121" authorId="4" shapeId="0" xr:uid="{01483304-1E61-48E7-866A-859785B70F43}">
      <text>
        <r>
          <rPr>
            <b/>
            <sz val="8"/>
            <color indexed="81"/>
            <rFont val="Tahoma"/>
            <family val="2"/>
          </rPr>
          <t>Up to 10% of weekly total.
25-30 sec slower than 5k pace.</t>
        </r>
      </text>
    </comment>
    <comment ref="B123" authorId="4" shapeId="0" xr:uid="{72795169-50C1-43C4-98AD-FF17E5745D5B}">
      <text>
        <r>
          <rPr>
            <b/>
            <sz val="8"/>
            <color indexed="81"/>
            <rFont val="Tahoma"/>
            <family val="2"/>
          </rPr>
          <t>Up to 8% of weekly total.
Around 3k-5k pace.</t>
        </r>
      </text>
    </comment>
    <comment ref="B124" authorId="4" shapeId="0" xr:uid="{712CE732-7144-402E-8FD1-979F4C6BFA27}">
      <text>
        <r>
          <rPr>
            <b/>
            <sz val="8"/>
            <color indexed="81"/>
            <rFont val="Tahoma"/>
            <family val="2"/>
          </rPr>
          <t>Up to 5% of weekly total.
Target Race Pace.</t>
        </r>
      </text>
    </comment>
  </commentList>
</comments>
</file>

<file path=xl/sharedStrings.xml><?xml version="1.0" encoding="utf-8"?>
<sst xmlns="http://schemas.openxmlformats.org/spreadsheetml/2006/main" count="1695" uniqueCount="518">
  <si>
    <t>Goal Time:</t>
  </si>
  <si>
    <t>Enter time as H:MM:SS</t>
  </si>
  <si>
    <t>R</t>
  </si>
  <si>
    <t>MP in Secs/mi</t>
  </si>
  <si>
    <t>Goal Pace:</t>
  </si>
  <si>
    <t>Pace will be calculated for you</t>
  </si>
  <si>
    <t>Race Date:</t>
  </si>
  <si>
    <t>Enter date at MM/DD/YY</t>
  </si>
  <si>
    <t xml:space="preserve">Note: For VO2 max workouts, rest is 50% to 90% effort time </t>
  </si>
  <si>
    <t>Enter times as H:MM:SS (even if 0 hrs). Enter distances as numbers (whole or decimal).  Paces will be calculated automatically</t>
  </si>
  <si>
    <t>Week</t>
  </si>
  <si>
    <t>Days Out</t>
  </si>
  <si>
    <t>Date</t>
  </si>
  <si>
    <t>Day</t>
  </si>
  <si>
    <t>Plan</t>
  </si>
  <si>
    <t>Dist (mi)</t>
  </si>
  <si>
    <t>Total Time</t>
  </si>
  <si>
    <t>Avg Pace</t>
  </si>
  <si>
    <t>Seg Time</t>
  </si>
  <si>
    <t>Seg Dist (mi)</t>
  </si>
  <si>
    <t>Seg Pace</t>
  </si>
  <si>
    <t>Wkly Total (Plan)</t>
  </si>
  <si>
    <t>Actual Wkly Total (time/ dist)</t>
  </si>
  <si>
    <t>Notes</t>
  </si>
  <si>
    <t xml:space="preserve">Overall Totals (time/ actual dist/ plan dist) </t>
  </si>
  <si>
    <t>% to Plan</t>
  </si>
  <si>
    <t>W</t>
  </si>
  <si>
    <t>Th</t>
  </si>
  <si>
    <t>F</t>
  </si>
  <si>
    <t>Rest</t>
  </si>
  <si>
    <t>Sa</t>
  </si>
  <si>
    <t>Su</t>
  </si>
  <si>
    <t>Week 18</t>
  </si>
  <si>
    <t>M</t>
  </si>
  <si>
    <t>T</t>
  </si>
  <si>
    <t>Week 16</t>
  </si>
  <si>
    <t>Week 15</t>
  </si>
  <si>
    <t>Week 14</t>
  </si>
  <si>
    <t>Week 13</t>
  </si>
  <si>
    <t>Week 11</t>
  </si>
  <si>
    <t>Week 10</t>
  </si>
  <si>
    <t>Week 9</t>
  </si>
  <si>
    <t>Week 7</t>
  </si>
  <si>
    <t>Week 6</t>
  </si>
  <si>
    <t>Week 5</t>
  </si>
  <si>
    <t>Week 4</t>
  </si>
  <si>
    <t>Week 3</t>
  </si>
  <si>
    <t>Week 2</t>
  </si>
  <si>
    <t>Week 1</t>
  </si>
  <si>
    <t>Race</t>
  </si>
  <si>
    <t>Birthdate:</t>
  </si>
  <si>
    <r>
      <t>Daniels' Training Tables</t>
    </r>
    <r>
      <rPr>
        <sz val="8"/>
        <rFont val="Arial"/>
        <family val="2"/>
      </rPr>
      <t xml:space="preserve"> Rev3.05.01</t>
    </r>
  </si>
  <si>
    <t>Last Update:</t>
  </si>
  <si>
    <t>HRmax:</t>
  </si>
  <si>
    <t>Custom</t>
  </si>
  <si>
    <t>Rest HR:</t>
  </si>
  <si>
    <t>A Collection of Jack Daniels' Related Guidelines (&amp; Other Tools)</t>
  </si>
  <si>
    <t>Distance</t>
  </si>
  <si>
    <t>Colums to hide</t>
  </si>
  <si>
    <r>
      <t xml:space="preserve">Valid age range is between 5 and 100. </t>
    </r>
    <r>
      <rPr>
        <b/>
        <sz val="7"/>
        <rFont val="Arial"/>
        <family val="2"/>
      </rPr>
      <t>Age =</t>
    </r>
  </si>
  <si>
    <t>H:MM:SS</t>
  </si>
  <si>
    <t xml:space="preserve"> Lactate Threshold Zone (LT)</t>
  </si>
  <si>
    <t>%HRmax</t>
  </si>
  <si>
    <t>HR Range</t>
  </si>
  <si>
    <t>Distance:</t>
  </si>
  <si>
    <t>Marathon</t>
  </si>
  <si>
    <t>Time:</t>
  </si>
  <si>
    <t>LT Pace:</t>
  </si>
  <si>
    <t>Zone / Distance ►</t>
  </si>
  <si>
    <t>Recovery</t>
  </si>
  <si>
    <t>Easy Aerobic Zone</t>
  </si>
  <si>
    <t>Mod Aero</t>
  </si>
  <si>
    <t>Hi Aero</t>
  </si>
  <si>
    <t>1/2 Mar</t>
  </si>
  <si>
    <t>15k</t>
  </si>
  <si>
    <t>12k</t>
  </si>
  <si>
    <t>10k</t>
  </si>
  <si>
    <t>8k</t>
  </si>
  <si>
    <t>5k</t>
  </si>
  <si>
    <t>3k</t>
  </si>
  <si>
    <t>1 Mile</t>
  </si>
  <si>
    <t>HR Profile</t>
  </si>
  <si>
    <t>Distance in Miles ►</t>
  </si>
  <si>
    <t>HR Tweak</t>
  </si>
  <si>
    <t>Distance in Meters ►</t>
  </si>
  <si>
    <t xml:space="preserve"> Speed</t>
  </si>
  <si>
    <t>Points Grid</t>
  </si>
  <si>
    <t>Race Projections --&gt;</t>
  </si>
  <si>
    <t>Distance Based Intensity Points Grid (Daniels)</t>
  </si>
  <si>
    <t>*These calcs based on performance entered above</t>
  </si>
  <si>
    <t xml:space="preserve">Points Factor </t>
  </si>
  <si>
    <t>-</t>
  </si>
  <si>
    <t>Intensity Points Calculator</t>
  </si>
  <si>
    <t xml:space="preserve">   1 - Time &amp; Distance</t>
  </si>
  <si>
    <t xml:space="preserve">       3 - Distance &amp; Pace</t>
  </si>
  <si>
    <t>Mode</t>
  </si>
  <si>
    <t>Points Factors</t>
  </si>
  <si>
    <t xml:space="preserve">   2 - Time &amp; Pace</t>
  </si>
  <si>
    <t xml:space="preserve">       4 - Time &amp; Heart Rate</t>
  </si>
  <si>
    <t>Time</t>
  </si>
  <si>
    <t>h:mm:ss</t>
  </si>
  <si>
    <t>Pace</t>
  </si>
  <si>
    <t>HeartRate</t>
  </si>
  <si>
    <t>Factor</t>
  </si>
  <si>
    <t>Points</t>
  </si>
  <si>
    <t>Heart Rate</t>
  </si>
  <si>
    <t xml:space="preserve"> Weekly Point Levels</t>
  </si>
  <si>
    <t>Novice High School - 50</t>
  </si>
  <si>
    <t>College - 150</t>
  </si>
  <si>
    <t>Advanced High School - 100</t>
  </si>
  <si>
    <t>Elite - 200</t>
  </si>
  <si>
    <t>This table calculates Intensity Points based on effort (Percent of HRmax) and distance of run.</t>
  </si>
  <si>
    <t>For Extended Table</t>
  </si>
  <si>
    <t>Add Time</t>
  </si>
  <si>
    <t>Extended Projection Table</t>
  </si>
  <si>
    <t>w/ Daniels Formula</t>
  </si>
  <si>
    <t>Open Standard</t>
  </si>
  <si>
    <t>Aerobic</t>
  </si>
  <si>
    <t>Threshold</t>
  </si>
  <si>
    <t>(mm:ss)</t>
  </si>
  <si>
    <t>2015 Open Class Std</t>
  </si>
  <si>
    <t>Daniels %</t>
  </si>
  <si>
    <t>%VO2max</t>
  </si>
  <si>
    <t>VDOT</t>
  </si>
  <si>
    <t>miles</t>
  </si>
  <si>
    <t>Male</t>
  </si>
  <si>
    <t>Female</t>
  </si>
  <si>
    <t>Meters</t>
  </si>
  <si>
    <t>of VO2max</t>
  </si>
  <si>
    <t>1500m</t>
  </si>
  <si>
    <t>1.5k - 3 mile</t>
  </si>
  <si>
    <t>Times are</t>
  </si>
  <si>
    <t>Pace for Tempo Runs of 20 to 60 Minutes at VDOT 34.96 (Daniels)</t>
  </si>
  <si>
    <t>2k</t>
  </si>
  <si>
    <t>taken from</t>
  </si>
  <si>
    <t>Duration</t>
  </si>
  <si>
    <t>Track</t>
  </si>
  <si>
    <t>2 Mile</t>
  </si>
  <si>
    <t>Open Class</t>
  </si>
  <si>
    <t>Approx Distance</t>
  </si>
  <si>
    <t>3 Mile</t>
  </si>
  <si>
    <t>Standards</t>
  </si>
  <si>
    <t>20 min run at Threshold Pace - Longer runs adjusted for proper intensity</t>
  </si>
  <si>
    <t>Jack Daniels Online Training Log</t>
  </si>
  <si>
    <t>Run Smart Project (J.Daniels - Head Coach)</t>
  </si>
  <si>
    <t>4 Mile</t>
  </si>
  <si>
    <t>5k - 50k</t>
  </si>
  <si>
    <t>5 Mile</t>
  </si>
  <si>
    <t>Road</t>
  </si>
  <si>
    <t>Racing</t>
  </si>
  <si>
    <t>10 Mile</t>
  </si>
  <si>
    <t>20k</t>
  </si>
  <si>
    <t>Top 3 are Daniels' R, I, and T Paces - Bottom 3 are Generic 1 Mile, 5k, and 10k Paced Intervals</t>
  </si>
  <si>
    <t>25k</t>
  </si>
  <si>
    <t>Subtract</t>
  </si>
  <si>
    <t>30k</t>
  </si>
  <si>
    <t>McMillanRunning.com</t>
  </si>
  <si>
    <t xml:space="preserve"> Training Range Guideline Approximations</t>
  </si>
  <si>
    <t>Run Type</t>
  </si>
  <si>
    <t>Anaerobic Int</t>
  </si>
  <si>
    <t>Aerobic Int</t>
  </si>
  <si>
    <t>Cruise Int</t>
  </si>
  <si>
    <t>Tempo Int</t>
  </si>
  <si>
    <t>Tempo</t>
  </si>
  <si>
    <t>Steady</t>
  </si>
  <si>
    <t>Easy</t>
  </si>
  <si>
    <t>Long</t>
  </si>
  <si>
    <t>50k</t>
  </si>
  <si>
    <t>Race Pace</t>
  </si>
  <si>
    <t>3k - 8k</t>
  </si>
  <si>
    <t>8k - 12k</t>
  </si>
  <si>
    <t>10k - 15k</t>
  </si>
  <si>
    <t>12k - 1/2m</t>
  </si>
  <si>
    <t>1/2m - 30k</t>
  </si>
  <si>
    <t>MP+30-60</t>
  </si>
  <si>
    <t>MP+30-90</t>
  </si>
  <si>
    <t>Racing Statistics</t>
  </si>
  <si>
    <t>Fastest Ages</t>
  </si>
  <si>
    <t>IAAF</t>
  </si>
  <si>
    <t>Age Grade</t>
  </si>
  <si>
    <t>ARRS</t>
  </si>
  <si>
    <t>M: 19-27 /  F: 22-29</t>
  </si>
  <si>
    <t>*Note: The Greg McMillan and Joe Friel tables are approximate representations, not exact duplications.</t>
  </si>
  <si>
    <t>Joe Friel</t>
  </si>
  <si>
    <t xml:space="preserve"> Training Zone Approximations</t>
  </si>
  <si>
    <t>Open Std:</t>
  </si>
  <si>
    <r>
      <t xml:space="preserve">Zones </t>
    </r>
    <r>
      <rPr>
        <sz val="8"/>
        <rFont val="Arial"/>
        <family val="2"/>
      </rPr>
      <t>(Based on Lactate Threshold - LT)</t>
    </r>
  </si>
  <si>
    <t>Zone 1</t>
  </si>
  <si>
    <t>Zone 2</t>
  </si>
  <si>
    <t>Zone 3</t>
  </si>
  <si>
    <t>Zone 4</t>
  </si>
  <si>
    <t>Zone 5a</t>
  </si>
  <si>
    <t>Zone 5b</t>
  </si>
  <si>
    <t>Zone 5c</t>
  </si>
  <si>
    <t>Zones by Heart Rate</t>
  </si>
  <si>
    <t>Hypothetical best time</t>
  </si>
  <si>
    <t>Grading Calcs</t>
  </si>
  <si>
    <t>humanly possible at</t>
  </si>
  <si>
    <t>Calc LTHR</t>
  </si>
  <si>
    <t>Calc FTPa</t>
  </si>
  <si>
    <t xml:space="preserve">are Based on Time &amp; VDOT. </t>
  </si>
  <si>
    <t>Best time possible at</t>
  </si>
  <si>
    <t>Age Grading</t>
  </si>
  <si>
    <t>Adjusted Time</t>
  </si>
  <si>
    <r>
      <t xml:space="preserve">Vs Age </t>
    </r>
    <r>
      <rPr>
        <sz val="7"/>
        <rFont val="Arial"/>
        <family val="2"/>
      </rPr>
      <t>(Open Class=25)</t>
    </r>
  </si>
  <si>
    <t>Misc Calculations</t>
  </si>
  <si>
    <t>Time Difference</t>
  </si>
  <si>
    <t>Free Form VDOT Calculator</t>
  </si>
  <si>
    <t>Info!</t>
  </si>
  <si>
    <t>Valid Age?</t>
  </si>
  <si>
    <t>Weight Grading</t>
  </si>
  <si>
    <t>Time fields must be h:mm:ss format</t>
  </si>
  <si>
    <t>age:</t>
  </si>
  <si>
    <t>Pace Calculator</t>
  </si>
  <si>
    <t>Compare to</t>
  </si>
  <si>
    <t>Miles</t>
  </si>
  <si>
    <t>Adjusted VDOT</t>
  </si>
  <si>
    <t>Estimated Time</t>
  </si>
  <si>
    <t>Km</t>
  </si>
  <si>
    <t>Estimated Times &amp; Pace are +/- 2 seconds per mile</t>
  </si>
  <si>
    <t>P.factor:</t>
  </si>
  <si>
    <t>Weight Increment:</t>
  </si>
  <si>
    <t>Stillman Defaults</t>
  </si>
  <si>
    <t>Finish Time Calculator</t>
  </si>
  <si>
    <t>* Red text on yellow background indicates weight below both BMI minimum &amp; Stillman Ideal</t>
  </si>
  <si>
    <t>Pace/mi</t>
  </si>
  <si>
    <t>Body Mass Index (BMI)</t>
  </si>
  <si>
    <t>BMI Range</t>
  </si>
  <si>
    <t>&lt;18.5</t>
  </si>
  <si>
    <t>&gt;25</t>
  </si>
  <si>
    <t>Pace/km</t>
  </si>
  <si>
    <t>Too Thin</t>
  </si>
  <si>
    <t>OvrWeight</t>
  </si>
  <si>
    <t xml:space="preserve"> %HRmax &amp; %HRR &gt; %Vdot</t>
  </si>
  <si>
    <t xml:space="preserve">   Dr. Stillman's Weight Guidelines</t>
  </si>
  <si>
    <t>Average Adult</t>
  </si>
  <si>
    <t>Middle Dist Runner</t>
  </si>
  <si>
    <t>Long Dist Runner</t>
  </si>
  <si>
    <t>Time Grade Summary</t>
  </si>
  <si>
    <t>%Vdot</t>
  </si>
  <si>
    <t>Non-Active</t>
  </si>
  <si>
    <t>(12% Below Average)</t>
  </si>
  <si>
    <t>(15% Below Average)</t>
  </si>
  <si>
    <t>%HHR</t>
  </si>
  <si>
    <t>Combined Time Grade</t>
  </si>
  <si>
    <t>Misc Daniels Calculations</t>
  </si>
  <si>
    <t>US to Metric</t>
  </si>
  <si>
    <t>O2 Cost</t>
  </si>
  <si>
    <t>vV02max Pace &amp; Dist</t>
  </si>
  <si>
    <t>VDOT if I Now Weighed --&gt;</t>
  </si>
  <si>
    <t xml:space="preserve">    Manual Entry #1</t>
  </si>
  <si>
    <t xml:space="preserve">    Manual Entry #2</t>
  </si>
  <si>
    <t>Metric to US</t>
  </si>
  <si>
    <t>Heart Rate Reserve Method of Estimated vVO2Max</t>
  </si>
  <si>
    <t>(Polar / M.Fitzgerald)</t>
  </si>
  <si>
    <t>HRrest</t>
  </si>
  <si>
    <t>HRavg</t>
  </si>
  <si>
    <t>Pace/Speed Conversions</t>
  </si>
  <si>
    <t>Weekly Workload Distribution</t>
  </si>
  <si>
    <t>Mon</t>
  </si>
  <si>
    <t>Tues</t>
  </si>
  <si>
    <t>Wed</t>
  </si>
  <si>
    <t>Thur</t>
  </si>
  <si>
    <t>Fri</t>
  </si>
  <si>
    <t>Sat</t>
  </si>
  <si>
    <t>Sun</t>
  </si>
  <si>
    <t>Percent</t>
  </si>
  <si>
    <t>WarmUp / Recovery</t>
  </si>
  <si>
    <t>65-70%</t>
  </si>
  <si>
    <t>Aerobic Zone</t>
  </si>
  <si>
    <t>70-79%</t>
  </si>
  <si>
    <t>&amp; Aerobic</t>
  </si>
  <si>
    <t xml:space="preserve">Long Run </t>
  </si>
  <si>
    <t>70-75%</t>
  </si>
  <si>
    <t xml:space="preserve"> Marathon Pace</t>
  </si>
  <si>
    <t>80-89%</t>
  </si>
  <si>
    <t>Endurance</t>
  </si>
  <si>
    <t>Tempo / Cruise</t>
  </si>
  <si>
    <t>88-92%</t>
  </si>
  <si>
    <t>&amp; Strength</t>
  </si>
  <si>
    <t>Percent of Pace / Speed</t>
  </si>
  <si>
    <t>Hills</t>
  </si>
  <si>
    <t xml:space="preserve">Intervals </t>
  </si>
  <si>
    <t>95-100%</t>
  </si>
  <si>
    <t>Speed</t>
  </si>
  <si>
    <t xml:space="preserve">Repetitions </t>
  </si>
  <si>
    <t>&amp; Races</t>
  </si>
  <si>
    <t xml:space="preserve">Race </t>
  </si>
  <si>
    <t>Totals</t>
  </si>
  <si>
    <t>* Asterisk Denotes Highest Mileage Day</t>
  </si>
  <si>
    <t>These figures needed for worksheet calcs… do not disturb!</t>
  </si>
  <si>
    <t>2015 Age Grade Factors</t>
  </si>
  <si>
    <t>% VDOT</t>
  </si>
  <si>
    <t>% of HRMax</t>
  </si>
  <si>
    <t>Point Value</t>
  </si>
  <si>
    <t>Age</t>
  </si>
  <si>
    <t>FactorM</t>
  </si>
  <si>
    <t>FactorF</t>
  </si>
  <si>
    <t>MtoF_Fact</t>
  </si>
  <si>
    <t>Aero Zone Correction Factors for for Riegel Paces</t>
  </si>
  <si>
    <t>Jack Daniels</t>
  </si>
  <si>
    <t>https://runsmartproject.com/calculator/</t>
  </si>
  <si>
    <t>Mark Hadley</t>
  </si>
  <si>
    <t>http://maximumperformancerunning.blogspot.com/2013/07/temperature-dew-point.html</t>
  </si>
  <si>
    <t>Tinman</t>
  </si>
  <si>
    <t>https://runfastcoach.com/</t>
  </si>
  <si>
    <t>El Helou - Male</t>
  </si>
  <si>
    <t>https://journals.plos.org/plosone/article?id=10.1371/journal.pone.0037407</t>
  </si>
  <si>
    <t>El Helou - Female</t>
  </si>
  <si>
    <t>El Helou Q1 Table (Top 25%)</t>
  </si>
  <si>
    <t>Daniels</t>
  </si>
  <si>
    <t>Men</t>
  </si>
  <si>
    <t>Women</t>
  </si>
  <si>
    <t>N95</t>
  </si>
  <si>
    <t>Q1</t>
  </si>
  <si>
    <t>Peak-10</t>
  </si>
  <si>
    <t>C56</t>
  </si>
  <si>
    <t>Peak-5</t>
  </si>
  <si>
    <t>M.Hadley</t>
  </si>
  <si>
    <t>Peak</t>
  </si>
  <si>
    <t>Peak+5</t>
  </si>
  <si>
    <t>Peak+10</t>
  </si>
  <si>
    <t>Peak+15</t>
  </si>
  <si>
    <t>Peak+20</t>
  </si>
  <si>
    <t>El Helou (Male)</t>
  </si>
  <si>
    <t>Polynomal Factors (Male)</t>
  </si>
  <si>
    <t>Polynomal Factors (Female)</t>
  </si>
  <si>
    <t>b2</t>
  </si>
  <si>
    <t>b1</t>
  </si>
  <si>
    <t>El Helou (Female)</t>
  </si>
  <si>
    <t>a</t>
  </si>
  <si>
    <t>Weeks Until Race</t>
  </si>
  <si>
    <t>56 - 70</t>
  </si>
  <si>
    <t>Fraction of Peak</t>
  </si>
  <si>
    <t>Q</t>
  </si>
  <si>
    <t>Q2</t>
  </si>
  <si>
    <t>1E + 6M + 1E + 6M + 2M</t>
  </si>
  <si>
    <t>8E + 3T + 3 min rest + 2T + 2E</t>
  </si>
  <si>
    <t>2E + 3T + 60min E + 1T + 1E</t>
  </si>
  <si>
    <t>16 E or 120 min</t>
  </si>
  <si>
    <t>2E + 8M + 1E + 3M + 2E</t>
  </si>
  <si>
    <t>6E + 3T + 3min rest + 2T + 2min rest + 1T + 1E</t>
  </si>
  <si>
    <t>40 min E + 3x[2T w/2 min rest] + 2x[1T w/1min rest] + 1E</t>
  </si>
  <si>
    <t>Week 17</t>
  </si>
  <si>
    <t>Week 12</t>
  </si>
  <si>
    <t>Week 8</t>
  </si>
  <si>
    <t>Week 19</t>
  </si>
  <si>
    <t>1E + 2x[2T w/2min rest] + 60min E + 2T + 1E</t>
  </si>
  <si>
    <t>8E + 6x[1km I w/3min rest] + 2E</t>
  </si>
  <si>
    <t>17 E or 120 min</t>
  </si>
  <si>
    <t>1E + 8M + 1E + 6M + 1E</t>
  </si>
  <si>
    <t>40 min + 3T + 2 min rest + 2x[2T w/1min] + 2E</t>
  </si>
  <si>
    <t>4E + 3T + 2min rest + 2T + 2min + 2T + 2min rest + 1T + 2E</t>
  </si>
  <si>
    <t>12E + 3T + 1E</t>
  </si>
  <si>
    <t>4E + 5x[1km I w/3min rest] + 4X[400m R w/400m rest] + 2E</t>
  </si>
  <si>
    <t>8E + 5x[1km I w/2min rest] + 4x[400m R w/400m rest] + 1E</t>
  </si>
  <si>
    <t>18 E or 130 min</t>
  </si>
  <si>
    <t>Plan Dist</t>
  </si>
  <si>
    <t>2E + 12M + 2E</t>
  </si>
  <si>
    <t>3E + 6M + 1E + 4M + 1T + 1E</t>
  </si>
  <si>
    <t>5E + 4x[2T w/2min rest] + 2E</t>
  </si>
  <si>
    <t>2E + 2T + 60min E + 2T + 2E or 60min E + 8M + 1E</t>
  </si>
  <si>
    <t>Total Work</t>
  </si>
  <si>
    <t>Total Milage</t>
  </si>
  <si>
    <t>20E or 150 min</t>
  </si>
  <si>
    <t>2E + 8M + 2x[2T w/2min rest] +2E</t>
  </si>
  <si>
    <t>3E + 12M + 2E</t>
  </si>
  <si>
    <t>40 min E + 4x[2T w/2 min rest] + 2x[1T w/1min rest] + 1E</t>
  </si>
  <si>
    <t>6E + 2T + 6E + 2T + 1E</t>
  </si>
  <si>
    <t>8E + 5x[1km I w/2min rest] + 6x[200m R w/200m rest] + 1E</t>
  </si>
  <si>
    <t>20 E or 150 min</t>
  </si>
  <si>
    <t>6 E + 5x[1km I w/3min rest] + 4E</t>
  </si>
  <si>
    <t>2E + 6M +1E + 6M + 2E</t>
  </si>
  <si>
    <t>2E + 4x[2Tw/2min E] + 2E</t>
  </si>
  <si>
    <t>2E + 3x[2T w/2min rest] + 7E</t>
  </si>
  <si>
    <t>3E + 1T + 2M +1T + 2M + 2E</t>
  </si>
  <si>
    <t>https://www.electricblues.com/html/runpro.html</t>
  </si>
  <si>
    <t>Remaining E Miles</t>
  </si>
  <si>
    <t>56-70 mi Plan</t>
  </si>
  <si>
    <t>6E + Strides</t>
  </si>
  <si>
    <t>5E</t>
  </si>
  <si>
    <t>6E</t>
  </si>
  <si>
    <t>E</t>
  </si>
  <si>
    <t>I</t>
  </si>
  <si>
    <t>7E</t>
  </si>
  <si>
    <t>8E</t>
  </si>
  <si>
    <t>8E + Strides</t>
  </si>
  <si>
    <t>10E + Strides</t>
  </si>
  <si>
    <t>11E + Strides</t>
  </si>
  <si>
    <t>71-85 mi Plan</t>
  </si>
  <si>
    <t>5E + 6M + 1T + 5M +1E</t>
  </si>
  <si>
    <t>8E + T4 + 4min rest + 4T + 1E</t>
  </si>
  <si>
    <t>3E + 3T + 60 min E + 2T + 2E</t>
  </si>
  <si>
    <t>18E</t>
  </si>
  <si>
    <t>5E + 4T + 4min E + 3T + 3min E + 2T + 2min E + 1T +2E</t>
  </si>
  <si>
    <t>2E + 8M + 1T + 2M + 1E +2M + 2E</t>
  </si>
  <si>
    <t>6E + 5x(1km I w/2min rest) + 6x(400R w/400m rest) + 2E</t>
  </si>
  <si>
    <t>19E</t>
  </si>
  <si>
    <t>7E + 4x[2T w/2min rest]</t>
  </si>
  <si>
    <t>6E + 4x[2T w/2min rest] + 2E</t>
  </si>
  <si>
    <t>2E + 2x[2T w/2min rest] + 60 min E + 2T + 2E</t>
  </si>
  <si>
    <t>8E + 8x[1 km I w/2min rest] + 2E</t>
  </si>
  <si>
    <t>4E + 8M + 1T +4M +2E</t>
  </si>
  <si>
    <t>4E + 3T + 4min E + 3T + 3min E + 2T + 2min E + 1T + 2E</t>
  </si>
  <si>
    <t>8E + 3T + 8E</t>
  </si>
  <si>
    <t>8E + 6x[1km I w/2min rest] + 4x[400R w/400 rest] + 2E</t>
  </si>
  <si>
    <t>2E + 14M + 2E</t>
  </si>
  <si>
    <t>4E + 6M + 1T + 5M + 2E</t>
  </si>
  <si>
    <t>5E + 2x[3T w/3min rest] + 2T + 3E</t>
  </si>
  <si>
    <t>1E + 3T + 10E + 3T + 1E or 4E+13M+1E</t>
  </si>
  <si>
    <t>8E + 8x[1km I w/2min rest] + 2E</t>
  </si>
  <si>
    <t>20E</t>
  </si>
  <si>
    <t>2E + 8M + 3T + 2E</t>
  </si>
  <si>
    <t>2E + 8M + 1T + 4M + 1T + 1M +1E</t>
  </si>
  <si>
    <t>4E + 4x[2T w/2 min rest] + 2E</t>
  </si>
  <si>
    <t>2E + 2T + 8E + 2T + 2E</t>
  </si>
  <si>
    <t>6E + 5x[1km I w/2min rest] + 4x[400R w/400m rest] + 2E</t>
  </si>
  <si>
    <t>3E + 3x[1T w/1 min rest] + 3x[1km I w/2min rest] + 3x[400R w/400m rest] + 2E</t>
  </si>
  <si>
    <t>3E + 6M + 1T + 6M + 3E</t>
  </si>
  <si>
    <t>2E + 3x[2T w/2min E] + 8E</t>
  </si>
  <si>
    <t>2E + 4x[2T w/2min E] + 2E</t>
  </si>
  <si>
    <t>4E + 1T +2M + 1T + 2M + 2E</t>
  </si>
  <si>
    <t>90 min E</t>
  </si>
  <si>
    <t>60 min E</t>
  </si>
  <si>
    <t>3E + 3x[1T w/2min rest] + 2E</t>
  </si>
  <si>
    <t>50 min E</t>
  </si>
  <si>
    <t>30-40 min E</t>
  </si>
  <si>
    <t>0-20 min E</t>
  </si>
  <si>
    <t>20-30 minE</t>
  </si>
  <si>
    <t>4E</t>
  </si>
  <si>
    <t>12E + strides</t>
  </si>
  <si>
    <t>9-10 E</t>
  </si>
  <si>
    <t>9-10E</t>
  </si>
  <si>
    <t>9E</t>
  </si>
  <si>
    <t>12E + Strides</t>
  </si>
  <si>
    <t>7E + strides</t>
  </si>
  <si>
    <t>10 E + Strides</t>
  </si>
  <si>
    <t>10E</t>
  </si>
  <si>
    <t>4E + 3x[1T w/2min E] + 2E</t>
  </si>
  <si>
    <t>20-30 min E</t>
  </si>
  <si>
    <t>7E + Strides</t>
  </si>
  <si>
    <t>5E + strides</t>
  </si>
  <si>
    <t>5E + Strides</t>
  </si>
  <si>
    <t>12E</t>
  </si>
  <si>
    <t>6E + T4 + 4min rest + 4T + 1E</t>
  </si>
  <si>
    <t>Actual</t>
  </si>
  <si>
    <t>7E + 4x[2T w/2min rest] + 2E</t>
  </si>
  <si>
    <t>Weekly % Difference</t>
  </si>
  <si>
    <t>40-55</t>
  </si>
  <si>
    <t>7:30/mi</t>
  </si>
  <si>
    <t>6:33/mi</t>
  </si>
  <si>
    <t>6:27/mi</t>
  </si>
  <si>
    <t>8:01/mi</t>
  </si>
  <si>
    <t>8:40 - 9:50/mi</t>
  </si>
  <si>
    <t>Bonus: 12 Progression E to M at Waterton</t>
  </si>
  <si>
    <t>16E</t>
  </si>
  <si>
    <t>7:33 - 6:20/mi</t>
  </si>
  <si>
    <t>6:04/mi</t>
  </si>
  <si>
    <t>5:47/mi</t>
  </si>
  <si>
    <t>5:18/mi</t>
  </si>
  <si>
    <t>6:20 - 7:33/mi</t>
  </si>
  <si>
    <t>5:18/mi (3:18/1k)</t>
  </si>
  <si>
    <t>4:54/mi (1:13/400m)</t>
  </si>
  <si>
    <t>Ramp up to milage/safety first</t>
  </si>
  <si>
    <t>Citius Track Work</t>
  </si>
  <si>
    <t>Post-travel, listen to the body</t>
  </si>
  <si>
    <t>Count this in week 1</t>
  </si>
  <si>
    <t>Shoes</t>
  </si>
  <si>
    <t>70 mpw average (horiz line)</t>
  </si>
  <si>
    <t>Planned 7-day moving total</t>
  </si>
  <si>
    <t>Planned 7-day average</t>
  </si>
  <si>
    <t>7-day average</t>
  </si>
  <si>
    <t>7-day total</t>
  </si>
  <si>
    <t>4E + 8x(1km I w/400m rest)  + 2E</t>
  </si>
  <si>
    <t>71-85</t>
  </si>
  <si>
    <t>Mileage</t>
  </si>
  <si>
    <t>10E or Track</t>
  </si>
  <si>
    <t>5E + 6M + 1T + 5M + 3E</t>
  </si>
  <si>
    <t>Double 6E</t>
  </si>
  <si>
    <t>Tuesday Double</t>
  </si>
  <si>
    <t>missed - travel</t>
  </si>
  <si>
    <t>missed - travel/wedding</t>
  </si>
  <si>
    <t xml:space="preserve">4E+13M+1E or 1E + 3T + 10E + 3T + 1E </t>
  </si>
  <si>
    <t>only 2.5 up and 2 down</t>
  </si>
  <si>
    <t>11:11, 10:54, 10:53, 10:47</t>
  </si>
  <si>
    <t>2E + 8M + 1T + 2M + 1E + 2M + 2E</t>
  </si>
  <si>
    <t>4E + 8M + 1T + 4M + 1T + 2E</t>
  </si>
  <si>
    <t>8E + 4x[600 + 500 + 400 + 300 + 200] + 2E</t>
  </si>
  <si>
    <t>Intensity Points</t>
  </si>
  <si>
    <t>Factor Lookup</t>
  </si>
  <si>
    <t>7-Day Moving Total</t>
  </si>
  <si>
    <t>7-Day Moving Avg</t>
  </si>
  <si>
    <t>Weekly Total</t>
  </si>
  <si>
    <t>Elite</t>
  </si>
  <si>
    <t>College</t>
  </si>
  <si>
    <t>Adv HS</t>
  </si>
  <si>
    <t>Novice HS</t>
  </si>
  <si>
    <t>X</t>
  </si>
  <si>
    <t>Hot Laps</t>
  </si>
  <si>
    <t>Track (10 total)</t>
  </si>
  <si>
    <t>5-8E</t>
  </si>
  <si>
    <t>6-8E</t>
  </si>
  <si>
    <t>2E + 8M + 1T + 4M + 1T + 1M +2E</t>
  </si>
  <si>
    <t>10E (or shorter tempo)</t>
  </si>
  <si>
    <t>4E + 1T + 2M + 1T + 2M + 2E</t>
  </si>
  <si>
    <t>Half (wkout)</t>
  </si>
  <si>
    <t>10 mi (wkout)</t>
  </si>
  <si>
    <t>15k (wkout)</t>
  </si>
  <si>
    <t>10mi (test)</t>
  </si>
  <si>
    <t>g</t>
  </si>
  <si>
    <t>2:35:00 - Watch Program</t>
  </si>
  <si>
    <t>5km split</t>
  </si>
  <si>
    <t>Fast mile pace</t>
  </si>
  <si>
    <t>Slow mile pace</t>
  </si>
  <si>
    <t>9 (2.2km)</t>
  </si>
  <si>
    <t>5km Split Num</t>
  </si>
  <si>
    <t>Δ Plan</t>
  </si>
  <si>
    <t>+/- split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</si>
</sst>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4">
    <numFmt numFmtId="164" formatCode="d&quot;-&quot;mmm"/>
    <numFmt numFmtId="165" formatCode="#.0##"/>
    <numFmt numFmtId="166" formatCode="&quot;@ &quot;0.00"/>
    <numFmt numFmtId="167" formatCode="&quot;VDOT = &quot;0.00"/>
    <numFmt numFmtId="168" formatCode="m:ss"/>
    <numFmt numFmtId="169" formatCode="m:ss\ &quot;mile&quot;"/>
    <numFmt numFmtId="170" formatCode="m:ss\ &quot;km&quot;"/>
    <numFmt numFmtId="171" formatCode="0.0#&quot;k&quot;"/>
    <numFmt numFmtId="172" formatCode="&quot;Miles - &quot;0.00000"/>
    <numFmt numFmtId="173" formatCode="&quot;Meters -&quot;\ 0.0"/>
    <numFmt numFmtId="174" formatCode="0.00000"/>
    <numFmt numFmtId="175" formatCode="0.0%"/>
    <numFmt numFmtId="176" formatCode="&quot;% Vdot = &quot;0.0%"/>
    <numFmt numFmtId="177" formatCode="0.0"/>
    <numFmt numFmtId="178" formatCode="m:ss.000"/>
    <numFmt numFmtId="179" formatCode="[m]:ss"/>
    <numFmt numFmtId="180" formatCode="0.000"/>
    <numFmt numFmtId="181" formatCode="0.0\ \ \ \ "/>
    <numFmt numFmtId="182" formatCode="0.000000"/>
    <numFmt numFmtId="183" formatCode="&quot;HRmax&quot;\ \ \ 0"/>
    <numFmt numFmtId="184" formatCode="&quot;Rest HR &quot;\ \ 0"/>
    <numFmt numFmtId="185" formatCode="[h]:mm"/>
    <numFmt numFmtId="186" formatCode="0\ &quot;min&quot;"/>
    <numFmt numFmtId="187" formatCode="0&quot;°&quot;"/>
    <numFmt numFmtId="188" formatCode="&quot;(R)epetition :&quot;\ m:ss"/>
    <numFmt numFmtId="189" formatCode="&quot;(I)nterval :&quot;\ m:ss"/>
    <numFmt numFmtId="190" formatCode="&quot;(T)hreshold :&quot;\ m:ss"/>
    <numFmt numFmtId="191" formatCode="[h]:mm:ss;@"/>
    <numFmt numFmtId="192" formatCode="&quot;1500/Mile:&quot;\ m:ss"/>
    <numFmt numFmtId="193" formatCode="[m]:ss;@"/>
    <numFmt numFmtId="194" formatCode="&quot;5k Pace:&quot;\ [m]:ss"/>
    <numFmt numFmtId="195" formatCode="[m]:ss.0\ &quot;avg&quot;"/>
    <numFmt numFmtId="196" formatCode="&quot;10k Pace:&quot;\ [m]:ss"/>
    <numFmt numFmtId="197" formatCode="0\ &quot;Splits&quot;"/>
    <numFmt numFmtId="198" formatCode="&quot;x&quot;\ 0.0"/>
    <numFmt numFmtId="199" formatCode="&quot;-&quot;\ h:mm:ss"/>
    <numFmt numFmtId="200" formatCode="&quot;(vdot &quot;\ 0.0&quot;)&quot;"/>
    <numFmt numFmtId="201" formatCode="&quot;Age&quot;\ \ 0"/>
    <numFmt numFmtId="202" formatCode="&quot;BMI&quot;\ \ 0.00"/>
    <numFmt numFmtId="203" formatCode="0\°"/>
    <numFmt numFmtId="204" formatCode="[&gt;0.000694]m:ss;[s]"/>
    <numFmt numFmtId="205" formatCode="&quot;VDOT  =  &quot;0.0"/>
    <numFmt numFmtId="206" formatCode="&quot;Current Weight - &quot;0"/>
    <numFmt numFmtId="207" formatCode="&quot;BMI - &quot;0.00"/>
    <numFmt numFmtId="208" formatCode="&quot;VDOT - &quot;0.0"/>
    <numFmt numFmtId="209" formatCode="m:ss\ &quot;/mi&quot;"/>
    <numFmt numFmtId="210" formatCode="m:ss\ &quot;/km&quot;"/>
    <numFmt numFmtId="211" formatCode="0.000%"/>
    <numFmt numFmtId="212" formatCode="#,#00\ &quot;meters&quot;"/>
    <numFmt numFmtId="213" formatCode="0.00\ &quot;minutes&quot;"/>
    <numFmt numFmtId="214" formatCode="0.00\ &quot;m/min&quot;"/>
    <numFmt numFmtId="215" formatCode="0.0\ &quot;Mi&quot;"/>
    <numFmt numFmtId="216" formatCode="0.0000\ &quot;km&quot;"/>
    <numFmt numFmtId="217" formatCode="[h]:mm\ &quot;/mi&quot;"/>
    <numFmt numFmtId="218" formatCode="0.0\ &quot;lb&quot;"/>
    <numFmt numFmtId="219" formatCode="0.0000\ &quot;kg&quot;"/>
    <numFmt numFmtId="220" formatCode="0.0\ &quot;in&quot;"/>
    <numFmt numFmtId="221" formatCode="0.0000\ &quot;cm&quot;"/>
    <numFmt numFmtId="222" formatCode="0.0\ &quot;km&quot;"/>
    <numFmt numFmtId="223" formatCode="0.0000\ &quot;miles&quot;"/>
    <numFmt numFmtId="224" formatCode="[h]:mm\ &quot;/km&quot;"/>
    <numFmt numFmtId="225" formatCode="0.0\ &quot;kg&quot;"/>
    <numFmt numFmtId="226" formatCode="0.0000\ &quot;lb&quot;"/>
    <numFmt numFmtId="227" formatCode="0.0\ &quot;liters / min&quot;"/>
    <numFmt numFmtId="228" formatCode="0.0\ &quot;cm&quot;"/>
    <numFmt numFmtId="229" formatCode="0.0000\ &quot;in&quot;"/>
    <numFmt numFmtId="230" formatCode="0\ &quot;sec&quot;"/>
    <numFmt numFmtId="231" formatCode="0.00\ &quot;mph&quot;"/>
    <numFmt numFmtId="232" formatCode="0.00\ &quot;kph&quot;"/>
    <numFmt numFmtId="233" formatCode="[h]:mm\ &quot;pace&quot;"/>
    <numFmt numFmtId="234" formatCode="0.0\ &quot;mph&quot;"/>
    <numFmt numFmtId="235" formatCode="0.0\ &quot;kph&quot;"/>
    <numFmt numFmtId="236" formatCode="0.0000"/>
    <numFmt numFmtId="237" formatCode="0.0000000"/>
  </numFmts>
  <fonts count="75" x14ac:knownFonts="1">
    <font>
      <sz val="10"/>
      <color rgb="FF000000"/>
      <name val="Arial"/>
    </font>
    <font>
      <sz val="10"/>
      <name val="Arial"/>
      <family val="2"/>
    </font>
    <font>
      <sz val="10"/>
      <name val="Arial"/>
      <family val="2"/>
    </font>
    <font>
      <sz val="10"/>
      <color rgb="FF0000FF"/>
      <name val="Arial"/>
      <family val="2"/>
    </font>
    <font>
      <b/>
      <sz val="10"/>
      <name val="Arial"/>
      <family val="2"/>
    </font>
    <font>
      <sz val="10"/>
      <color rgb="FFFFFFFF"/>
      <name val="Arial"/>
      <family val="2"/>
    </font>
    <font>
      <sz val="8"/>
      <name val="Arial"/>
      <family val="2"/>
    </font>
    <font>
      <sz val="10"/>
      <color rgb="FF000000"/>
      <name val="Arial"/>
      <family val="2"/>
    </font>
    <font>
      <sz val="8"/>
      <color rgb="FF000000"/>
      <name val="Arial"/>
      <family val="2"/>
    </font>
    <font>
      <sz val="8"/>
      <color rgb="FF000000"/>
      <name val="Tahoma"/>
      <family val="2"/>
    </font>
    <font>
      <sz val="7"/>
      <color rgb="FF000000"/>
      <name val="Arial"/>
      <family val="2"/>
    </font>
    <font>
      <sz val="8"/>
      <color rgb="FF000000"/>
      <name val="Segoe UI"/>
      <family val="2"/>
    </font>
    <font>
      <u/>
      <sz val="10"/>
      <color theme="10"/>
      <name val="Arial"/>
      <family val="2"/>
    </font>
    <font>
      <sz val="9"/>
      <name val="Arial"/>
      <family val="2"/>
    </font>
    <font>
      <b/>
      <sz val="9"/>
      <color indexed="12"/>
      <name val="Arial"/>
      <family val="2"/>
    </font>
    <font>
      <b/>
      <sz val="8"/>
      <color indexed="12"/>
      <name val="Arial"/>
      <family val="2"/>
    </font>
    <font>
      <b/>
      <sz val="14"/>
      <name val="Arial"/>
      <family val="2"/>
    </font>
    <font>
      <sz val="7"/>
      <color theme="0" tint="-0.34998626667073579"/>
      <name val="Arial"/>
      <family val="2"/>
    </font>
    <font>
      <b/>
      <sz val="8"/>
      <name val="Arial"/>
      <family val="2"/>
    </font>
    <font>
      <sz val="10"/>
      <color indexed="22"/>
      <name val="Arial"/>
      <family val="2"/>
    </font>
    <font>
      <sz val="10"/>
      <color theme="0" tint="-0.24994659260841701"/>
      <name val="Arial"/>
      <family val="2"/>
    </font>
    <font>
      <sz val="7"/>
      <name val="Arial"/>
      <family val="2"/>
    </font>
    <font>
      <b/>
      <sz val="7"/>
      <name val="Arial"/>
      <family val="2"/>
    </font>
    <font>
      <sz val="8"/>
      <color indexed="10"/>
      <name val="Arial"/>
      <family val="2"/>
    </font>
    <font>
      <b/>
      <sz val="9"/>
      <name val="Arial"/>
      <family val="2"/>
    </font>
    <font>
      <u/>
      <sz val="8"/>
      <name val="Arial"/>
      <family val="2"/>
    </font>
    <font>
      <sz val="6"/>
      <name val="Arial"/>
      <family val="2"/>
    </font>
    <font>
      <b/>
      <sz val="8"/>
      <color indexed="10"/>
      <name val="Arial"/>
      <family val="2"/>
    </font>
    <font>
      <b/>
      <sz val="8"/>
      <color rgb="FFFF0000"/>
      <name val="Arial"/>
      <family val="2"/>
    </font>
    <font>
      <sz val="10"/>
      <color theme="0"/>
      <name val="Arial"/>
      <family val="2"/>
    </font>
    <font>
      <b/>
      <sz val="8"/>
      <color theme="9" tint="0.59996337778862885"/>
      <name val="Arial"/>
      <family val="2"/>
    </font>
    <font>
      <sz val="6"/>
      <color theme="0" tint="-0.24994659260841701"/>
      <name val="Arial"/>
      <family val="2"/>
    </font>
    <font>
      <b/>
      <sz val="9"/>
      <color indexed="15"/>
      <name val="Arial"/>
      <family val="2"/>
    </font>
    <font>
      <b/>
      <sz val="8"/>
      <color indexed="15"/>
      <name val="Arial"/>
      <family val="2"/>
    </font>
    <font>
      <sz val="8"/>
      <color theme="0" tint="-0.24994659260841701"/>
      <name val="Arial"/>
      <family val="2"/>
    </font>
    <font>
      <b/>
      <sz val="8"/>
      <color theme="0" tint="-0.24994659260841701"/>
      <name val="Arial"/>
      <family val="2"/>
    </font>
    <font>
      <sz val="10"/>
      <color theme="0" tint="-0.499984740745262"/>
      <name val="Arial"/>
      <family val="2"/>
    </font>
    <font>
      <u/>
      <sz val="8"/>
      <color indexed="12"/>
      <name val="Arial"/>
      <family val="2"/>
    </font>
    <font>
      <sz val="9"/>
      <color theme="0" tint="-0.24994659260841701"/>
      <name val="Arial"/>
      <family val="2"/>
    </font>
    <font>
      <sz val="8"/>
      <color theme="0" tint="-0.34998626667073579"/>
      <name val="Arial"/>
      <family val="2"/>
    </font>
    <font>
      <b/>
      <sz val="10"/>
      <color indexed="22"/>
      <name val="Arial"/>
      <family val="2"/>
    </font>
    <font>
      <b/>
      <sz val="9"/>
      <color indexed="60"/>
      <name val="Arial"/>
      <family val="2"/>
    </font>
    <font>
      <b/>
      <sz val="10"/>
      <color theme="0" tint="-0.24994659260841701"/>
      <name val="Arial"/>
      <family val="2"/>
    </font>
    <font>
      <b/>
      <sz val="8"/>
      <name val="Tahoma"/>
      <family val="2"/>
    </font>
    <font>
      <sz val="9"/>
      <name val="Tahoma"/>
      <family val="2"/>
    </font>
    <font>
      <sz val="8"/>
      <color indexed="12"/>
      <name val="Arial"/>
      <family val="2"/>
    </font>
    <font>
      <b/>
      <sz val="8"/>
      <color indexed="22"/>
      <name val="Arial"/>
      <family val="2"/>
    </font>
    <font>
      <b/>
      <u/>
      <sz val="9"/>
      <name val="Arial"/>
      <family val="2"/>
    </font>
    <font>
      <sz val="7.5"/>
      <name val="Arial"/>
      <family val="2"/>
    </font>
    <font>
      <sz val="9"/>
      <color indexed="49"/>
      <name val="Arial"/>
      <family val="2"/>
    </font>
    <font>
      <b/>
      <u/>
      <sz val="10"/>
      <color indexed="12"/>
      <name val="Arial"/>
      <family val="2"/>
    </font>
    <font>
      <b/>
      <sz val="10"/>
      <color indexed="12"/>
      <name val="Arial"/>
      <family val="2"/>
    </font>
    <font>
      <sz val="7"/>
      <color indexed="40"/>
      <name val="Arial"/>
      <family val="2"/>
    </font>
    <font>
      <sz val="8"/>
      <color indexed="22"/>
      <name val="Arial"/>
      <family val="2"/>
    </font>
    <font>
      <b/>
      <u/>
      <sz val="10"/>
      <color rgb="FF0000FF"/>
      <name val="Arial"/>
      <family val="2"/>
    </font>
    <font>
      <sz val="8"/>
      <color indexed="55"/>
      <name val="Arial"/>
      <family val="2"/>
    </font>
    <font>
      <b/>
      <sz val="10"/>
      <color indexed="51"/>
      <name val="Arial"/>
      <family val="2"/>
    </font>
    <font>
      <b/>
      <sz val="7"/>
      <color rgb="FF99CCFF"/>
      <name val="Arial"/>
      <family val="2"/>
    </font>
    <font>
      <sz val="9"/>
      <color indexed="44"/>
      <name val="Arial"/>
      <family val="2"/>
    </font>
    <font>
      <sz val="9"/>
      <color indexed="12"/>
      <name val="Arial"/>
      <family val="2"/>
    </font>
    <font>
      <b/>
      <sz val="9"/>
      <color rgb="FFCCCCFF"/>
      <name val="Arial"/>
      <family val="2"/>
    </font>
    <font>
      <sz val="12"/>
      <name val="Arial"/>
      <family val="2"/>
    </font>
    <font>
      <b/>
      <sz val="12"/>
      <color indexed="12"/>
      <name val="Arial"/>
      <family val="2"/>
    </font>
    <font>
      <sz val="8"/>
      <color rgb="FF0000FF"/>
      <name val="Arial"/>
      <family val="2"/>
    </font>
    <font>
      <b/>
      <sz val="10"/>
      <color theme="0"/>
      <name val="Arial"/>
      <family val="2"/>
    </font>
    <font>
      <b/>
      <sz val="10"/>
      <color indexed="60"/>
      <name val="Arial"/>
      <family val="2"/>
    </font>
    <font>
      <sz val="9"/>
      <color indexed="81"/>
      <name val="Tahoma"/>
      <family val="2"/>
    </font>
    <font>
      <b/>
      <sz val="9"/>
      <color indexed="81"/>
      <name val="Tahoma"/>
      <family val="2"/>
    </font>
    <font>
      <u/>
      <sz val="9"/>
      <color indexed="81"/>
      <name val="Tahoma"/>
      <family val="2"/>
    </font>
    <font>
      <sz val="10"/>
      <color indexed="81"/>
      <name val="Tahoma"/>
      <family val="2"/>
    </font>
    <font>
      <b/>
      <sz val="10"/>
      <color indexed="81"/>
      <name val="Tahoma"/>
      <family val="2"/>
    </font>
    <font>
      <sz val="8"/>
      <color indexed="81"/>
      <name val="Tahoma"/>
      <family val="2"/>
    </font>
    <font>
      <b/>
      <sz val="8"/>
      <color indexed="81"/>
      <name val="Tahoma"/>
      <family val="2"/>
    </font>
    <font>
      <b/>
      <sz val="11"/>
      <color theme="1"/>
      <name val="Calibri"/>
      <family val="2"/>
    </font>
    <font>
      <b/>
      <sz val="10"/>
      <color theme="1"/>
      <name val="Calibri"/>
      <family val="2"/>
    </font>
  </fonts>
  <fills count="38">
    <fill>
      <patternFill patternType="none"/>
    </fill>
    <fill>
      <patternFill patternType="gray125"/>
    </fill>
    <fill>
      <patternFill patternType="solid">
        <fgColor rgb="FFCFE2F3"/>
        <bgColor rgb="FFCFE2F3"/>
      </patternFill>
    </fill>
    <fill>
      <patternFill patternType="solid">
        <fgColor rgb="FFF4CCCC"/>
        <bgColor rgb="FFF4CCCC"/>
      </patternFill>
    </fill>
    <fill>
      <patternFill patternType="solid">
        <fgColor theme="0" tint="-4.9989318521683403E-2"/>
        <bgColor indexed="64"/>
      </patternFill>
    </fill>
    <fill>
      <patternFill patternType="solid">
        <fgColor theme="7" tint="0.79998168889431442"/>
        <bgColor indexed="64"/>
      </patternFill>
    </fill>
    <fill>
      <patternFill patternType="solid">
        <fgColor indexed="22"/>
        <bgColor indexed="64"/>
      </patternFill>
    </fill>
    <fill>
      <patternFill patternType="solid">
        <fgColor indexed="9"/>
        <bgColor indexed="64"/>
      </patternFill>
    </fill>
    <fill>
      <patternFill patternType="solid">
        <fgColor theme="5" tint="0.79998168889431442"/>
        <bgColor indexed="64"/>
      </patternFill>
    </fill>
    <fill>
      <patternFill patternType="solid">
        <fgColor theme="0" tint="-0.24994659260841701"/>
        <bgColor indexed="64"/>
      </patternFill>
    </fill>
    <fill>
      <patternFill patternType="solid">
        <fgColor theme="8" tint="0.59996337778862885"/>
        <bgColor indexed="64"/>
      </patternFill>
    </fill>
    <fill>
      <patternFill patternType="solid">
        <fgColor indexed="43"/>
        <bgColor indexed="64"/>
      </patternFill>
    </fill>
    <fill>
      <patternFill patternType="solid">
        <fgColor indexed="49"/>
        <bgColor indexed="64"/>
      </patternFill>
    </fill>
    <fill>
      <patternFill patternType="solid">
        <fgColor rgb="FF00CCFF"/>
        <bgColor indexed="64"/>
      </patternFill>
    </fill>
    <fill>
      <patternFill patternType="solid">
        <fgColor indexed="40"/>
        <bgColor indexed="64"/>
      </patternFill>
    </fill>
    <fill>
      <patternFill patternType="solid">
        <fgColor rgb="FF99CCFF"/>
        <bgColor indexed="64"/>
      </patternFill>
    </fill>
    <fill>
      <patternFill patternType="solid">
        <fgColor indexed="44"/>
        <bgColor indexed="64"/>
      </patternFill>
    </fill>
    <fill>
      <patternFill patternType="solid">
        <fgColor indexed="31"/>
        <bgColor indexed="64"/>
      </patternFill>
    </fill>
    <fill>
      <patternFill patternType="solid">
        <fgColor theme="9" tint="0.59996337778862885"/>
        <bgColor indexed="64"/>
      </patternFill>
    </fill>
    <fill>
      <patternFill patternType="solid">
        <fgColor indexed="42"/>
        <bgColor indexed="64"/>
      </patternFill>
    </fill>
    <fill>
      <patternFill patternType="solid">
        <fgColor indexed="41"/>
        <bgColor indexed="64"/>
      </patternFill>
    </fill>
    <fill>
      <patternFill patternType="solid">
        <fgColor indexed="15"/>
        <bgColor indexed="64"/>
      </patternFill>
    </fill>
    <fill>
      <patternFill patternType="solid">
        <fgColor indexed="26"/>
        <bgColor indexed="64"/>
      </patternFill>
    </fill>
    <fill>
      <patternFill patternType="solid">
        <fgColor indexed="47"/>
        <bgColor indexed="64"/>
      </patternFill>
    </fill>
    <fill>
      <patternFill patternType="solid">
        <fgColor indexed="45"/>
        <bgColor indexed="64"/>
      </patternFill>
    </fill>
    <fill>
      <patternFill patternType="solid">
        <fgColor indexed="46"/>
        <bgColor indexed="64"/>
      </patternFill>
    </fill>
    <fill>
      <patternFill patternType="solid">
        <fgColor indexed="48"/>
        <bgColor indexed="64"/>
      </patternFill>
    </fill>
    <fill>
      <patternFill patternType="solid">
        <fgColor indexed="55"/>
        <bgColor indexed="64"/>
      </patternFill>
    </fill>
    <fill>
      <patternFill patternType="solid">
        <fgColor indexed="13"/>
        <bgColor indexed="64"/>
      </patternFill>
    </fill>
    <fill>
      <patternFill patternType="solid">
        <fgColor rgb="FFFF6600"/>
        <bgColor indexed="64"/>
      </patternFill>
    </fill>
    <fill>
      <patternFill patternType="solid">
        <fgColor indexed="52"/>
        <bgColor indexed="64"/>
      </patternFill>
    </fill>
    <fill>
      <patternFill patternType="solid">
        <fgColor theme="0" tint="-0.14996795556505021"/>
        <bgColor indexed="64"/>
      </patternFill>
    </fill>
    <fill>
      <patternFill patternType="solid">
        <fgColor indexed="51"/>
        <bgColor indexed="64"/>
      </patternFill>
    </fill>
    <fill>
      <patternFill patternType="solid">
        <fgColor rgb="FFFFCC99"/>
        <bgColor indexed="64"/>
      </patternFill>
    </fill>
    <fill>
      <patternFill patternType="solid">
        <fgColor rgb="FFFF9900"/>
        <bgColor indexed="64"/>
      </patternFill>
    </fill>
    <fill>
      <patternFill patternType="solid">
        <fgColor rgb="FFCCCCFF"/>
        <bgColor indexed="64"/>
      </patternFill>
    </fill>
    <fill>
      <patternFill patternType="solid">
        <fgColor theme="0" tint="-0.14999847407452621"/>
        <bgColor indexed="64"/>
      </patternFill>
    </fill>
    <fill>
      <patternFill patternType="solid">
        <fgColor rgb="FFFFCCCC"/>
        <bgColor indexed="64"/>
      </patternFill>
    </fill>
  </fills>
  <borders count="279">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ck">
        <color indexed="64"/>
      </left>
      <right style="thin">
        <color indexed="64"/>
      </right>
      <top style="thick">
        <color indexed="64"/>
      </top>
      <bottom/>
      <diagonal/>
    </border>
    <border>
      <left style="thin">
        <color indexed="64"/>
      </left>
      <right style="medium">
        <color indexed="64"/>
      </right>
      <top style="thick">
        <color indexed="64"/>
      </top>
      <bottom style="thin">
        <color indexed="64"/>
      </bottom>
      <diagonal/>
    </border>
    <border>
      <left style="medium">
        <color indexed="64"/>
      </left>
      <right style="thin">
        <color indexed="64"/>
      </right>
      <top style="thick">
        <color indexed="64"/>
      </top>
      <bottom/>
      <diagonal/>
    </border>
    <border>
      <left/>
      <right/>
      <top style="thick">
        <color indexed="64"/>
      </top>
      <bottom/>
      <diagonal/>
    </border>
    <border>
      <left/>
      <right/>
      <top style="thick">
        <color indexed="64"/>
      </top>
      <bottom style="medium">
        <color indexed="64"/>
      </bottom>
      <diagonal/>
    </border>
    <border>
      <left/>
      <right style="thick">
        <color indexed="64"/>
      </right>
      <top style="thick">
        <color indexed="64"/>
      </top>
      <bottom style="medium">
        <color indexed="64"/>
      </bottom>
      <diagonal/>
    </border>
    <border>
      <left style="thick">
        <color indexed="64"/>
      </left>
      <right style="thin">
        <color indexed="64"/>
      </right>
      <top/>
      <bottom/>
      <diagonal/>
    </border>
    <border>
      <left style="thin">
        <color indexed="64"/>
      </left>
      <right style="medium">
        <color indexed="64"/>
      </right>
      <top style="thin">
        <color indexed="64"/>
      </top>
      <bottom style="thin">
        <color indexed="64"/>
      </bottom>
      <diagonal/>
    </border>
    <border>
      <left/>
      <right style="thin">
        <color indexed="64"/>
      </right>
      <top/>
      <bottom/>
      <diagonal/>
    </border>
    <border>
      <left style="thin">
        <color indexed="64"/>
      </left>
      <right style="medium">
        <color indexed="64"/>
      </right>
      <top style="thin">
        <color indexed="64"/>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thick">
        <color indexed="64"/>
      </right>
      <top style="medium">
        <color indexed="64"/>
      </top>
      <bottom style="thin">
        <color indexed="64"/>
      </bottom>
      <diagonal/>
    </border>
    <border>
      <left style="thick">
        <color indexed="64"/>
      </left>
      <right/>
      <top/>
      <bottom style="medium">
        <color indexed="64"/>
      </bottom>
      <diagonal/>
    </border>
    <border>
      <left/>
      <right style="medium">
        <color indexed="64"/>
      </right>
      <top/>
      <bottom style="medium">
        <color indexed="64"/>
      </bottom>
      <diagonal/>
    </border>
    <border>
      <left style="medium">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style="thin">
        <color indexed="64"/>
      </bottom>
      <diagonal/>
    </border>
    <border>
      <left style="medium">
        <color indexed="64"/>
      </left>
      <right/>
      <top style="thin">
        <color indexed="64"/>
      </top>
      <bottom/>
      <diagonal/>
    </border>
    <border>
      <left/>
      <right/>
      <top style="thin">
        <color auto="1"/>
      </top>
      <bottom/>
      <diagonal/>
    </border>
    <border>
      <left/>
      <right style="thick">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ck">
        <color indexed="64"/>
      </left>
      <right/>
      <top style="medium">
        <color indexed="64"/>
      </top>
      <bottom/>
      <diagonal/>
    </border>
    <border>
      <left/>
      <right/>
      <top style="medium">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medium">
        <color indexed="64"/>
      </left>
      <right/>
      <top/>
      <bottom style="thin">
        <color indexed="64"/>
      </bottom>
      <diagonal/>
    </border>
    <border>
      <left/>
      <right/>
      <top/>
      <bottom style="thin">
        <color indexed="64"/>
      </bottom>
      <diagonal/>
    </border>
    <border>
      <left/>
      <right style="thick">
        <color indexed="64"/>
      </right>
      <top/>
      <bottom/>
      <diagonal/>
    </border>
    <border>
      <left/>
      <right style="thick">
        <color indexed="64"/>
      </right>
      <top style="thick">
        <color indexed="64"/>
      </top>
      <bottom style="thick">
        <color indexed="64"/>
      </bottom>
      <diagonal/>
    </border>
    <border>
      <left style="thick">
        <color indexed="64"/>
      </left>
      <right/>
      <top/>
      <bottom style="thick">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right style="medium">
        <color indexed="64"/>
      </right>
      <top style="medium">
        <color indexed="64"/>
      </top>
      <bottom/>
      <diagonal/>
    </border>
    <border>
      <left/>
      <right style="medium">
        <color indexed="64"/>
      </right>
      <top/>
      <bottom style="thick">
        <color indexed="64"/>
      </bottom>
      <diagonal/>
    </border>
    <border>
      <left style="medium">
        <color indexed="64"/>
      </left>
      <right/>
      <top style="medium">
        <color indexed="64"/>
      </top>
      <bottom/>
      <diagonal/>
    </border>
    <border>
      <left style="medium">
        <color indexed="64"/>
      </left>
      <right/>
      <top style="thin">
        <color indexed="64"/>
      </top>
      <bottom style="thick">
        <color indexed="64"/>
      </bottom>
      <diagonal/>
    </border>
    <border>
      <left/>
      <right/>
      <top style="thin">
        <color indexed="64"/>
      </top>
      <bottom style="thick">
        <color indexed="64"/>
      </bottom>
      <diagonal/>
    </border>
    <border>
      <left/>
      <right style="thin">
        <color indexed="64"/>
      </right>
      <top style="thin">
        <color indexed="64"/>
      </top>
      <bottom style="thick">
        <color indexed="64"/>
      </bottom>
      <diagonal/>
    </border>
    <border>
      <left style="thin">
        <color indexed="64"/>
      </left>
      <right/>
      <top/>
      <bottom style="thick">
        <color indexed="64"/>
      </bottom>
      <diagonal/>
    </border>
    <border>
      <left style="thin">
        <color indexed="64"/>
      </left>
      <right style="medium">
        <color indexed="64"/>
      </right>
      <top/>
      <bottom style="thick">
        <color indexed="64"/>
      </bottom>
      <diagonal/>
    </border>
    <border>
      <left style="medium">
        <color indexed="64"/>
      </left>
      <right/>
      <top style="medium">
        <color indexed="64"/>
      </top>
      <bottom style="thick">
        <color indexed="64"/>
      </bottom>
      <diagonal/>
    </border>
    <border>
      <left/>
      <right style="thin">
        <color indexed="64"/>
      </right>
      <top style="medium">
        <color indexed="64"/>
      </top>
      <bottom style="thick">
        <color indexed="64"/>
      </bottom>
      <diagonal/>
    </border>
    <border>
      <left style="thin">
        <color indexed="64"/>
      </left>
      <right style="thick">
        <color indexed="64"/>
      </right>
      <top style="medium">
        <color indexed="64"/>
      </top>
      <bottom style="thick">
        <color indexed="64"/>
      </bottom>
      <diagonal/>
    </border>
    <border>
      <left/>
      <right style="thick">
        <color indexed="64"/>
      </right>
      <top style="thick">
        <color indexed="64"/>
      </top>
      <bottom style="thin">
        <color indexed="64"/>
      </bottom>
      <diagonal/>
    </border>
    <border>
      <left style="thick">
        <color indexed="64"/>
      </left>
      <right/>
      <top style="thick">
        <color indexed="64"/>
      </top>
      <bottom/>
      <diagonal/>
    </border>
    <border>
      <left style="medium">
        <color indexed="64"/>
      </left>
      <right/>
      <top style="thick">
        <color indexed="64"/>
      </top>
      <bottom style="medium">
        <color indexed="64"/>
      </bottom>
      <diagonal/>
    </border>
    <border>
      <left/>
      <right style="medium">
        <color indexed="64"/>
      </right>
      <top style="thick">
        <color indexed="64"/>
      </top>
      <bottom style="medium">
        <color indexed="64"/>
      </bottom>
      <diagonal/>
    </border>
    <border>
      <left style="medium">
        <color indexed="64"/>
      </left>
      <right style="medium">
        <color indexed="64"/>
      </right>
      <top style="thick">
        <color indexed="64"/>
      </top>
      <bottom style="medium">
        <color indexed="64"/>
      </bottom>
      <diagonal/>
    </border>
    <border>
      <left style="thick">
        <color indexed="64"/>
      </left>
      <right style="medium">
        <color indexed="64"/>
      </right>
      <top style="thick">
        <color indexed="64"/>
      </top>
      <bottom style="medium">
        <color indexed="64"/>
      </bottom>
      <diagonal/>
    </border>
    <border>
      <left style="medium">
        <color indexed="64"/>
      </left>
      <right style="thick">
        <color indexed="64"/>
      </right>
      <top style="thick">
        <color indexed="64"/>
      </top>
      <bottom style="medium">
        <color indexed="64"/>
      </bottom>
      <diagonal/>
    </border>
    <border>
      <left style="thick">
        <color indexed="64"/>
      </left>
      <right style="thick">
        <color indexed="64"/>
      </right>
      <top/>
      <bottom style="medium">
        <color indexed="64"/>
      </bottom>
      <diagonal/>
    </border>
    <border>
      <left style="thick">
        <color indexed="64"/>
      </left>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ck">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thick">
        <color indexed="64"/>
      </right>
      <top style="medium">
        <color indexed="64"/>
      </top>
      <bottom style="thin">
        <color indexed="64"/>
      </bottom>
      <diagonal/>
    </border>
    <border>
      <left style="thick">
        <color indexed="64"/>
      </left>
      <right style="thick">
        <color indexed="64"/>
      </right>
      <top style="medium">
        <color indexed="64"/>
      </top>
      <bottom style="thin">
        <color indexed="64"/>
      </bottom>
      <diagonal/>
    </border>
    <border>
      <left/>
      <right style="medium">
        <color indexed="64"/>
      </right>
      <top style="thin">
        <color indexed="64"/>
      </top>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right/>
      <top style="thin">
        <color indexed="64"/>
      </top>
      <bottom style="medium">
        <color indexed="64"/>
      </bottom>
      <diagonal/>
    </border>
    <border>
      <left style="thick">
        <color indexed="64"/>
      </left>
      <right style="medium">
        <color indexed="64"/>
      </right>
      <top style="thin">
        <color indexed="64"/>
      </top>
      <bottom/>
      <diagonal/>
    </border>
    <border>
      <left style="medium">
        <color indexed="64"/>
      </left>
      <right style="medium">
        <color indexed="64"/>
      </right>
      <top style="thin">
        <color indexed="64"/>
      </top>
      <bottom/>
      <diagonal/>
    </border>
    <border>
      <left style="medium">
        <color indexed="64"/>
      </left>
      <right style="thick">
        <color indexed="64"/>
      </right>
      <top style="thin">
        <color indexed="64"/>
      </top>
      <bottom/>
      <diagonal/>
    </border>
    <border>
      <left style="thick">
        <color indexed="64"/>
      </left>
      <right style="thick">
        <color indexed="64"/>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style="thick">
        <color indexed="64"/>
      </right>
      <top style="medium">
        <color indexed="64"/>
      </top>
      <bottom style="medium">
        <color indexed="64"/>
      </bottom>
      <diagonal/>
    </border>
    <border>
      <left style="thick">
        <color indexed="64"/>
      </left>
      <right style="medium">
        <color indexed="64"/>
      </right>
      <top style="medium">
        <color indexed="64"/>
      </top>
      <bottom style="medium">
        <color indexed="64"/>
      </bottom>
      <diagonal/>
    </border>
    <border>
      <left style="thick">
        <color indexed="64"/>
      </left>
      <right style="thick">
        <color indexed="64"/>
      </right>
      <top style="medium">
        <color indexed="64"/>
      </top>
      <bottom style="medium">
        <color indexed="64"/>
      </bottom>
      <diagonal/>
    </border>
    <border>
      <left style="medium">
        <color indexed="64"/>
      </left>
      <right style="medium">
        <color indexed="64"/>
      </right>
      <top style="medium">
        <color indexed="64"/>
      </top>
      <bottom/>
      <diagonal/>
    </border>
    <border>
      <left style="thick">
        <color indexed="64"/>
      </left>
      <right style="medium">
        <color indexed="64"/>
      </right>
      <top style="medium">
        <color indexed="64"/>
      </top>
      <bottom/>
      <diagonal/>
    </border>
    <border>
      <left style="thick">
        <color indexed="64"/>
      </left>
      <right style="thick">
        <color indexed="64"/>
      </right>
      <top style="medium">
        <color indexed="64"/>
      </top>
      <bottom/>
      <diagonal/>
    </border>
    <border>
      <left style="thick">
        <color indexed="64"/>
      </left>
      <right/>
      <top/>
      <bottom/>
      <diagonal/>
    </border>
    <border>
      <left style="thick">
        <color indexed="64"/>
      </left>
      <right style="thin">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ck">
        <color indexed="64"/>
      </left>
      <right style="medium">
        <color indexed="64"/>
      </right>
      <top style="thin">
        <color indexed="64"/>
      </top>
      <bottom style="medium">
        <color indexed="64"/>
      </bottom>
      <diagonal/>
    </border>
    <border>
      <left style="medium">
        <color indexed="64"/>
      </left>
      <right style="thick">
        <color indexed="64"/>
      </right>
      <top style="thin">
        <color indexed="64"/>
      </top>
      <bottom style="medium">
        <color indexed="64"/>
      </bottom>
      <diagonal/>
    </border>
    <border>
      <left style="thick">
        <color indexed="64"/>
      </left>
      <right style="thick">
        <color indexed="64"/>
      </right>
      <top style="thin">
        <color indexed="64"/>
      </top>
      <bottom style="medium">
        <color indexed="64"/>
      </bottom>
      <diagonal/>
    </border>
    <border>
      <left style="thick">
        <color indexed="64"/>
      </left>
      <right/>
      <top style="medium">
        <color indexed="64"/>
      </top>
      <bottom style="thick">
        <color indexed="64"/>
      </bottom>
      <diagonal/>
    </border>
    <border>
      <left/>
      <right/>
      <top style="medium">
        <color indexed="64"/>
      </top>
      <bottom style="thick">
        <color indexed="64"/>
      </bottom>
      <diagonal/>
    </border>
    <border>
      <left/>
      <right style="medium">
        <color indexed="64"/>
      </right>
      <top style="medium">
        <color indexed="64"/>
      </top>
      <bottom style="thick">
        <color indexed="64"/>
      </bottom>
      <diagonal/>
    </border>
    <border>
      <left style="thick">
        <color indexed="64"/>
      </left>
      <right style="medium">
        <color indexed="64"/>
      </right>
      <top style="medium">
        <color indexed="64"/>
      </top>
      <bottom style="thick">
        <color indexed="64"/>
      </bottom>
      <diagonal/>
    </border>
    <border>
      <left style="medium">
        <color indexed="64"/>
      </left>
      <right style="medium">
        <color indexed="64"/>
      </right>
      <top style="medium">
        <color indexed="64"/>
      </top>
      <bottom style="thick">
        <color indexed="64"/>
      </bottom>
      <diagonal/>
    </border>
    <border>
      <left style="medium">
        <color indexed="64"/>
      </left>
      <right style="thick">
        <color indexed="64"/>
      </right>
      <top style="medium">
        <color indexed="64"/>
      </top>
      <bottom style="thick">
        <color indexed="64"/>
      </bottom>
      <diagonal/>
    </border>
    <border>
      <left style="thick">
        <color indexed="64"/>
      </left>
      <right style="thick">
        <color indexed="64"/>
      </right>
      <top style="medium">
        <color indexed="64"/>
      </top>
      <bottom style="thick">
        <color indexed="64"/>
      </bottom>
      <diagonal/>
    </border>
    <border>
      <left/>
      <right/>
      <top/>
      <bottom style="thick">
        <color indexed="64"/>
      </bottom>
      <diagonal/>
    </border>
    <border>
      <left style="thick">
        <color indexed="64"/>
      </left>
      <right/>
      <top style="thick">
        <color indexed="64"/>
      </top>
      <bottom style="medium">
        <color indexed="64"/>
      </bottom>
      <diagonal/>
    </border>
    <border>
      <left style="medium">
        <color indexed="64"/>
      </left>
      <right style="dashed">
        <color indexed="64"/>
      </right>
      <top style="thick">
        <color indexed="64"/>
      </top>
      <bottom style="medium">
        <color indexed="64"/>
      </bottom>
      <diagonal/>
    </border>
    <border>
      <left style="dashed">
        <color indexed="64"/>
      </left>
      <right style="dashed">
        <color indexed="64"/>
      </right>
      <top style="thick">
        <color indexed="64"/>
      </top>
      <bottom style="medium">
        <color indexed="64"/>
      </bottom>
      <diagonal/>
    </border>
    <border>
      <left style="dashed">
        <color indexed="64"/>
      </left>
      <right style="medium">
        <color indexed="64"/>
      </right>
      <top style="thick">
        <color indexed="64"/>
      </top>
      <bottom style="medium">
        <color indexed="64"/>
      </bottom>
      <diagonal/>
    </border>
    <border>
      <left style="dashed">
        <color indexed="64"/>
      </left>
      <right/>
      <top style="thick">
        <color indexed="64"/>
      </top>
      <bottom style="medium">
        <color indexed="64"/>
      </bottom>
      <diagonal/>
    </border>
    <border>
      <left/>
      <right style="medium">
        <color indexed="64"/>
      </right>
      <top/>
      <bottom/>
      <diagonal/>
    </border>
    <border>
      <left style="medium">
        <color indexed="64"/>
      </left>
      <right style="medium">
        <color indexed="64"/>
      </right>
      <top/>
      <bottom style="thin">
        <color indexed="64"/>
      </bottom>
      <diagonal/>
    </border>
    <border>
      <left style="medium">
        <color indexed="64"/>
      </left>
      <right style="dashed">
        <color indexed="64"/>
      </right>
      <top/>
      <bottom style="thin">
        <color indexed="64"/>
      </bottom>
      <diagonal/>
    </border>
    <border>
      <left style="dashed">
        <color indexed="64"/>
      </left>
      <right style="dashed">
        <color indexed="64"/>
      </right>
      <top/>
      <bottom style="thin">
        <color indexed="64"/>
      </bottom>
      <diagonal/>
    </border>
    <border>
      <left style="dashed">
        <color indexed="64"/>
      </left>
      <right/>
      <top/>
      <bottom style="thin">
        <color indexed="64"/>
      </bottom>
      <diagonal/>
    </border>
    <border>
      <left style="thick">
        <color indexed="64"/>
      </left>
      <right style="medium">
        <color indexed="64"/>
      </right>
      <top/>
      <bottom style="thin">
        <color indexed="64"/>
      </bottom>
      <diagonal/>
    </border>
    <border>
      <left style="dashed">
        <color indexed="64"/>
      </left>
      <right style="medium">
        <color indexed="64"/>
      </right>
      <top/>
      <bottom style="thin">
        <color indexed="64"/>
      </bottom>
      <diagonal/>
    </border>
    <border>
      <left style="medium">
        <color indexed="64"/>
      </left>
      <right style="thick">
        <color indexed="64"/>
      </right>
      <top/>
      <bottom style="thin">
        <color indexed="64"/>
      </bottom>
      <diagonal/>
    </border>
    <border>
      <left style="medium">
        <color indexed="64"/>
      </left>
      <right style="dashed">
        <color indexed="64"/>
      </right>
      <top style="thin">
        <color indexed="64"/>
      </top>
      <bottom style="thin">
        <color indexed="64"/>
      </bottom>
      <diagonal/>
    </border>
    <border>
      <left style="dashed">
        <color indexed="64"/>
      </left>
      <right style="dashed">
        <color indexed="64"/>
      </right>
      <top style="thin">
        <color indexed="64"/>
      </top>
      <bottom style="thin">
        <color indexed="64"/>
      </bottom>
      <diagonal/>
    </border>
    <border>
      <left style="dashed">
        <color indexed="64"/>
      </left>
      <right/>
      <top style="thin">
        <color indexed="64"/>
      </top>
      <bottom style="thin">
        <color indexed="64"/>
      </bottom>
      <diagonal/>
    </border>
    <border>
      <left style="thick">
        <color indexed="64"/>
      </left>
      <right style="medium">
        <color indexed="64"/>
      </right>
      <top style="thin">
        <color indexed="64"/>
      </top>
      <bottom style="thin">
        <color indexed="64"/>
      </bottom>
      <diagonal/>
    </border>
    <border>
      <left style="dashed">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thick">
        <color indexed="64"/>
      </right>
      <top style="thin">
        <color indexed="64"/>
      </top>
      <bottom style="thin">
        <color indexed="64"/>
      </bottom>
      <diagonal/>
    </border>
    <border>
      <left style="medium">
        <color indexed="64"/>
      </left>
      <right style="medium">
        <color indexed="64"/>
      </right>
      <top/>
      <bottom style="medium">
        <color indexed="64"/>
      </bottom>
      <diagonal/>
    </border>
    <border>
      <left style="medium">
        <color indexed="64"/>
      </left>
      <right style="dashed">
        <color indexed="64"/>
      </right>
      <top style="thin">
        <color indexed="64"/>
      </top>
      <bottom style="medium">
        <color indexed="64"/>
      </bottom>
      <diagonal/>
    </border>
    <border>
      <left style="dashed">
        <color indexed="64"/>
      </left>
      <right style="dashed">
        <color indexed="64"/>
      </right>
      <top style="thin">
        <color indexed="64"/>
      </top>
      <bottom style="medium">
        <color indexed="64"/>
      </bottom>
      <diagonal/>
    </border>
    <border>
      <left style="dashed">
        <color indexed="64"/>
      </left>
      <right/>
      <top style="thin">
        <color indexed="64"/>
      </top>
      <bottom style="medium">
        <color indexed="64"/>
      </bottom>
      <diagonal/>
    </border>
    <border>
      <left style="dashed">
        <color indexed="64"/>
      </left>
      <right style="medium">
        <color indexed="64"/>
      </right>
      <top style="thin">
        <color indexed="64"/>
      </top>
      <bottom style="medium">
        <color indexed="64"/>
      </bottom>
      <diagonal/>
    </border>
    <border>
      <left style="medium">
        <color indexed="64"/>
      </left>
      <right style="dashed">
        <color indexed="64"/>
      </right>
      <top style="medium">
        <color indexed="64"/>
      </top>
      <bottom style="thin">
        <color indexed="64"/>
      </bottom>
      <diagonal/>
    </border>
    <border>
      <left style="dashed">
        <color indexed="64"/>
      </left>
      <right style="dashed">
        <color indexed="64"/>
      </right>
      <top style="medium">
        <color indexed="64"/>
      </top>
      <bottom style="thin">
        <color indexed="64"/>
      </bottom>
      <diagonal/>
    </border>
    <border>
      <left style="dashed">
        <color indexed="64"/>
      </left>
      <right/>
      <top style="medium">
        <color indexed="64"/>
      </top>
      <bottom style="thin">
        <color indexed="64"/>
      </bottom>
      <diagonal/>
    </border>
    <border>
      <left style="dashed">
        <color indexed="64"/>
      </left>
      <right style="medium">
        <color indexed="64"/>
      </right>
      <top style="medium">
        <color indexed="64"/>
      </top>
      <bottom style="thin">
        <color indexed="64"/>
      </bottom>
      <diagonal/>
    </border>
    <border>
      <left style="dashed">
        <color indexed="64"/>
      </left>
      <right style="medium">
        <color indexed="64"/>
      </right>
      <top style="thin">
        <color indexed="64"/>
      </top>
      <bottom/>
      <diagonal/>
    </border>
    <border>
      <left style="dashed">
        <color indexed="64"/>
      </left>
      <right style="dashed">
        <color indexed="64"/>
      </right>
      <top style="thin">
        <color indexed="64"/>
      </top>
      <bottom/>
      <diagonal/>
    </border>
    <border>
      <left style="dashed">
        <color indexed="64"/>
      </left>
      <right/>
      <top style="thin">
        <color indexed="64"/>
      </top>
      <bottom/>
      <diagonal/>
    </border>
    <border>
      <left style="medium">
        <color indexed="64"/>
      </left>
      <right style="dashed">
        <color indexed="64"/>
      </right>
      <top style="thin">
        <color indexed="64"/>
      </top>
      <bottom style="thick">
        <color indexed="64"/>
      </bottom>
      <diagonal/>
    </border>
    <border>
      <left style="dashed">
        <color indexed="64"/>
      </left>
      <right style="medium">
        <color indexed="64"/>
      </right>
      <top style="thin">
        <color indexed="64"/>
      </top>
      <bottom style="thick">
        <color indexed="64"/>
      </bottom>
      <diagonal/>
    </border>
    <border>
      <left style="thick">
        <color indexed="64"/>
      </left>
      <right/>
      <top style="thick">
        <color indexed="64"/>
      </top>
      <bottom style="thick">
        <color indexed="64"/>
      </bottom>
      <diagonal/>
    </border>
    <border>
      <left/>
      <right/>
      <top style="thick">
        <color indexed="64"/>
      </top>
      <bottom style="thick">
        <color indexed="64"/>
      </bottom>
      <diagonal/>
    </border>
    <border>
      <left/>
      <right style="thick">
        <color indexed="64"/>
      </right>
      <top style="thick">
        <color indexed="64"/>
      </top>
      <bottom/>
      <diagonal/>
    </border>
    <border>
      <left style="dashed">
        <color indexed="64"/>
      </left>
      <right/>
      <top style="medium">
        <color indexed="64"/>
      </top>
      <bottom/>
      <diagonal/>
    </border>
    <border>
      <left/>
      <right/>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thick">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ck">
        <color indexed="64"/>
      </right>
      <top style="medium">
        <color indexed="64"/>
      </top>
      <bottom style="medium">
        <color indexed="64"/>
      </bottom>
      <diagonal/>
    </border>
    <border>
      <left style="thin">
        <color indexed="64"/>
      </left>
      <right/>
      <top/>
      <bottom/>
      <diagonal/>
    </border>
    <border>
      <left style="thick">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thick">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n">
        <color indexed="64"/>
      </left>
      <right style="thin">
        <color indexed="64"/>
      </right>
      <top/>
      <bottom/>
      <diagonal/>
    </border>
    <border>
      <left style="thick">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style="thick">
        <color indexed="64"/>
      </right>
      <top style="thin">
        <color indexed="64"/>
      </top>
      <bottom/>
      <diagonal/>
    </border>
    <border>
      <left style="thick">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ck">
        <color indexed="64"/>
      </left>
      <right style="thin">
        <color indexed="64"/>
      </right>
      <top style="medium">
        <color indexed="64"/>
      </top>
      <bottom style="thick">
        <color indexed="64"/>
      </bottom>
      <diagonal/>
    </border>
    <border>
      <left style="thin">
        <color indexed="64"/>
      </left>
      <right style="thin">
        <color indexed="64"/>
      </right>
      <top style="medium">
        <color indexed="64"/>
      </top>
      <bottom style="thick">
        <color indexed="64"/>
      </bottom>
      <diagonal/>
    </border>
    <border>
      <left style="thin">
        <color indexed="64"/>
      </left>
      <right style="medium">
        <color indexed="64"/>
      </right>
      <top style="medium">
        <color indexed="64"/>
      </top>
      <bottom style="thick">
        <color indexed="64"/>
      </bottom>
      <diagonal/>
    </border>
    <border>
      <left style="thick">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ck">
        <color indexed="64"/>
      </right>
      <top style="medium">
        <color indexed="64"/>
      </top>
      <bottom style="thin">
        <color indexed="64"/>
      </bottom>
      <diagonal/>
    </border>
    <border>
      <left style="medium">
        <color indexed="64"/>
      </left>
      <right style="dashed">
        <color indexed="64"/>
      </right>
      <top/>
      <bottom style="medium">
        <color indexed="64"/>
      </bottom>
      <diagonal/>
    </border>
    <border>
      <left style="dashed">
        <color indexed="64"/>
      </left>
      <right style="dashed">
        <color indexed="64"/>
      </right>
      <top/>
      <bottom style="medium">
        <color indexed="64"/>
      </bottom>
      <diagonal/>
    </border>
    <border>
      <left style="dashed">
        <color indexed="64"/>
      </left>
      <right/>
      <top style="medium">
        <color indexed="64"/>
      </top>
      <bottom style="medium">
        <color indexed="64"/>
      </bottom>
      <diagonal/>
    </border>
    <border>
      <left style="thick">
        <color indexed="64"/>
      </left>
      <right style="medium">
        <color indexed="64"/>
      </right>
      <top/>
      <bottom style="medium">
        <color indexed="64"/>
      </bottom>
      <diagonal/>
    </border>
    <border>
      <left style="dashed">
        <color indexed="64"/>
      </left>
      <right/>
      <top/>
      <bottom style="medium">
        <color indexed="64"/>
      </bottom>
      <diagonal/>
    </border>
    <border>
      <left style="thin">
        <color indexed="64"/>
      </left>
      <right style="thick">
        <color indexed="64"/>
      </right>
      <top style="thin">
        <color indexed="64"/>
      </top>
      <bottom style="medium">
        <color indexed="64"/>
      </bottom>
      <diagonal/>
    </border>
    <border>
      <left/>
      <right style="thick">
        <color indexed="64"/>
      </right>
      <top style="medium">
        <color indexed="64"/>
      </top>
      <bottom style="thick">
        <color indexed="64"/>
      </bottom>
      <diagonal/>
    </border>
    <border>
      <left style="thick">
        <color indexed="64"/>
      </left>
      <right style="medium">
        <color indexed="64"/>
      </right>
      <top style="medium">
        <color indexed="64"/>
      </top>
      <bottom style="dotted">
        <color indexed="64"/>
      </bottom>
      <diagonal/>
    </border>
    <border>
      <left/>
      <right/>
      <top style="medium">
        <color indexed="64"/>
      </top>
      <bottom style="medium">
        <color indexed="64"/>
      </bottom>
      <diagonal/>
    </border>
    <border>
      <left/>
      <right style="thick">
        <color indexed="64"/>
      </right>
      <top style="medium">
        <color indexed="64"/>
      </top>
      <bottom style="medium">
        <color indexed="64"/>
      </bottom>
      <diagonal/>
    </border>
    <border>
      <left style="thick">
        <color indexed="64"/>
      </left>
      <right/>
      <top style="thick">
        <color indexed="64"/>
      </top>
      <bottom style="thin">
        <color indexed="64"/>
      </bottom>
      <diagonal/>
    </border>
    <border>
      <left/>
      <right/>
      <top style="thick">
        <color indexed="64"/>
      </top>
      <bottom style="thin">
        <color indexed="64"/>
      </bottom>
      <diagonal/>
    </border>
    <border>
      <left style="medium">
        <color indexed="64"/>
      </left>
      <right style="thin">
        <color indexed="64"/>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right style="dotted">
        <color indexed="64"/>
      </right>
      <top style="medium">
        <color indexed="64"/>
      </top>
      <bottom style="medium">
        <color indexed="64"/>
      </bottom>
      <diagonal/>
    </border>
    <border>
      <left style="dotted">
        <color indexed="64"/>
      </left>
      <right style="thin">
        <color indexed="64"/>
      </right>
      <top style="medium">
        <color indexed="64"/>
      </top>
      <bottom style="medium">
        <color indexed="64"/>
      </bottom>
      <diagonal/>
    </border>
    <border>
      <left style="thin">
        <color indexed="64"/>
      </left>
      <right style="dotted">
        <color indexed="64"/>
      </right>
      <top style="medium">
        <color indexed="64"/>
      </top>
      <bottom style="medium">
        <color indexed="64"/>
      </bottom>
      <diagonal/>
    </border>
    <border>
      <left style="dotted">
        <color indexed="64"/>
      </left>
      <right style="thick">
        <color indexed="64"/>
      </right>
      <top style="medium">
        <color indexed="64"/>
      </top>
      <bottom style="medium">
        <color indexed="64"/>
      </bottom>
      <diagonal/>
    </border>
    <border>
      <left/>
      <right style="thick">
        <color indexed="64"/>
      </right>
      <top/>
      <bottom style="medium">
        <color indexed="64"/>
      </bottom>
      <diagonal/>
    </border>
    <border>
      <left style="thick">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ck">
        <color indexed="64"/>
      </left>
      <right style="medium">
        <color indexed="64"/>
      </right>
      <top/>
      <bottom/>
      <diagonal/>
    </border>
    <border>
      <left/>
      <right style="thick">
        <color indexed="64"/>
      </right>
      <top style="medium">
        <color indexed="64"/>
      </top>
      <bottom style="dashed">
        <color indexed="64"/>
      </bottom>
      <diagonal/>
    </border>
    <border>
      <left style="thin">
        <color indexed="64"/>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thick">
        <color indexed="64"/>
      </right>
      <top style="dashed">
        <color indexed="64"/>
      </top>
      <bottom style="dashed">
        <color indexed="64"/>
      </bottom>
      <diagonal/>
    </border>
    <border>
      <left style="thin">
        <color indexed="64"/>
      </left>
      <right style="dotted">
        <color indexed="64"/>
      </right>
      <top style="medium">
        <color indexed="64"/>
      </top>
      <bottom style="thin">
        <color indexed="64"/>
      </bottom>
      <diagonal/>
    </border>
    <border>
      <left style="dotted">
        <color indexed="64"/>
      </left>
      <right/>
      <top style="medium">
        <color indexed="64"/>
      </top>
      <bottom style="thin">
        <color indexed="64"/>
      </bottom>
      <diagonal/>
    </border>
    <border>
      <left style="dotted">
        <color indexed="64"/>
      </left>
      <right style="thick">
        <color indexed="64"/>
      </right>
      <top style="medium">
        <color indexed="64"/>
      </top>
      <bottom style="thin">
        <color indexed="64"/>
      </bottom>
      <diagonal/>
    </border>
    <border>
      <left style="thick">
        <color indexed="64"/>
      </left>
      <right/>
      <top style="medium">
        <color indexed="64"/>
      </top>
      <bottom style="medium">
        <color indexed="64"/>
      </bottom>
      <diagonal/>
    </border>
    <border>
      <left style="thin">
        <color indexed="64"/>
      </left>
      <right style="dotted">
        <color indexed="64"/>
      </right>
      <top style="thin">
        <color indexed="64"/>
      </top>
      <bottom style="thin">
        <color indexed="64"/>
      </bottom>
      <diagonal/>
    </border>
    <border>
      <left style="dotted">
        <color indexed="64"/>
      </left>
      <right/>
      <top style="thin">
        <color indexed="64"/>
      </top>
      <bottom style="thin">
        <color indexed="64"/>
      </bottom>
      <diagonal/>
    </border>
    <border>
      <left style="medium">
        <color indexed="64"/>
      </left>
      <right/>
      <top style="thin">
        <color indexed="64"/>
      </top>
      <bottom style="thin">
        <color indexed="64"/>
      </bottom>
      <diagonal/>
    </border>
    <border>
      <left style="dotted">
        <color indexed="64"/>
      </left>
      <right style="thick">
        <color indexed="64"/>
      </right>
      <top style="thin">
        <color indexed="64"/>
      </top>
      <bottom style="thin">
        <color indexed="64"/>
      </bottom>
      <diagonal/>
    </border>
    <border>
      <left style="medium">
        <color indexed="64"/>
      </left>
      <right style="medium">
        <color indexed="64"/>
      </right>
      <top/>
      <bottom/>
      <diagonal/>
    </border>
    <border>
      <left/>
      <right style="thin">
        <color indexed="64"/>
      </right>
      <top style="medium">
        <color indexed="64"/>
      </top>
      <bottom style="medium">
        <color indexed="64"/>
      </bottom>
      <diagonal/>
    </border>
    <border>
      <left style="thin">
        <color indexed="64"/>
      </left>
      <right style="thick">
        <color indexed="64"/>
      </right>
      <top style="thick">
        <color indexed="64"/>
      </top>
      <bottom style="medium">
        <color indexed="64"/>
      </bottom>
      <diagonal/>
    </border>
    <border>
      <left style="thick">
        <color indexed="64"/>
      </left>
      <right/>
      <top style="medium">
        <color indexed="64"/>
      </top>
      <bottom style="thin">
        <color indexed="64"/>
      </bottom>
      <diagonal/>
    </border>
    <border>
      <left style="thick">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medium">
        <color indexed="64"/>
      </top>
      <bottom style="medium">
        <color indexed="64"/>
      </bottom>
      <diagonal/>
    </border>
    <border>
      <left style="thick">
        <color indexed="64"/>
      </left>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ck">
        <color indexed="64"/>
      </left>
      <right style="thick">
        <color indexed="64"/>
      </right>
      <top/>
      <bottom style="thin">
        <color indexed="64"/>
      </bottom>
      <diagonal/>
    </border>
    <border>
      <left/>
      <right style="thick">
        <color indexed="64"/>
      </right>
      <top style="thin">
        <color indexed="64"/>
      </top>
      <bottom style="thin">
        <color indexed="64"/>
      </bottom>
      <diagonal/>
    </border>
    <border>
      <left style="thick">
        <color indexed="64"/>
      </left>
      <right style="thick">
        <color indexed="64"/>
      </right>
      <top style="thick">
        <color indexed="64"/>
      </top>
      <bottom/>
      <diagonal/>
    </border>
    <border>
      <left style="thick">
        <color indexed="64"/>
      </left>
      <right style="thick">
        <color indexed="64"/>
      </right>
      <top style="dashed">
        <color indexed="64"/>
      </top>
      <bottom style="dashed">
        <color indexed="64"/>
      </bottom>
      <diagonal/>
    </border>
    <border>
      <left style="thin">
        <color indexed="64"/>
      </left>
      <right style="dotted">
        <color indexed="64"/>
      </right>
      <top style="thin">
        <color indexed="64"/>
      </top>
      <bottom style="medium">
        <color indexed="64"/>
      </bottom>
      <diagonal/>
    </border>
    <border>
      <left style="dotted">
        <color indexed="64"/>
      </left>
      <right/>
      <top style="thin">
        <color indexed="64"/>
      </top>
      <bottom style="medium">
        <color indexed="64"/>
      </bottom>
      <diagonal/>
    </border>
    <border>
      <left style="dotted">
        <color indexed="64"/>
      </left>
      <right style="thick">
        <color indexed="64"/>
      </right>
      <top style="thin">
        <color indexed="64"/>
      </top>
      <bottom style="medium">
        <color indexed="64"/>
      </bottom>
      <diagonal/>
    </border>
    <border>
      <left style="thick">
        <color indexed="64"/>
      </left>
      <right style="thick">
        <color indexed="64"/>
      </right>
      <top style="dashed">
        <color indexed="64"/>
      </top>
      <bottom style="medium">
        <color indexed="64"/>
      </bottom>
      <diagonal/>
    </border>
    <border>
      <left/>
      <right style="thin">
        <color indexed="64"/>
      </right>
      <top style="medium">
        <color indexed="64"/>
      </top>
      <bottom/>
      <diagonal/>
    </border>
    <border>
      <left/>
      <right style="thick">
        <color indexed="64"/>
      </right>
      <top style="medium">
        <color indexed="64"/>
      </top>
      <bottom/>
      <diagonal/>
    </border>
    <border>
      <left style="medium">
        <color indexed="64"/>
      </left>
      <right/>
      <top/>
      <bottom style="thick">
        <color indexed="64"/>
      </bottom>
      <diagonal/>
    </border>
    <border>
      <left/>
      <right style="thick">
        <color indexed="64"/>
      </right>
      <top/>
      <bottom style="thick">
        <color indexed="64"/>
      </bottom>
      <diagonal/>
    </border>
    <border>
      <left style="medium">
        <color indexed="64"/>
      </left>
      <right style="thick">
        <color indexed="64"/>
      </right>
      <top style="medium">
        <color indexed="64"/>
      </top>
      <bottom/>
      <diagonal/>
    </border>
    <border>
      <left style="medium">
        <color indexed="64"/>
      </left>
      <right style="thick">
        <color indexed="64"/>
      </right>
      <top/>
      <bottom/>
      <diagonal/>
    </border>
    <border>
      <left style="thick">
        <color indexed="64"/>
      </left>
      <right/>
      <top/>
      <bottom style="thin">
        <color indexed="64"/>
      </bottom>
      <diagonal/>
    </border>
    <border>
      <left/>
      <right style="thick">
        <color indexed="64"/>
      </right>
      <top/>
      <bottom style="thin">
        <color indexed="64"/>
      </bottom>
      <diagonal/>
    </border>
    <border>
      <left style="thin">
        <color indexed="64"/>
      </left>
      <right style="thick">
        <color indexed="64"/>
      </right>
      <top/>
      <bottom/>
      <diagonal/>
    </border>
    <border>
      <left style="thin">
        <color indexed="64"/>
      </left>
      <right/>
      <top/>
      <bottom style="thin">
        <color indexed="64"/>
      </bottom>
      <diagonal/>
    </border>
    <border>
      <left style="thick">
        <color indexed="64"/>
      </left>
      <right style="thin">
        <color indexed="64"/>
      </right>
      <top style="thin">
        <color indexed="64"/>
      </top>
      <bottom style="thick">
        <color indexed="64"/>
      </bottom>
      <diagonal/>
    </border>
    <border>
      <left style="thin">
        <color indexed="64"/>
      </left>
      <right style="thick">
        <color indexed="64"/>
      </right>
      <top/>
      <bottom style="thick">
        <color indexed="64"/>
      </bottom>
      <diagonal/>
    </border>
    <border>
      <left style="thin">
        <color indexed="64"/>
      </left>
      <right/>
      <top style="medium">
        <color indexed="64"/>
      </top>
      <bottom/>
      <diagonal/>
    </border>
    <border>
      <left style="thin">
        <color indexed="64"/>
      </left>
      <right style="thick">
        <color indexed="64"/>
      </right>
      <top style="medium">
        <color indexed="64"/>
      </top>
      <bottom/>
      <diagonal/>
    </border>
    <border>
      <left style="double">
        <color indexed="64"/>
      </left>
      <right style="double">
        <color indexed="64"/>
      </right>
      <top style="double">
        <color indexed="64"/>
      </top>
      <bottom style="medium">
        <color indexed="64"/>
      </bottom>
      <diagonal/>
    </border>
    <border>
      <left style="double">
        <color indexed="64"/>
      </left>
      <right style="double">
        <color indexed="64"/>
      </right>
      <top/>
      <bottom style="thin">
        <color indexed="64"/>
      </bottom>
      <diagonal/>
    </border>
    <border>
      <left/>
      <right style="thin">
        <color indexed="64"/>
      </right>
      <top/>
      <bottom style="thin">
        <color indexed="64"/>
      </bottom>
      <diagonal/>
    </border>
    <border>
      <left style="thin">
        <color indexed="64"/>
      </left>
      <right style="thick">
        <color indexed="64"/>
      </right>
      <top/>
      <bottom style="medium">
        <color indexed="64"/>
      </bottom>
      <diagonal/>
    </border>
    <border>
      <left style="double">
        <color indexed="64"/>
      </left>
      <right style="double">
        <color indexed="64"/>
      </right>
      <top style="thin">
        <color indexed="64"/>
      </top>
      <bottom style="thin">
        <color indexed="64"/>
      </bottom>
      <diagonal/>
    </border>
    <border>
      <left style="double">
        <color indexed="64"/>
      </left>
      <right style="double">
        <color indexed="64"/>
      </right>
      <top style="thin">
        <color indexed="64"/>
      </top>
      <bottom style="double">
        <color indexed="64"/>
      </bottom>
      <diagonal/>
    </border>
    <border>
      <left style="medium">
        <color indexed="64"/>
      </left>
      <right/>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
      <left/>
      <right style="thick">
        <color indexed="64"/>
      </right>
      <top style="thin">
        <color indexed="64"/>
      </top>
      <bottom style="thick">
        <color indexed="64"/>
      </bottom>
      <diagonal/>
    </border>
    <border>
      <left style="thick">
        <color indexed="64"/>
      </left>
      <right style="thin">
        <color indexed="64"/>
      </right>
      <top/>
      <bottom style="medium">
        <color indexed="64"/>
      </bottom>
      <diagonal/>
    </border>
    <border>
      <left style="medium">
        <color indexed="64"/>
      </left>
      <right style="thin">
        <color indexed="64"/>
      </right>
      <top style="medium">
        <color indexed="64"/>
      </top>
      <bottom style="thick">
        <color indexed="64"/>
      </bottom>
      <diagonal/>
    </border>
    <border>
      <left style="thin">
        <color indexed="64"/>
      </left>
      <right style="dashed">
        <color indexed="64"/>
      </right>
      <top/>
      <bottom style="thin">
        <color indexed="64"/>
      </bottom>
      <diagonal/>
    </border>
    <border>
      <left style="dashed">
        <color indexed="64"/>
      </left>
      <right style="thick">
        <color indexed="64"/>
      </right>
      <top/>
      <bottom style="thin">
        <color indexed="64"/>
      </bottom>
      <diagonal/>
    </border>
    <border>
      <left style="medium">
        <color indexed="64"/>
      </left>
      <right style="double">
        <color indexed="64"/>
      </right>
      <top style="medium">
        <color indexed="64"/>
      </top>
      <bottom style="medium">
        <color indexed="64"/>
      </bottom>
      <diagonal/>
    </border>
    <border>
      <left style="double">
        <color indexed="64"/>
      </left>
      <right style="thick">
        <color indexed="64"/>
      </right>
      <top style="medium">
        <color indexed="64"/>
      </top>
      <bottom style="medium">
        <color indexed="64"/>
      </bottom>
      <diagonal/>
    </border>
    <border>
      <left style="thin">
        <color indexed="64"/>
      </left>
      <right style="dashed">
        <color indexed="64"/>
      </right>
      <top style="thin">
        <color indexed="64"/>
      </top>
      <bottom style="thin">
        <color indexed="64"/>
      </bottom>
      <diagonal/>
    </border>
    <border>
      <left style="dashed">
        <color indexed="64"/>
      </left>
      <right style="thick">
        <color indexed="64"/>
      </right>
      <top style="thin">
        <color indexed="64"/>
      </top>
      <bottom style="thin">
        <color indexed="64"/>
      </bottom>
      <diagonal/>
    </border>
    <border>
      <left style="medium">
        <color indexed="64"/>
      </left>
      <right style="double">
        <color indexed="64"/>
      </right>
      <top style="medium">
        <color indexed="64"/>
      </top>
      <bottom style="thin">
        <color indexed="64"/>
      </bottom>
      <diagonal/>
    </border>
    <border>
      <left style="thin">
        <color indexed="64"/>
      </left>
      <right style="dashed">
        <color indexed="64"/>
      </right>
      <top style="thin">
        <color indexed="64"/>
      </top>
      <bottom style="medium">
        <color indexed="64"/>
      </bottom>
      <diagonal/>
    </border>
    <border>
      <left style="dashed">
        <color indexed="64"/>
      </left>
      <right style="thick">
        <color indexed="64"/>
      </right>
      <top style="thin">
        <color indexed="64"/>
      </top>
      <bottom style="medium">
        <color indexed="64"/>
      </bottom>
      <diagonal/>
    </border>
    <border>
      <left style="medium">
        <color indexed="64"/>
      </left>
      <right style="double">
        <color indexed="64"/>
      </right>
      <top style="thin">
        <color indexed="64"/>
      </top>
      <bottom style="thin">
        <color indexed="64"/>
      </bottom>
      <diagonal/>
    </border>
    <border>
      <left style="thin">
        <color indexed="64"/>
      </left>
      <right style="dashed">
        <color indexed="64"/>
      </right>
      <top style="medium">
        <color indexed="64"/>
      </top>
      <bottom style="thin">
        <color indexed="64"/>
      </bottom>
      <diagonal/>
    </border>
    <border>
      <left style="dashed">
        <color indexed="64"/>
      </left>
      <right style="thick">
        <color indexed="64"/>
      </right>
      <top style="medium">
        <color indexed="64"/>
      </top>
      <bottom style="thin">
        <color indexed="64"/>
      </bottom>
      <diagonal/>
    </border>
    <border>
      <left/>
      <right style="double">
        <color indexed="64"/>
      </right>
      <top style="thin">
        <color indexed="64"/>
      </top>
      <bottom style="medium">
        <color indexed="64"/>
      </bottom>
      <diagonal/>
    </border>
    <border>
      <left style="medium">
        <color indexed="64"/>
      </left>
      <right style="double">
        <color indexed="64"/>
      </right>
      <top style="thin">
        <color indexed="64"/>
      </top>
      <bottom/>
      <diagonal/>
    </border>
    <border>
      <left style="medium">
        <color indexed="64"/>
      </left>
      <right style="medium">
        <color indexed="64"/>
      </right>
      <top style="thin">
        <color indexed="64"/>
      </top>
      <bottom style="double">
        <color indexed="64"/>
      </bottom>
      <diagonal/>
    </border>
    <border>
      <left style="medium">
        <color indexed="64"/>
      </left>
      <right style="double">
        <color indexed="64"/>
      </right>
      <top style="thin">
        <color indexed="64"/>
      </top>
      <bottom style="double">
        <color indexed="64"/>
      </bottom>
      <diagonal/>
    </border>
    <border>
      <left style="thick">
        <color indexed="64"/>
      </left>
      <right style="double">
        <color indexed="64"/>
      </right>
      <top style="thick">
        <color indexed="64"/>
      </top>
      <bottom/>
      <diagonal/>
    </border>
    <border>
      <left style="double">
        <color indexed="64"/>
      </left>
      <right/>
      <top style="double">
        <color indexed="64"/>
      </top>
      <bottom style="double">
        <color indexed="64"/>
      </bottom>
      <diagonal/>
    </border>
    <border>
      <left/>
      <right style="medium">
        <color indexed="64"/>
      </right>
      <top style="double">
        <color indexed="64"/>
      </top>
      <bottom style="double">
        <color indexed="64"/>
      </bottom>
      <diagonal/>
    </border>
    <border>
      <left style="medium">
        <color indexed="64"/>
      </left>
      <right style="medium">
        <color indexed="64"/>
      </right>
      <top style="double">
        <color indexed="64"/>
      </top>
      <bottom style="double">
        <color indexed="64"/>
      </bottom>
      <diagonal/>
    </border>
    <border>
      <left style="medium">
        <color indexed="64"/>
      </left>
      <right/>
      <top style="double">
        <color indexed="64"/>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thick">
        <color indexed="64"/>
      </right>
      <top style="double">
        <color indexed="64"/>
      </top>
      <bottom style="double">
        <color indexed="64"/>
      </bottom>
      <diagonal/>
    </border>
    <border>
      <left style="thick">
        <color indexed="64"/>
      </left>
      <right style="thin">
        <color indexed="64"/>
      </right>
      <top style="thick">
        <color indexed="64"/>
      </top>
      <bottom style="thin">
        <color indexed="64"/>
      </bottom>
      <diagonal/>
    </border>
    <border>
      <left/>
      <right/>
      <top style="double">
        <color indexed="64"/>
      </top>
      <bottom style="thick">
        <color indexed="64"/>
      </bottom>
      <diagonal/>
    </border>
    <border>
      <left style="medium">
        <color indexed="64"/>
      </left>
      <right style="thick">
        <color indexed="64"/>
      </right>
      <top style="thick">
        <color indexed="64"/>
      </top>
      <bottom style="thin">
        <color indexed="64"/>
      </bottom>
      <diagonal/>
    </border>
    <border>
      <left style="medium">
        <color indexed="64"/>
      </left>
      <right style="medium">
        <color indexed="64"/>
      </right>
      <top style="medium">
        <color indexed="64"/>
      </top>
      <bottom style="dotted">
        <color indexed="64"/>
      </bottom>
      <diagonal/>
    </border>
    <border>
      <left style="medium">
        <color indexed="64"/>
      </left>
      <right/>
      <top/>
      <bottom/>
      <diagonal/>
    </border>
    <border>
      <left style="thick">
        <color indexed="64"/>
      </left>
      <right style="medium">
        <color indexed="64"/>
      </right>
      <top/>
      <bottom style="thick">
        <color indexed="64"/>
      </bottom>
      <diagonal/>
    </border>
    <border>
      <left style="medium">
        <color indexed="64"/>
      </left>
      <right style="medium">
        <color indexed="64"/>
      </right>
      <top/>
      <bottom style="thick">
        <color indexed="64"/>
      </bottom>
      <diagonal/>
    </border>
  </borders>
  <cellStyleXfs count="3">
    <xf numFmtId="0" fontId="0" fillId="0" borderId="0"/>
    <xf numFmtId="0" fontId="12" fillId="0" borderId="0" applyNumberFormat="0" applyFill="0" applyBorder="0" applyAlignment="0" applyProtection="0"/>
    <xf numFmtId="0" fontId="1" fillId="0" borderId="0"/>
  </cellStyleXfs>
  <cellXfs count="1284">
    <xf numFmtId="0" fontId="0" fillId="0" borderId="0" xfId="0"/>
    <xf numFmtId="0" fontId="1" fillId="0" borderId="1" xfId="0" applyFont="1" applyBorder="1" applyAlignment="1">
      <alignment wrapText="1"/>
    </xf>
    <xf numFmtId="21" fontId="1" fillId="0" borderId="2" xfId="0" applyNumberFormat="1" applyFont="1" applyBorder="1" applyAlignment="1">
      <alignment horizontal="center"/>
    </xf>
    <xf numFmtId="0" fontId="1" fillId="0" borderId="1" xfId="0" applyFont="1" applyBorder="1" applyAlignment="1">
      <alignment horizontal="center"/>
    </xf>
    <xf numFmtId="0" fontId="1" fillId="0" borderId="0" xfId="0" applyFont="1"/>
    <xf numFmtId="0" fontId="1" fillId="0" borderId="4" xfId="0" applyFont="1" applyBorder="1" applyAlignment="1">
      <alignment wrapText="1"/>
    </xf>
    <xf numFmtId="0" fontId="1" fillId="0" borderId="0" xfId="0" applyFont="1" applyAlignment="1">
      <alignment horizontal="center"/>
    </xf>
    <xf numFmtId="0" fontId="1" fillId="0" borderId="4" xfId="0" applyFont="1" applyBorder="1" applyAlignment="1">
      <alignment horizontal="center"/>
    </xf>
    <xf numFmtId="9" fontId="1" fillId="0" borderId="0" xfId="0" applyNumberFormat="1" applyFont="1" applyAlignment="1">
      <alignment horizontal="center"/>
    </xf>
    <xf numFmtId="9" fontId="1" fillId="0" borderId="0" xfId="0" applyNumberFormat="1" applyFont="1"/>
    <xf numFmtId="0" fontId="1" fillId="0" borderId="6" xfId="0" applyFont="1" applyBorder="1" applyAlignment="1">
      <alignment wrapText="1"/>
    </xf>
    <xf numFmtId="164" fontId="1" fillId="0" borderId="7" xfId="0" applyNumberFormat="1" applyFont="1" applyBorder="1" applyAlignment="1">
      <alignment horizontal="center"/>
    </xf>
    <xf numFmtId="0" fontId="1" fillId="0" borderId="6" xfId="0" applyFont="1" applyBorder="1" applyAlignment="1">
      <alignment horizontal="center"/>
    </xf>
    <xf numFmtId="0" fontId="1" fillId="0" borderId="7" xfId="0" applyFont="1" applyBorder="1" applyAlignment="1">
      <alignment horizontal="center"/>
    </xf>
    <xf numFmtId="0" fontId="4" fillId="0" borderId="0" xfId="0" applyFont="1" applyAlignment="1">
      <alignment horizontal="center" wrapText="1"/>
    </xf>
    <xf numFmtId="0" fontId="4" fillId="0" borderId="0" xfId="0" applyFont="1" applyAlignment="1">
      <alignment wrapText="1"/>
    </xf>
    <xf numFmtId="0" fontId="1" fillId="0" borderId="0" xfId="0" applyFont="1" applyAlignment="1">
      <alignment wrapText="1"/>
    </xf>
    <xf numFmtId="164" fontId="1" fillId="0" borderId="0" xfId="0" applyNumberFormat="1" applyFont="1" applyAlignment="1">
      <alignment horizontal="center"/>
    </xf>
    <xf numFmtId="0" fontId="1" fillId="3" borderId="0" xfId="0" applyFont="1" applyFill="1"/>
    <xf numFmtId="0" fontId="1" fillId="3" borderId="0" xfId="0" applyFont="1" applyFill="1" applyAlignment="1">
      <alignment horizontal="center"/>
    </xf>
    <xf numFmtId="9" fontId="4" fillId="3" borderId="0" xfId="0" applyNumberFormat="1" applyFont="1" applyFill="1"/>
    <xf numFmtId="0" fontId="4" fillId="3" borderId="0" xfId="0" applyFont="1" applyFill="1"/>
    <xf numFmtId="46" fontId="1" fillId="3" borderId="0" xfId="0" applyNumberFormat="1" applyFont="1" applyFill="1" applyAlignment="1">
      <alignment horizontal="center"/>
    </xf>
    <xf numFmtId="0" fontId="1" fillId="0" borderId="2" xfId="0" applyFont="1" applyBorder="1" applyAlignment="1">
      <alignment horizontal="center"/>
    </xf>
    <xf numFmtId="0" fontId="6" fillId="0" borderId="0" xfId="0" applyFont="1" applyAlignment="1">
      <alignment horizontal="center"/>
    </xf>
    <xf numFmtId="0" fontId="5" fillId="0" borderId="0" xfId="0" applyFont="1"/>
    <xf numFmtId="0" fontId="6" fillId="0" borderId="0" xfId="0" applyFont="1"/>
    <xf numFmtId="0" fontId="1" fillId="4" borderId="0" xfId="0" applyFont="1" applyFill="1" applyAlignment="1">
      <alignment horizontal="center"/>
    </xf>
    <xf numFmtId="46" fontId="1" fillId="0" borderId="0" xfId="0" applyNumberFormat="1" applyFont="1" applyAlignment="1">
      <alignment horizontal="center"/>
    </xf>
    <xf numFmtId="21" fontId="1" fillId="0" borderId="0" xfId="0" applyNumberFormat="1" applyFont="1" applyAlignment="1">
      <alignment horizontal="center"/>
    </xf>
    <xf numFmtId="21" fontId="1" fillId="4" borderId="0" xfId="0" applyNumberFormat="1" applyFont="1" applyFill="1" applyAlignment="1">
      <alignment horizontal="center"/>
    </xf>
    <xf numFmtId="21" fontId="1" fillId="5" borderId="0" xfId="0" applyNumberFormat="1" applyFont="1" applyFill="1" applyAlignment="1">
      <alignment horizontal="center"/>
    </xf>
    <xf numFmtId="0" fontId="13" fillId="0" borderId="0" xfId="0" applyFont="1" applyAlignment="1">
      <alignment horizontal="center"/>
    </xf>
    <xf numFmtId="0" fontId="0" fillId="0" borderId="0" xfId="0" applyAlignment="1">
      <alignment horizontal="center"/>
    </xf>
    <xf numFmtId="0" fontId="13" fillId="6" borderId="9" xfId="0" applyFont="1" applyFill="1" applyBorder="1" applyAlignment="1">
      <alignment horizontal="right" vertical="center"/>
    </xf>
    <xf numFmtId="0" fontId="14" fillId="0" borderId="10" xfId="0" applyFont="1" applyBorder="1" applyAlignment="1" applyProtection="1">
      <alignment horizontal="center" vertical="center"/>
      <protection locked="0"/>
    </xf>
    <xf numFmtId="0" fontId="13" fillId="6" borderId="11" xfId="0" applyFont="1" applyFill="1" applyBorder="1" applyAlignment="1">
      <alignment horizontal="right" vertical="center"/>
    </xf>
    <xf numFmtId="14" fontId="15" fillId="0" borderId="10" xfId="0" applyNumberFormat="1" applyFont="1" applyBorder="1" applyAlignment="1" applyProtection="1">
      <alignment horizontal="center"/>
      <protection locked="0"/>
    </xf>
    <xf numFmtId="0" fontId="0" fillId="0" borderId="12" xfId="0" applyBorder="1"/>
    <xf numFmtId="0" fontId="0" fillId="0" borderId="13" xfId="0" applyBorder="1"/>
    <xf numFmtId="14" fontId="17" fillId="7" borderId="13" xfId="0" applyNumberFormat="1" applyFont="1" applyFill="1" applyBorder="1" applyAlignment="1">
      <alignment horizontal="center" vertical="center"/>
    </xf>
    <xf numFmtId="14" fontId="17" fillId="7" borderId="14" xfId="0" applyNumberFormat="1" applyFont="1" applyFill="1" applyBorder="1" applyAlignment="1">
      <alignment horizontal="center" vertical="center"/>
    </xf>
    <xf numFmtId="0" fontId="13" fillId="6" borderId="15" xfId="0" applyFont="1" applyFill="1" applyBorder="1" applyAlignment="1">
      <alignment horizontal="right"/>
    </xf>
    <xf numFmtId="0" fontId="14" fillId="0" borderId="16" xfId="0" applyFont="1" applyBorder="1" applyAlignment="1" applyProtection="1">
      <alignment horizontal="center"/>
      <protection locked="0"/>
    </xf>
    <xf numFmtId="0" fontId="13" fillId="6" borderId="17" xfId="0" applyFont="1" applyFill="1" applyBorder="1" applyAlignment="1">
      <alignment horizontal="right"/>
    </xf>
    <xf numFmtId="0" fontId="14" fillId="0" borderId="18" xfId="0" applyFont="1" applyBorder="1" applyAlignment="1" applyProtection="1">
      <alignment horizontal="center"/>
      <protection locked="0"/>
    </xf>
    <xf numFmtId="0" fontId="19" fillId="6" borderId="22" xfId="0" applyFont="1" applyFill="1" applyBorder="1" applyProtection="1">
      <protection locked="0"/>
    </xf>
    <xf numFmtId="0" fontId="19" fillId="6" borderId="23" xfId="0" applyFont="1" applyFill="1" applyBorder="1" applyAlignment="1" applyProtection="1">
      <alignment horizontal="center"/>
      <protection locked="0"/>
    </xf>
    <xf numFmtId="0" fontId="13" fillId="6" borderId="24" xfId="0" applyFont="1" applyFill="1" applyBorder="1" applyAlignment="1">
      <alignment horizontal="right"/>
    </xf>
    <xf numFmtId="0" fontId="14" fillId="0" borderId="25" xfId="0" applyFont="1" applyBorder="1" applyAlignment="1" applyProtection="1">
      <alignment horizontal="center"/>
      <protection locked="0"/>
    </xf>
    <xf numFmtId="0" fontId="13" fillId="7" borderId="0" xfId="0" applyFont="1" applyFill="1"/>
    <xf numFmtId="0" fontId="20" fillId="9" borderId="19" xfId="2" applyFont="1" applyFill="1" applyBorder="1"/>
    <xf numFmtId="0" fontId="20" fillId="9" borderId="26" xfId="2" applyFont="1" applyFill="1" applyBorder="1" applyProtection="1">
      <protection locked="0" hidden="1"/>
    </xf>
    <xf numFmtId="46" fontId="6" fillId="8" borderId="29" xfId="0" applyNumberFormat="1" applyFont="1" applyFill="1" applyBorder="1" applyAlignment="1">
      <alignment horizontal="center" vertical="center"/>
    </xf>
    <xf numFmtId="0" fontId="22" fillId="0" borderId="34" xfId="0" applyFont="1" applyBorder="1" applyAlignment="1">
      <alignment horizontal="left" vertical="top"/>
    </xf>
    <xf numFmtId="0" fontId="23" fillId="0" borderId="0" xfId="0" applyFont="1"/>
    <xf numFmtId="0" fontId="25" fillId="11" borderId="37" xfId="0" applyFont="1" applyFill="1" applyBorder="1" applyAlignment="1">
      <alignment horizontal="center"/>
    </xf>
    <xf numFmtId="0" fontId="25" fillId="11" borderId="18" xfId="0" applyFont="1" applyFill="1" applyBorder="1" applyAlignment="1">
      <alignment horizontal="center"/>
    </xf>
    <xf numFmtId="46" fontId="6" fillId="8" borderId="40" xfId="0" applyNumberFormat="1" applyFont="1" applyFill="1" applyBorder="1" applyAlignment="1">
      <alignment horizontal="center" vertical="center"/>
    </xf>
    <xf numFmtId="165" fontId="13" fillId="0" borderId="41" xfId="0" applyNumberFormat="1" applyFont="1" applyBorder="1" applyAlignment="1" applyProtection="1">
      <alignment horizontal="center"/>
      <protection locked="0"/>
    </xf>
    <xf numFmtId="0" fontId="26" fillId="0" borderId="42" xfId="0" applyFont="1" applyBorder="1"/>
    <xf numFmtId="166" fontId="26" fillId="0" borderId="0" xfId="0" applyNumberFormat="1" applyFont="1" applyAlignment="1" applyProtection="1">
      <alignment horizontal="left"/>
      <protection locked="0"/>
    </xf>
    <xf numFmtId="0" fontId="13" fillId="6" borderId="43" xfId="0" applyFont="1" applyFill="1" applyBorder="1" applyAlignment="1">
      <alignment horizontal="right"/>
    </xf>
    <xf numFmtId="0" fontId="14" fillId="0" borderId="44" xfId="0" applyFont="1" applyBorder="1" applyAlignment="1" applyProtection="1">
      <alignment horizontal="center"/>
      <protection locked="0"/>
    </xf>
    <xf numFmtId="21" fontId="14" fillId="0" borderId="45" xfId="0" applyNumberFormat="1" applyFont="1" applyBorder="1" applyAlignment="1" applyProtection="1">
      <alignment horizontal="center" vertical="center"/>
      <protection locked="0"/>
    </xf>
    <xf numFmtId="0" fontId="0" fillId="0" borderId="46" xfId="0" applyBorder="1"/>
    <xf numFmtId="168" fontId="27" fillId="11" borderId="48" xfId="2" applyNumberFormat="1" applyFont="1" applyFill="1" applyBorder="1" applyAlignment="1">
      <alignment horizontal="center" vertical="center"/>
    </xf>
    <xf numFmtId="169" fontId="27" fillId="11" borderId="49" xfId="2" applyNumberFormat="1" applyFont="1" applyFill="1" applyBorder="1" applyAlignment="1">
      <alignment horizontal="center" vertical="center"/>
    </xf>
    <xf numFmtId="170" fontId="27" fillId="11" borderId="50" xfId="2" applyNumberFormat="1" applyFont="1" applyFill="1" applyBorder="1" applyAlignment="1">
      <alignment horizontal="center" vertical="center"/>
    </xf>
    <xf numFmtId="168" fontId="28" fillId="11" borderId="51" xfId="0" applyNumberFormat="1" applyFont="1" applyFill="1" applyBorder="1" applyAlignment="1">
      <alignment horizontal="center" vertical="center"/>
    </xf>
    <xf numFmtId="1" fontId="27" fillId="11" borderId="52" xfId="2" applyNumberFormat="1" applyFont="1" applyFill="1" applyBorder="1" applyAlignment="1">
      <alignment horizontal="center" vertical="center"/>
    </xf>
    <xf numFmtId="46" fontId="6" fillId="8" borderId="55" xfId="0" applyNumberFormat="1" applyFont="1" applyFill="1" applyBorder="1" applyAlignment="1">
      <alignment horizontal="center" vertical="center"/>
    </xf>
    <xf numFmtId="0" fontId="20" fillId="9" borderId="56" xfId="0" applyFont="1" applyFill="1" applyBorder="1" applyProtection="1">
      <protection locked="0"/>
    </xf>
    <xf numFmtId="0" fontId="13" fillId="6" borderId="57" xfId="0" applyFont="1" applyFill="1" applyBorder="1"/>
    <xf numFmtId="20" fontId="6" fillId="6" borderId="12" xfId="0" applyNumberFormat="1" applyFont="1" applyFill="1" applyBorder="1" applyAlignment="1">
      <alignment horizontal="right"/>
    </xf>
    <xf numFmtId="0" fontId="13" fillId="6" borderId="58" xfId="0" applyFont="1" applyFill="1" applyBorder="1" applyAlignment="1">
      <alignment horizontal="center"/>
    </xf>
    <xf numFmtId="0" fontId="6" fillId="6" borderId="60" xfId="0" applyFont="1" applyFill="1" applyBorder="1" applyAlignment="1">
      <alignment horizontal="center"/>
    </xf>
    <xf numFmtId="0" fontId="6" fillId="6" borderId="58" xfId="0" applyFont="1" applyFill="1" applyBorder="1" applyAlignment="1">
      <alignment horizontal="center"/>
    </xf>
    <xf numFmtId="49" fontId="6" fillId="6" borderId="61" xfId="0" applyNumberFormat="1" applyFont="1" applyFill="1" applyBorder="1" applyAlignment="1">
      <alignment horizontal="center"/>
    </xf>
    <xf numFmtId="49" fontId="13" fillId="6" borderId="60" xfId="0" applyNumberFormat="1" applyFont="1" applyFill="1" applyBorder="1" applyAlignment="1">
      <alignment horizontal="center"/>
    </xf>
    <xf numFmtId="171" fontId="13" fillId="9" borderId="60" xfId="0" applyNumberFormat="1" applyFont="1" applyFill="1" applyBorder="1" applyAlignment="1">
      <alignment horizontal="center"/>
    </xf>
    <xf numFmtId="49" fontId="13" fillId="6" borderId="58" xfId="0" applyNumberFormat="1" applyFont="1" applyFill="1" applyBorder="1" applyAlignment="1">
      <alignment horizontal="center"/>
    </xf>
    <xf numFmtId="49" fontId="13" fillId="6" borderId="62" xfId="0" applyNumberFormat="1" applyFont="1" applyFill="1" applyBorder="1" applyAlignment="1">
      <alignment horizontal="center"/>
    </xf>
    <xf numFmtId="0" fontId="20" fillId="9" borderId="63" xfId="0" applyFont="1" applyFill="1" applyBorder="1" applyAlignment="1">
      <alignment horizontal="center"/>
    </xf>
    <xf numFmtId="0" fontId="18" fillId="6" borderId="64" xfId="0" applyFont="1" applyFill="1" applyBorder="1" applyAlignment="1">
      <alignment horizontal="right" vertical="center"/>
    </xf>
    <xf numFmtId="1" fontId="6" fillId="0" borderId="16" xfId="0" applyNumberFormat="1" applyFont="1" applyBorder="1" applyAlignment="1" applyProtection="1">
      <alignment horizontal="center" vertical="center"/>
      <protection locked="0"/>
    </xf>
    <xf numFmtId="174" fontId="13" fillId="12" borderId="67" xfId="0" applyNumberFormat="1" applyFont="1" applyFill="1" applyBorder="1" applyAlignment="1">
      <alignment horizontal="center"/>
    </xf>
    <xf numFmtId="174" fontId="13" fillId="12" borderId="68" xfId="0" applyNumberFormat="1" applyFont="1" applyFill="1" applyBorder="1" applyAlignment="1">
      <alignment horizontal="center"/>
    </xf>
    <xf numFmtId="174" fontId="13" fillId="12" borderId="19" xfId="0" applyNumberFormat="1" applyFont="1" applyFill="1" applyBorder="1" applyAlignment="1">
      <alignment horizontal="center"/>
    </xf>
    <xf numFmtId="174" fontId="13" fillId="12" borderId="69" xfId="0" applyNumberFormat="1" applyFont="1" applyFill="1" applyBorder="1" applyAlignment="1">
      <alignment horizontal="center"/>
    </xf>
    <xf numFmtId="174" fontId="13" fillId="12" borderId="70" xfId="0" applyNumberFormat="1" applyFont="1" applyFill="1" applyBorder="1" applyAlignment="1">
      <alignment horizontal="center"/>
    </xf>
    <xf numFmtId="0" fontId="29" fillId="0" borderId="0" xfId="0" applyFont="1"/>
    <xf numFmtId="0" fontId="18" fillId="6" borderId="15" xfId="0" applyFont="1" applyFill="1" applyBorder="1" applyAlignment="1">
      <alignment horizontal="right" vertical="center"/>
    </xf>
    <xf numFmtId="175" fontId="6" fillId="0" borderId="16" xfId="0" applyNumberFormat="1" applyFont="1" applyBorder="1" applyAlignment="1" applyProtection="1">
      <alignment horizontal="center" vertical="center"/>
      <protection locked="0"/>
    </xf>
    <xf numFmtId="0" fontId="21" fillId="12" borderId="72" xfId="0" applyFont="1" applyFill="1" applyBorder="1" applyAlignment="1">
      <alignment horizontal="center"/>
    </xf>
    <xf numFmtId="0" fontId="21" fillId="12" borderId="73" xfId="0" applyFont="1" applyFill="1" applyBorder="1" applyAlignment="1">
      <alignment horizontal="center"/>
    </xf>
    <xf numFmtId="177" fontId="13" fillId="12" borderId="75" xfId="0" applyNumberFormat="1" applyFont="1" applyFill="1" applyBorder="1" applyAlignment="1">
      <alignment horizontal="center"/>
    </xf>
    <xf numFmtId="177" fontId="13" fillId="12" borderId="76" xfId="0" applyNumberFormat="1" applyFont="1" applyFill="1" applyBorder="1" applyAlignment="1">
      <alignment horizontal="center"/>
    </xf>
    <xf numFmtId="177" fontId="13" fillId="12" borderId="27" xfId="0" applyNumberFormat="1" applyFont="1" applyFill="1" applyBorder="1" applyAlignment="1">
      <alignment horizontal="center"/>
    </xf>
    <xf numFmtId="177" fontId="13" fillId="12" borderId="77" xfId="0" applyNumberFormat="1" applyFont="1" applyFill="1" applyBorder="1" applyAlignment="1">
      <alignment horizontal="center"/>
    </xf>
    <xf numFmtId="177" fontId="13" fillId="12" borderId="78" xfId="0" applyNumberFormat="1" applyFont="1" applyFill="1" applyBorder="1" applyAlignment="1">
      <alignment horizontal="center"/>
    </xf>
    <xf numFmtId="0" fontId="21" fillId="9" borderId="22" xfId="0" applyFont="1" applyFill="1" applyBorder="1" applyAlignment="1">
      <alignment horizontal="right" vertical="center"/>
    </xf>
    <xf numFmtId="1" fontId="6" fillId="6" borderId="23" xfId="0" applyNumberFormat="1" applyFont="1" applyFill="1" applyBorder="1" applyAlignment="1">
      <alignment horizontal="right"/>
    </xf>
    <xf numFmtId="175" fontId="6" fillId="13" borderId="79" xfId="0" applyNumberFormat="1" applyFont="1" applyFill="1" applyBorder="1" applyAlignment="1">
      <alignment horizontal="center" vertical="center"/>
    </xf>
    <xf numFmtId="175" fontId="6" fillId="13" borderId="80" xfId="0" applyNumberFormat="1" applyFont="1" applyFill="1" applyBorder="1" applyAlignment="1">
      <alignment horizontal="center" vertical="center"/>
    </xf>
    <xf numFmtId="175" fontId="6" fillId="13" borderId="81" xfId="0" applyNumberFormat="1" applyFont="1" applyFill="1" applyBorder="1" applyAlignment="1">
      <alignment horizontal="center" vertical="center"/>
    </xf>
    <xf numFmtId="175" fontId="6" fillId="14" borderId="79" xfId="0" applyNumberFormat="1" applyFont="1" applyFill="1" applyBorder="1" applyAlignment="1">
      <alignment horizontal="center" vertical="center"/>
    </xf>
    <xf numFmtId="175" fontId="6" fillId="14" borderId="80" xfId="0" applyNumberFormat="1" applyFont="1" applyFill="1" applyBorder="1" applyAlignment="1">
      <alignment horizontal="center" vertical="center"/>
    </xf>
    <xf numFmtId="175" fontId="6" fillId="14" borderId="82" xfId="0" applyNumberFormat="1" applyFont="1" applyFill="1" applyBorder="1" applyAlignment="1">
      <alignment horizontal="center" vertical="center"/>
    </xf>
    <xf numFmtId="1" fontId="0" fillId="0" borderId="0" xfId="0" applyNumberFormat="1" applyAlignment="1">
      <alignment horizontal="center"/>
    </xf>
    <xf numFmtId="0" fontId="6" fillId="6" borderId="33" xfId="0" applyFont="1" applyFill="1" applyBorder="1" applyAlignment="1">
      <alignment vertical="center"/>
    </xf>
    <xf numFmtId="0" fontId="6" fillId="6" borderId="45" xfId="0" applyFont="1" applyFill="1" applyBorder="1" applyAlignment="1">
      <alignment horizontal="right" vertical="center"/>
    </xf>
    <xf numFmtId="175" fontId="13" fillId="15" borderId="83" xfId="0" applyNumberFormat="1" applyFont="1" applyFill="1" applyBorder="1" applyAlignment="1">
      <alignment horizontal="center"/>
    </xf>
    <xf numFmtId="175" fontId="13" fillId="16" borderId="84" xfId="0" applyNumberFormat="1" applyFont="1" applyFill="1" applyBorder="1" applyAlignment="1">
      <alignment horizontal="center"/>
    </xf>
    <xf numFmtId="175" fontId="13" fillId="16" borderId="83" xfId="0" applyNumberFormat="1" applyFont="1" applyFill="1" applyBorder="1" applyAlignment="1">
      <alignment horizontal="center"/>
    </xf>
    <xf numFmtId="175" fontId="13" fillId="16" borderId="69" xfId="0" applyNumberFormat="1" applyFont="1" applyFill="1" applyBorder="1" applyAlignment="1">
      <alignment horizontal="center"/>
    </xf>
    <xf numFmtId="175" fontId="13" fillId="16" borderId="85" xfId="0" applyNumberFormat="1" applyFont="1" applyFill="1" applyBorder="1" applyAlignment="1">
      <alignment horizontal="center"/>
    </xf>
    <xf numFmtId="0" fontId="0" fillId="0" borderId="0" xfId="0" applyAlignment="1">
      <alignment horizontal="left"/>
    </xf>
    <xf numFmtId="178" fontId="0" fillId="0" borderId="0" xfId="0" applyNumberFormat="1" applyAlignment="1">
      <alignment horizontal="center"/>
    </xf>
    <xf numFmtId="0" fontId="13" fillId="6" borderId="86" xfId="0" applyFont="1" applyFill="1" applyBorder="1"/>
    <xf numFmtId="0" fontId="6" fillId="6" borderId="0" xfId="0" applyFont="1" applyFill="1" applyAlignment="1">
      <alignment horizontal="right" vertical="center"/>
    </xf>
    <xf numFmtId="175" fontId="6" fillId="16" borderId="76" xfId="0" applyNumberFormat="1" applyFont="1" applyFill="1" applyBorder="1" applyAlignment="1">
      <alignment horizontal="center" vertical="center"/>
    </xf>
    <xf numFmtId="175" fontId="6" fillId="16" borderId="27" xfId="0" applyNumberFormat="1" applyFont="1" applyFill="1" applyBorder="1" applyAlignment="1">
      <alignment horizontal="center" vertical="center"/>
    </xf>
    <xf numFmtId="175" fontId="6" fillId="16" borderId="75" xfId="0" applyNumberFormat="1" applyFont="1" applyFill="1" applyBorder="1" applyAlignment="1">
      <alignment horizontal="center" vertical="center"/>
    </xf>
    <xf numFmtId="175" fontId="6" fillId="16" borderId="77" xfId="0" applyNumberFormat="1" applyFont="1" applyFill="1" applyBorder="1" applyAlignment="1">
      <alignment horizontal="center" vertical="center"/>
    </xf>
    <xf numFmtId="175" fontId="6" fillId="16" borderId="78" xfId="0" applyNumberFormat="1" applyFont="1" applyFill="1" applyBorder="1" applyAlignment="1">
      <alignment horizontal="center" vertical="center"/>
    </xf>
    <xf numFmtId="1" fontId="6" fillId="6" borderId="87" xfId="0" applyNumberFormat="1" applyFont="1" applyFill="1" applyBorder="1" applyAlignment="1">
      <alignment horizontal="center"/>
    </xf>
    <xf numFmtId="1" fontId="6" fillId="6" borderId="0" xfId="0" applyNumberFormat="1" applyFont="1" applyFill="1" applyAlignment="1">
      <alignment horizontal="right" vertical="center"/>
    </xf>
    <xf numFmtId="1" fontId="13" fillId="16" borderId="79" xfId="0" applyNumberFormat="1" applyFont="1" applyFill="1" applyBorder="1" applyAlignment="1">
      <alignment horizontal="center"/>
    </xf>
    <xf numFmtId="1" fontId="13" fillId="16" borderId="35" xfId="0" applyNumberFormat="1" applyFont="1" applyFill="1" applyBorder="1" applyAlignment="1">
      <alignment horizontal="center"/>
    </xf>
    <xf numFmtId="1" fontId="13" fillId="16" borderId="81" xfId="0" applyNumberFormat="1" applyFont="1" applyFill="1" applyBorder="1" applyAlignment="1">
      <alignment horizontal="center"/>
    </xf>
    <xf numFmtId="1" fontId="13" fillId="16" borderId="80" xfId="0" applyNumberFormat="1" applyFont="1" applyFill="1" applyBorder="1" applyAlignment="1">
      <alignment horizontal="center"/>
    </xf>
    <xf numFmtId="1" fontId="13" fillId="16" borderId="82" xfId="0" applyNumberFormat="1" applyFont="1" applyFill="1" applyBorder="1" applyAlignment="1">
      <alignment horizontal="center"/>
    </xf>
    <xf numFmtId="1" fontId="29" fillId="0" borderId="0" xfId="0" applyNumberFormat="1" applyFont="1" applyAlignment="1" applyProtection="1">
      <alignment horizontal="left"/>
      <protection locked="0" hidden="1"/>
    </xf>
    <xf numFmtId="1" fontId="6" fillId="6" borderId="86" xfId="0" applyNumberFormat="1" applyFont="1" applyFill="1" applyBorder="1" applyAlignment="1">
      <alignment horizontal="left" vertical="center"/>
    </xf>
    <xf numFmtId="168" fontId="13" fillId="17" borderId="68" xfId="0" applyNumberFormat="1" applyFont="1" applyFill="1" applyBorder="1" applyAlignment="1">
      <alignment horizontal="center"/>
    </xf>
    <xf numFmtId="179" fontId="13" fillId="17" borderId="19" xfId="0" applyNumberFormat="1" applyFont="1" applyFill="1" applyBorder="1" applyAlignment="1">
      <alignment horizontal="center"/>
    </xf>
    <xf numFmtId="168" fontId="13" fillId="17" borderId="67" xfId="0" applyNumberFormat="1" applyFont="1" applyFill="1" applyBorder="1" applyAlignment="1">
      <alignment horizontal="center"/>
    </xf>
    <xf numFmtId="168" fontId="13" fillId="17" borderId="69" xfId="0" applyNumberFormat="1" applyFont="1" applyFill="1" applyBorder="1" applyAlignment="1">
      <alignment horizontal="center"/>
    </xf>
    <xf numFmtId="168" fontId="13" fillId="17" borderId="70" xfId="0" applyNumberFormat="1" applyFont="1" applyFill="1" applyBorder="1" applyAlignment="1">
      <alignment horizontal="center"/>
    </xf>
    <xf numFmtId="1" fontId="13" fillId="6" borderId="86" xfId="0" applyNumberFormat="1" applyFont="1" applyFill="1" applyBorder="1" applyAlignment="1">
      <alignment horizontal="right" vertical="center"/>
    </xf>
    <xf numFmtId="168" fontId="13" fillId="17" borderId="76" xfId="0" applyNumberFormat="1" applyFont="1" applyFill="1" applyBorder="1" applyAlignment="1">
      <alignment horizontal="center"/>
    </xf>
    <xf numFmtId="168" fontId="13" fillId="17" borderId="88" xfId="0" applyNumberFormat="1" applyFont="1" applyFill="1" applyBorder="1" applyAlignment="1">
      <alignment horizontal="center"/>
    </xf>
    <xf numFmtId="168" fontId="13" fillId="17" borderId="72" xfId="0" applyNumberFormat="1" applyFont="1" applyFill="1" applyBorder="1" applyAlignment="1">
      <alignment horizontal="center"/>
    </xf>
    <xf numFmtId="168" fontId="13" fillId="17" borderId="89" xfId="0" applyNumberFormat="1" applyFont="1" applyFill="1" applyBorder="1" applyAlignment="1">
      <alignment horizontal="center"/>
    </xf>
    <xf numFmtId="168" fontId="13" fillId="17" borderId="90" xfId="0" applyNumberFormat="1" applyFont="1" applyFill="1" applyBorder="1" applyAlignment="1">
      <alignment horizontal="center"/>
    </xf>
    <xf numFmtId="168" fontId="13" fillId="17" borderId="91" xfId="0" applyNumberFormat="1" applyFont="1" applyFill="1" applyBorder="1" applyAlignment="1">
      <alignment horizontal="center"/>
    </xf>
    <xf numFmtId="1" fontId="6" fillId="18" borderId="92" xfId="0" applyNumberFormat="1" applyFont="1" applyFill="1" applyBorder="1" applyProtection="1">
      <protection locked="0"/>
    </xf>
    <xf numFmtId="20" fontId="6" fillId="18" borderId="93" xfId="0" applyNumberFormat="1" applyFont="1" applyFill="1" applyBorder="1"/>
    <xf numFmtId="0" fontId="30" fillId="18" borderId="53" xfId="0" applyFont="1" applyFill="1" applyBorder="1" applyAlignment="1" applyProtection="1">
      <alignment vertical="center"/>
      <protection locked="0"/>
    </xf>
    <xf numFmtId="0" fontId="30" fillId="18" borderId="94" xfId="0" applyFont="1" applyFill="1" applyBorder="1" applyAlignment="1" applyProtection="1">
      <alignment vertical="center"/>
      <protection locked="0"/>
    </xf>
    <xf numFmtId="0" fontId="20" fillId="6" borderId="93" xfId="0" applyFont="1" applyFill="1" applyBorder="1" applyAlignment="1">
      <alignment horizontal="center" vertical="center"/>
    </xf>
    <xf numFmtId="0" fontId="31" fillId="6" borderId="93" xfId="0" applyFont="1" applyFill="1" applyBorder="1" applyAlignment="1" applyProtection="1">
      <alignment horizontal="center" vertical="top"/>
      <protection locked="0" hidden="1"/>
    </xf>
    <xf numFmtId="20" fontId="13" fillId="6" borderId="94" xfId="0" applyNumberFormat="1" applyFont="1" applyFill="1" applyBorder="1" applyAlignment="1">
      <alignment horizontal="right"/>
    </xf>
    <xf numFmtId="20" fontId="13" fillId="6" borderId="53" xfId="0" applyNumberFormat="1" applyFont="1" applyFill="1" applyBorder="1" applyAlignment="1">
      <alignment horizontal="right"/>
    </xf>
    <xf numFmtId="46" fontId="13" fillId="6" borderId="95" xfId="0" applyNumberFormat="1" applyFont="1" applyFill="1" applyBorder="1" applyAlignment="1">
      <alignment horizontal="center"/>
    </xf>
    <xf numFmtId="46" fontId="13" fillId="6" borderId="96" xfId="0" applyNumberFormat="1" applyFont="1" applyFill="1" applyBorder="1" applyAlignment="1">
      <alignment horizontal="center"/>
    </xf>
    <xf numFmtId="46" fontId="13" fillId="6" borderId="97" xfId="0" applyNumberFormat="1" applyFont="1" applyFill="1" applyBorder="1" applyAlignment="1">
      <alignment horizontal="center"/>
    </xf>
    <xf numFmtId="46" fontId="13" fillId="6" borderId="98" xfId="0" applyNumberFormat="1" applyFont="1" applyFill="1" applyBorder="1" applyAlignment="1">
      <alignment horizontal="center"/>
    </xf>
    <xf numFmtId="178" fontId="0" fillId="0" borderId="0" xfId="0" applyNumberFormat="1"/>
    <xf numFmtId="1" fontId="24" fillId="0" borderId="99" xfId="0" applyNumberFormat="1" applyFont="1" applyBorder="1"/>
    <xf numFmtId="1" fontId="21" fillId="0" borderId="99" xfId="0" applyNumberFormat="1" applyFont="1" applyBorder="1"/>
    <xf numFmtId="0" fontId="21" fillId="0" borderId="0" xfId="0" applyFont="1" applyAlignment="1">
      <alignment vertical="top"/>
    </xf>
    <xf numFmtId="1" fontId="13" fillId="6" borderId="100" xfId="0" applyNumberFormat="1" applyFont="1" applyFill="1" applyBorder="1" applyAlignment="1">
      <alignment horizontal="center"/>
    </xf>
    <xf numFmtId="1" fontId="13" fillId="6" borderId="13" xfId="0" applyNumberFormat="1" applyFont="1" applyFill="1" applyBorder="1" applyAlignment="1">
      <alignment horizontal="right"/>
    </xf>
    <xf numFmtId="180" fontId="13" fillId="6" borderId="60" xfId="0" applyNumberFormat="1" applyFont="1" applyFill="1" applyBorder="1" applyAlignment="1">
      <alignment horizontal="center"/>
    </xf>
    <xf numFmtId="180" fontId="13" fillId="6" borderId="101" xfId="0" applyNumberFormat="1" applyFont="1" applyFill="1" applyBorder="1" applyAlignment="1">
      <alignment horizontal="center"/>
    </xf>
    <xf numFmtId="180" fontId="13" fillId="6" borderId="102" xfId="0" applyNumberFormat="1" applyFont="1" applyFill="1" applyBorder="1" applyAlignment="1">
      <alignment horizontal="center"/>
    </xf>
    <xf numFmtId="180" fontId="13" fillId="6" borderId="103" xfId="0" applyNumberFormat="1" applyFont="1" applyFill="1" applyBorder="1" applyAlignment="1">
      <alignment horizontal="center"/>
    </xf>
    <xf numFmtId="180" fontId="13" fillId="6" borderId="104" xfId="0" applyNumberFormat="1" applyFont="1" applyFill="1" applyBorder="1" applyAlignment="1">
      <alignment horizontal="center"/>
    </xf>
    <xf numFmtId="180" fontId="13" fillId="6" borderId="61" xfId="0" applyNumberFormat="1" applyFont="1" applyFill="1" applyBorder="1" applyAlignment="1">
      <alignment horizontal="center"/>
    </xf>
    <xf numFmtId="180" fontId="13" fillId="6" borderId="62" xfId="0" applyNumberFormat="1" applyFont="1" applyFill="1" applyBorder="1" applyAlignment="1">
      <alignment horizontal="center"/>
    </xf>
    <xf numFmtId="0" fontId="13" fillId="6" borderId="86" xfId="0" applyFont="1" applyFill="1" applyBorder="1" applyAlignment="1">
      <alignment horizontal="right"/>
    </xf>
    <xf numFmtId="0" fontId="13" fillId="6" borderId="105" xfId="0" applyFont="1" applyFill="1" applyBorder="1" applyAlignment="1">
      <alignment horizontal="center"/>
    </xf>
    <xf numFmtId="177" fontId="13" fillId="19" borderId="106" xfId="0" applyNumberFormat="1" applyFont="1" applyFill="1" applyBorder="1" applyAlignment="1">
      <alignment horizontal="center"/>
    </xf>
    <xf numFmtId="177" fontId="13" fillId="20" borderId="107" xfId="0" applyNumberFormat="1" applyFont="1" applyFill="1" applyBorder="1" applyAlignment="1">
      <alignment horizontal="center"/>
    </xf>
    <xf numFmtId="177" fontId="13" fillId="20" borderId="108" xfId="0" applyNumberFormat="1" applyFont="1" applyFill="1" applyBorder="1" applyAlignment="1">
      <alignment horizontal="center"/>
    </xf>
    <xf numFmtId="177" fontId="13" fillId="20" borderId="109" xfId="0" applyNumberFormat="1" applyFont="1" applyFill="1" applyBorder="1" applyAlignment="1">
      <alignment horizontal="center"/>
    </xf>
    <xf numFmtId="177" fontId="13" fillId="21" borderId="107" xfId="0" applyNumberFormat="1" applyFont="1" applyFill="1" applyBorder="1" applyAlignment="1">
      <alignment horizontal="center"/>
    </xf>
    <xf numFmtId="177" fontId="13" fillId="21" borderId="109" xfId="0" applyNumberFormat="1" applyFont="1" applyFill="1" applyBorder="1" applyAlignment="1">
      <alignment horizontal="center"/>
    </xf>
    <xf numFmtId="177" fontId="13" fillId="22" borderId="110" xfId="0" applyNumberFormat="1" applyFont="1" applyFill="1" applyBorder="1" applyAlignment="1">
      <alignment horizontal="center"/>
    </xf>
    <xf numFmtId="177" fontId="13" fillId="11" borderId="107" xfId="0" applyNumberFormat="1" applyFont="1" applyFill="1" applyBorder="1" applyAlignment="1">
      <alignment horizontal="center"/>
    </xf>
    <xf numFmtId="177" fontId="13" fillId="11" borderId="108" xfId="0" applyNumberFormat="1" applyFont="1" applyFill="1" applyBorder="1" applyAlignment="1">
      <alignment horizontal="center"/>
    </xf>
    <xf numFmtId="177" fontId="13" fillId="11" borderId="111" xfId="0" applyNumberFormat="1" applyFont="1" applyFill="1" applyBorder="1" applyAlignment="1">
      <alignment horizontal="center"/>
    </xf>
    <xf numFmtId="177" fontId="13" fillId="23" borderId="106" xfId="0" applyNumberFormat="1" applyFont="1" applyFill="1" applyBorder="1" applyAlignment="1">
      <alignment horizontal="center"/>
    </xf>
    <xf numFmtId="177" fontId="13" fillId="24" borderId="107" xfId="0" applyNumberFormat="1" applyFont="1" applyFill="1" applyBorder="1" applyAlignment="1">
      <alignment horizontal="center"/>
    </xf>
    <xf numFmtId="177" fontId="13" fillId="24" borderId="111" xfId="0" applyNumberFormat="1" applyFont="1" applyFill="1" applyBorder="1" applyAlignment="1">
      <alignment horizontal="center"/>
    </xf>
    <xf numFmtId="177" fontId="13" fillId="25" borderId="112" xfId="0" applyNumberFormat="1" applyFont="1" applyFill="1" applyBorder="1" applyAlignment="1">
      <alignment horizontal="center"/>
    </xf>
    <xf numFmtId="177" fontId="13" fillId="20" borderId="113" xfId="0" applyNumberFormat="1" applyFont="1" applyFill="1" applyBorder="1" applyAlignment="1">
      <alignment horizontal="center"/>
    </xf>
    <xf numFmtId="177" fontId="13" fillId="20" borderId="114" xfId="0" applyNumberFormat="1" applyFont="1" applyFill="1" applyBorder="1" applyAlignment="1">
      <alignment horizontal="center"/>
    </xf>
    <xf numFmtId="177" fontId="13" fillId="20" borderId="115" xfId="0" applyNumberFormat="1" applyFont="1" applyFill="1" applyBorder="1" applyAlignment="1">
      <alignment horizontal="center"/>
    </xf>
    <xf numFmtId="177" fontId="13" fillId="21" borderId="113" xfId="0" applyNumberFormat="1" applyFont="1" applyFill="1" applyBorder="1" applyAlignment="1">
      <alignment horizontal="center"/>
    </xf>
    <xf numFmtId="177" fontId="13" fillId="21" borderId="115" xfId="0" applyNumberFormat="1" applyFont="1" applyFill="1" applyBorder="1" applyAlignment="1">
      <alignment horizontal="center"/>
    </xf>
    <xf numFmtId="177" fontId="13" fillId="22" borderId="116" xfId="0" applyNumberFormat="1" applyFont="1" applyFill="1" applyBorder="1" applyAlignment="1">
      <alignment horizontal="center"/>
    </xf>
    <xf numFmtId="177" fontId="13" fillId="11" borderId="113" xfId="0" applyNumberFormat="1" applyFont="1" applyFill="1" applyBorder="1" applyAlignment="1">
      <alignment horizontal="center"/>
    </xf>
    <xf numFmtId="177" fontId="13" fillId="11" borderId="114" xfId="0" applyNumberFormat="1" applyFont="1" applyFill="1" applyBorder="1" applyAlignment="1">
      <alignment horizontal="center"/>
    </xf>
    <xf numFmtId="177" fontId="13" fillId="11" borderId="117" xfId="0" applyNumberFormat="1" applyFont="1" applyFill="1" applyBorder="1" applyAlignment="1">
      <alignment horizontal="center"/>
    </xf>
    <xf numFmtId="177" fontId="13" fillId="23" borderId="118" xfId="0" applyNumberFormat="1" applyFont="1" applyFill="1" applyBorder="1" applyAlignment="1">
      <alignment horizontal="center"/>
    </xf>
    <xf numFmtId="177" fontId="13" fillId="24" borderId="113" xfId="0" applyNumberFormat="1" applyFont="1" applyFill="1" applyBorder="1" applyAlignment="1">
      <alignment horizontal="center"/>
    </xf>
    <xf numFmtId="177" fontId="13" fillId="24" borderId="117" xfId="0" applyNumberFormat="1" applyFont="1" applyFill="1" applyBorder="1" applyAlignment="1">
      <alignment horizontal="center"/>
    </xf>
    <xf numFmtId="177" fontId="13" fillId="25" borderId="119" xfId="0" applyNumberFormat="1" applyFont="1" applyFill="1" applyBorder="1" applyAlignment="1">
      <alignment horizontal="center"/>
    </xf>
    <xf numFmtId="0" fontId="13" fillId="6" borderId="22" xfId="0" applyFont="1" applyFill="1" applyBorder="1" applyAlignment="1">
      <alignment horizontal="right"/>
    </xf>
    <xf numFmtId="0" fontId="13" fillId="6" borderId="23" xfId="0" applyFont="1" applyFill="1" applyBorder="1" applyAlignment="1">
      <alignment horizontal="center"/>
    </xf>
    <xf numFmtId="177" fontId="13" fillId="19" borderId="120" xfId="0" applyNumberFormat="1" applyFont="1" applyFill="1" applyBorder="1" applyAlignment="1">
      <alignment horizontal="center"/>
    </xf>
    <xf numFmtId="177" fontId="13" fillId="20" borderId="121" xfId="0" applyNumberFormat="1" applyFont="1" applyFill="1" applyBorder="1" applyAlignment="1">
      <alignment horizontal="center"/>
    </xf>
    <xf numFmtId="177" fontId="13" fillId="20" borderId="122" xfId="0" applyNumberFormat="1" applyFont="1" applyFill="1" applyBorder="1" applyAlignment="1">
      <alignment horizontal="center"/>
    </xf>
    <xf numFmtId="177" fontId="13" fillId="20" borderId="123" xfId="0" applyNumberFormat="1" applyFont="1" applyFill="1" applyBorder="1" applyAlignment="1">
      <alignment horizontal="center"/>
    </xf>
    <xf numFmtId="177" fontId="13" fillId="21" borderId="121" xfId="0" applyNumberFormat="1" applyFont="1" applyFill="1" applyBorder="1" applyAlignment="1">
      <alignment horizontal="center"/>
    </xf>
    <xf numFmtId="177" fontId="13" fillId="21" borderId="123" xfId="0" applyNumberFormat="1" applyFont="1" applyFill="1" applyBorder="1" applyAlignment="1">
      <alignment horizontal="center"/>
    </xf>
    <xf numFmtId="177" fontId="13" fillId="22" borderId="89" xfId="0" applyNumberFormat="1" applyFont="1" applyFill="1" applyBorder="1" applyAlignment="1">
      <alignment horizontal="center"/>
    </xf>
    <xf numFmtId="177" fontId="13" fillId="11" borderId="121" xfId="0" applyNumberFormat="1" applyFont="1" applyFill="1" applyBorder="1" applyAlignment="1">
      <alignment horizontal="center"/>
    </xf>
    <xf numFmtId="177" fontId="13" fillId="11" borderId="122" xfId="0" applyNumberFormat="1" applyFont="1" applyFill="1" applyBorder="1" applyAlignment="1">
      <alignment horizontal="center"/>
    </xf>
    <xf numFmtId="177" fontId="13" fillId="11" borderId="124" xfId="0" applyNumberFormat="1" applyFont="1" applyFill="1" applyBorder="1" applyAlignment="1">
      <alignment horizontal="center"/>
    </xf>
    <xf numFmtId="177" fontId="13" fillId="23" borderId="88" xfId="0" applyNumberFormat="1" applyFont="1" applyFill="1" applyBorder="1" applyAlignment="1">
      <alignment horizontal="center"/>
    </xf>
    <xf numFmtId="177" fontId="13" fillId="24" borderId="121" xfId="0" applyNumberFormat="1" applyFont="1" applyFill="1" applyBorder="1" applyAlignment="1">
      <alignment horizontal="center"/>
    </xf>
    <xf numFmtId="177" fontId="13" fillId="25" borderId="90" xfId="0" applyNumberFormat="1" applyFont="1" applyFill="1" applyBorder="1" applyAlignment="1">
      <alignment horizontal="center"/>
    </xf>
    <xf numFmtId="0" fontId="13" fillId="6" borderId="33" xfId="0" applyFont="1" applyFill="1" applyBorder="1" applyAlignment="1">
      <alignment horizontal="right"/>
    </xf>
    <xf numFmtId="0" fontId="13" fillId="6" borderId="45" xfId="0" applyFont="1" applyFill="1" applyBorder="1" applyAlignment="1">
      <alignment horizontal="center"/>
    </xf>
    <xf numFmtId="177" fontId="13" fillId="19" borderId="68" xfId="0" applyNumberFormat="1" applyFont="1" applyFill="1" applyBorder="1" applyAlignment="1">
      <alignment horizontal="center"/>
    </xf>
    <xf numFmtId="177" fontId="13" fillId="20" borderId="125" xfId="0" applyNumberFormat="1" applyFont="1" applyFill="1" applyBorder="1" applyAlignment="1">
      <alignment horizontal="center"/>
    </xf>
    <xf numFmtId="177" fontId="13" fillId="20" borderId="126" xfId="0" applyNumberFormat="1" applyFont="1" applyFill="1" applyBorder="1" applyAlignment="1">
      <alignment horizontal="center"/>
    </xf>
    <xf numFmtId="177" fontId="13" fillId="20" borderId="127" xfId="0" applyNumberFormat="1" applyFont="1" applyFill="1" applyBorder="1" applyAlignment="1">
      <alignment horizontal="center"/>
    </xf>
    <xf numFmtId="177" fontId="13" fillId="21" borderId="125" xfId="0" applyNumberFormat="1" applyFont="1" applyFill="1" applyBorder="1" applyAlignment="1">
      <alignment horizontal="center"/>
    </xf>
    <xf numFmtId="177" fontId="13" fillId="21" borderId="127" xfId="0" applyNumberFormat="1" applyFont="1" applyFill="1" applyBorder="1" applyAlignment="1">
      <alignment horizontal="center"/>
    </xf>
    <xf numFmtId="177" fontId="13" fillId="22" borderId="67" xfId="0" applyNumberFormat="1" applyFont="1" applyFill="1" applyBorder="1" applyAlignment="1">
      <alignment horizontal="center"/>
    </xf>
    <xf numFmtId="177" fontId="13" fillId="11" borderId="125" xfId="0" applyNumberFormat="1" applyFont="1" applyFill="1" applyBorder="1" applyAlignment="1">
      <alignment horizontal="center"/>
    </xf>
    <xf numFmtId="177" fontId="13" fillId="11" borderId="126" xfId="0" applyNumberFormat="1" applyFont="1" applyFill="1" applyBorder="1" applyAlignment="1">
      <alignment horizontal="center"/>
    </xf>
    <xf numFmtId="177" fontId="13" fillId="11" borderId="128" xfId="0" applyNumberFormat="1" applyFont="1" applyFill="1" applyBorder="1" applyAlignment="1">
      <alignment horizontal="center"/>
    </xf>
    <xf numFmtId="177" fontId="13" fillId="23" borderId="68" xfId="0" applyNumberFormat="1" applyFont="1" applyFill="1" applyBorder="1" applyAlignment="1">
      <alignment horizontal="center"/>
    </xf>
    <xf numFmtId="177" fontId="13" fillId="24" borderId="125" xfId="0" applyNumberFormat="1" applyFont="1" applyFill="1" applyBorder="1" applyAlignment="1">
      <alignment horizontal="center"/>
    </xf>
    <xf numFmtId="177" fontId="13" fillId="24" borderId="128" xfId="0" applyNumberFormat="1" applyFont="1" applyFill="1" applyBorder="1" applyAlignment="1">
      <alignment horizontal="center"/>
    </xf>
    <xf numFmtId="177" fontId="13" fillId="25" borderId="69" xfId="0" applyNumberFormat="1" applyFont="1" applyFill="1" applyBorder="1" applyAlignment="1">
      <alignment horizontal="center"/>
    </xf>
    <xf numFmtId="177" fontId="13" fillId="19" borderId="118" xfId="0" applyNumberFormat="1" applyFont="1" applyFill="1" applyBorder="1" applyAlignment="1">
      <alignment horizontal="center"/>
    </xf>
    <xf numFmtId="177" fontId="13" fillId="24" borderId="129" xfId="0" applyNumberFormat="1" applyFont="1" applyFill="1" applyBorder="1" applyAlignment="1">
      <alignment horizontal="center"/>
    </xf>
    <xf numFmtId="177" fontId="13" fillId="11" borderId="130" xfId="0" applyNumberFormat="1" applyFont="1" applyFill="1" applyBorder="1" applyAlignment="1">
      <alignment horizontal="center"/>
    </xf>
    <xf numFmtId="177" fontId="13" fillId="11" borderId="131" xfId="0" applyNumberFormat="1" applyFont="1" applyFill="1" applyBorder="1" applyAlignment="1">
      <alignment horizontal="center"/>
    </xf>
    <xf numFmtId="177" fontId="13" fillId="23" borderId="76" xfId="0" applyNumberFormat="1" applyFont="1" applyFill="1" applyBorder="1" applyAlignment="1">
      <alignment horizontal="center"/>
    </xf>
    <xf numFmtId="177" fontId="13" fillId="24" borderId="132" xfId="0" applyNumberFormat="1" applyFont="1" applyFill="1" applyBorder="1" applyAlignment="1">
      <alignment horizontal="center"/>
    </xf>
    <xf numFmtId="177" fontId="13" fillId="24" borderId="133" xfId="0" applyNumberFormat="1" applyFont="1" applyFill="1" applyBorder="1" applyAlignment="1">
      <alignment horizontal="center"/>
    </xf>
    <xf numFmtId="177" fontId="13" fillId="25" borderId="77" xfId="0" applyNumberFormat="1" applyFont="1" applyFill="1" applyBorder="1" applyAlignment="1">
      <alignment horizontal="center"/>
    </xf>
    <xf numFmtId="0" fontId="32" fillId="26" borderId="41" xfId="0" applyFont="1" applyFill="1" applyBorder="1"/>
    <xf numFmtId="177" fontId="13" fillId="19" borderId="88" xfId="0" applyNumberFormat="1" applyFont="1" applyFill="1" applyBorder="1" applyAlignment="1">
      <alignment horizontal="center"/>
    </xf>
    <xf numFmtId="177" fontId="13" fillId="11" borderId="123" xfId="0" applyNumberFormat="1" applyFont="1" applyFill="1" applyBorder="1" applyAlignment="1">
      <alignment horizontal="center"/>
    </xf>
    <xf numFmtId="0" fontId="33" fillId="26" borderId="57" xfId="0" applyFont="1" applyFill="1" applyBorder="1"/>
    <xf numFmtId="0" fontId="33" fillId="26" borderId="12" xfId="0" applyFont="1" applyFill="1" applyBorder="1"/>
    <xf numFmtId="0" fontId="32" fillId="26" borderId="136" xfId="0" applyFont="1" applyFill="1" applyBorder="1" applyAlignment="1">
      <alignment horizontal="center"/>
    </xf>
    <xf numFmtId="0" fontId="0" fillId="0" borderId="39" xfId="0" applyBorder="1" applyAlignment="1">
      <alignment horizontal="center"/>
    </xf>
    <xf numFmtId="0" fontId="0" fillId="0" borderId="39" xfId="0" applyBorder="1"/>
    <xf numFmtId="177" fontId="13" fillId="11" borderId="137" xfId="0" applyNumberFormat="1" applyFont="1" applyFill="1" applyBorder="1" applyAlignment="1">
      <alignment horizontal="center"/>
    </xf>
    <xf numFmtId="0" fontId="33" fillId="26" borderId="22" xfId="0" applyFont="1" applyFill="1" applyBorder="1"/>
    <xf numFmtId="0" fontId="33" fillId="26" borderId="138" xfId="0" applyFont="1" applyFill="1" applyBorder="1"/>
    <xf numFmtId="0" fontId="0" fillId="0" borderId="97" xfId="0" applyBorder="1" applyAlignment="1" applyProtection="1">
      <alignment horizontal="center"/>
      <protection locked="0"/>
    </xf>
    <xf numFmtId="0" fontId="0" fillId="0" borderId="139" xfId="0" applyBorder="1" applyAlignment="1">
      <alignment horizontal="center"/>
    </xf>
    <xf numFmtId="0" fontId="0" fillId="0" borderId="28" xfId="0" applyBorder="1" applyAlignment="1">
      <alignment horizontal="center"/>
    </xf>
    <xf numFmtId="0" fontId="0" fillId="0" borderId="140" xfId="0" applyBorder="1" applyAlignment="1">
      <alignment horizontal="center"/>
    </xf>
    <xf numFmtId="177" fontId="13" fillId="11" borderId="115" xfId="0" applyNumberFormat="1" applyFont="1" applyFill="1" applyBorder="1" applyAlignment="1">
      <alignment horizontal="center"/>
    </xf>
    <xf numFmtId="177" fontId="33" fillId="26" borderId="141" xfId="0" applyNumberFormat="1" applyFont="1" applyFill="1" applyBorder="1" applyAlignment="1">
      <alignment horizontal="center"/>
    </xf>
    <xf numFmtId="177" fontId="33" fillId="26" borderId="142" xfId="0" applyNumberFormat="1" applyFont="1" applyFill="1" applyBorder="1" applyAlignment="1">
      <alignment horizontal="center"/>
    </xf>
    <xf numFmtId="177" fontId="33" fillId="26" borderId="143" xfId="0" applyNumberFormat="1" applyFont="1" applyFill="1" applyBorder="1" applyAlignment="1">
      <alignment horizontal="center"/>
    </xf>
    <xf numFmtId="177" fontId="33" fillId="26" borderId="144" xfId="0" applyNumberFormat="1" applyFont="1" applyFill="1" applyBorder="1" applyAlignment="1">
      <alignment horizontal="center"/>
    </xf>
    <xf numFmtId="177" fontId="33" fillId="26" borderId="145" xfId="0" applyNumberFormat="1" applyFont="1" applyFill="1" applyBorder="1" applyAlignment="1">
      <alignment horizontal="center"/>
    </xf>
    <xf numFmtId="0" fontId="1" fillId="0" borderId="146" xfId="0" applyFont="1" applyBorder="1" applyAlignment="1">
      <alignment horizontal="center"/>
    </xf>
    <xf numFmtId="0" fontId="1" fillId="0" borderId="17" xfId="0" applyFont="1" applyBorder="1" applyAlignment="1">
      <alignment horizontal="center"/>
    </xf>
    <xf numFmtId="20" fontId="0" fillId="0" borderId="0" xfId="0" applyNumberFormat="1" applyAlignment="1">
      <alignment horizontal="center"/>
    </xf>
    <xf numFmtId="21" fontId="0" fillId="0" borderId="147" xfId="0" applyNumberFormat="1" applyBorder="1" applyAlignment="1" applyProtection="1">
      <alignment horizontal="center"/>
      <protection locked="0"/>
    </xf>
    <xf numFmtId="177" fontId="0" fillId="0" borderId="148" xfId="0" applyNumberFormat="1" applyBorder="1" applyAlignment="1" applyProtection="1">
      <alignment horizontal="center"/>
      <protection locked="0"/>
    </xf>
    <xf numFmtId="20" fontId="0" fillId="0" borderId="148" xfId="0" applyNumberFormat="1" applyBorder="1" applyAlignment="1" applyProtection="1">
      <alignment horizontal="center"/>
      <protection locked="0"/>
    </xf>
    <xf numFmtId="0" fontId="0" fillId="0" borderId="149" xfId="0" applyBorder="1" applyAlignment="1" applyProtection="1">
      <alignment horizontal="center"/>
      <protection locked="0"/>
    </xf>
    <xf numFmtId="180" fontId="1" fillId="27" borderId="150" xfId="0" applyNumberFormat="1" applyFont="1" applyFill="1" applyBorder="1" applyAlignment="1">
      <alignment horizontal="center"/>
    </xf>
    <xf numFmtId="177" fontId="1" fillId="27" borderId="151" xfId="0" applyNumberFormat="1" applyFont="1" applyFill="1" applyBorder="1" applyAlignment="1">
      <alignment horizontal="center"/>
    </xf>
    <xf numFmtId="0" fontId="0" fillId="0" borderId="37" xfId="0" applyBorder="1" applyAlignment="1">
      <alignment horizontal="center"/>
    </xf>
    <xf numFmtId="46" fontId="0" fillId="0" borderId="0" xfId="0" applyNumberFormat="1"/>
    <xf numFmtId="21" fontId="0" fillId="0" borderId="87" xfId="0" applyNumberFormat="1" applyBorder="1" applyAlignment="1" applyProtection="1">
      <alignment horizontal="center"/>
      <protection locked="0"/>
    </xf>
    <xf numFmtId="177" fontId="0" fillId="0" borderId="152" xfId="0" applyNumberFormat="1" applyBorder="1" applyAlignment="1" applyProtection="1">
      <alignment horizontal="center"/>
      <protection locked="0"/>
    </xf>
    <xf numFmtId="20" fontId="0" fillId="0" borderId="152" xfId="0" applyNumberFormat="1" applyBorder="1" applyAlignment="1" applyProtection="1">
      <alignment horizontal="center"/>
      <protection locked="0"/>
    </xf>
    <xf numFmtId="0" fontId="0" fillId="0" borderId="16" xfId="0" applyBorder="1" applyAlignment="1" applyProtection="1">
      <alignment horizontal="center"/>
      <protection locked="0"/>
    </xf>
    <xf numFmtId="180" fontId="1" fillId="27" borderId="153" xfId="0" applyNumberFormat="1" applyFont="1" applyFill="1" applyBorder="1" applyAlignment="1">
      <alignment horizontal="center"/>
    </xf>
    <xf numFmtId="177" fontId="1" fillId="27" borderId="154" xfId="0" applyNumberFormat="1" applyFont="1" applyFill="1" applyBorder="1" applyAlignment="1">
      <alignment horizontal="center"/>
    </xf>
    <xf numFmtId="0" fontId="0" fillId="0" borderId="155" xfId="0" applyBorder="1" applyAlignment="1">
      <alignment horizontal="center"/>
    </xf>
    <xf numFmtId="177" fontId="13" fillId="11" borderId="127" xfId="0" applyNumberFormat="1" applyFont="1" applyFill="1" applyBorder="1" applyAlignment="1">
      <alignment horizontal="center"/>
    </xf>
    <xf numFmtId="181" fontId="1" fillId="0" borderId="0" xfId="0" applyNumberFormat="1" applyFont="1"/>
    <xf numFmtId="21" fontId="0" fillId="0" borderId="156" xfId="0" applyNumberFormat="1" applyBorder="1" applyAlignment="1" applyProtection="1">
      <alignment horizontal="center"/>
      <protection locked="0"/>
    </xf>
    <xf numFmtId="177" fontId="0" fillId="0" borderId="37" xfId="0" applyNumberFormat="1" applyBorder="1" applyAlignment="1" applyProtection="1">
      <alignment horizontal="center"/>
      <protection locked="0"/>
    </xf>
    <xf numFmtId="20" fontId="0" fillId="0" borderId="37" xfId="0" applyNumberFormat="1" applyBorder="1" applyAlignment="1" applyProtection="1">
      <alignment horizontal="center"/>
      <protection locked="0"/>
    </xf>
    <xf numFmtId="0" fontId="0" fillId="0" borderId="18" xfId="0" applyBorder="1" applyAlignment="1" applyProtection="1">
      <alignment horizontal="center"/>
      <protection locked="0"/>
    </xf>
    <xf numFmtId="180" fontId="1" fillId="27" borderId="157" xfId="0" applyNumberFormat="1" applyFont="1" applyFill="1" applyBorder="1" applyAlignment="1">
      <alignment horizontal="center"/>
    </xf>
    <xf numFmtId="177" fontId="1" fillId="27" borderId="158" xfId="0" applyNumberFormat="1" applyFont="1" applyFill="1" applyBorder="1" applyAlignment="1">
      <alignment horizontal="center"/>
    </xf>
    <xf numFmtId="21" fontId="0" fillId="0" borderId="159" xfId="0" applyNumberFormat="1" applyBorder="1" applyAlignment="1" applyProtection="1">
      <alignment horizontal="center"/>
      <protection locked="0"/>
    </xf>
    <xf numFmtId="177" fontId="0" fillId="0" borderId="160" xfId="0" applyNumberFormat="1" applyBorder="1" applyAlignment="1" applyProtection="1">
      <alignment horizontal="center"/>
      <protection locked="0"/>
    </xf>
    <xf numFmtId="20" fontId="0" fillId="0" borderId="160" xfId="0" applyNumberFormat="1" applyBorder="1" applyAlignment="1" applyProtection="1">
      <alignment horizontal="center"/>
      <protection locked="0"/>
    </xf>
    <xf numFmtId="0" fontId="0" fillId="0" borderId="25" xfId="0" applyBorder="1" applyAlignment="1" applyProtection="1">
      <alignment horizontal="center"/>
      <protection locked="0"/>
    </xf>
    <xf numFmtId="0" fontId="0" fillId="0" borderId="148" xfId="0" applyBorder="1" applyAlignment="1">
      <alignment horizontal="center"/>
    </xf>
    <xf numFmtId="21" fontId="0" fillId="27" borderId="161" xfId="0" applyNumberFormat="1" applyFill="1" applyBorder="1" applyAlignment="1">
      <alignment horizontal="center"/>
    </xf>
    <xf numFmtId="177" fontId="0" fillId="27" borderId="162" xfId="0" applyNumberFormat="1" applyFill="1" applyBorder="1" applyAlignment="1">
      <alignment horizontal="center"/>
    </xf>
    <xf numFmtId="20" fontId="0" fillId="27" borderId="162" xfId="0" applyNumberFormat="1" applyFill="1" applyBorder="1" applyAlignment="1">
      <alignment horizontal="center"/>
    </xf>
    <xf numFmtId="177" fontId="0" fillId="27" borderId="163" xfId="0" applyNumberFormat="1" applyFill="1" applyBorder="1" applyAlignment="1">
      <alignment horizontal="center"/>
    </xf>
    <xf numFmtId="0" fontId="1" fillId="27" borderId="53" xfId="0" applyFont="1" applyFill="1" applyBorder="1" applyAlignment="1">
      <alignment horizontal="right"/>
    </xf>
    <xf numFmtId="177" fontId="1" fillId="27" borderId="97" xfId="0" applyNumberFormat="1" applyFont="1" applyFill="1" applyBorder="1" applyAlignment="1">
      <alignment horizontal="center"/>
    </xf>
    <xf numFmtId="182" fontId="1" fillId="0" borderId="0" xfId="0" applyNumberFormat="1" applyFont="1"/>
    <xf numFmtId="177" fontId="13" fillId="20" borderId="167" xfId="0" applyNumberFormat="1" applyFont="1" applyFill="1" applyBorder="1" applyAlignment="1">
      <alignment horizontal="center"/>
    </xf>
    <xf numFmtId="177" fontId="13" fillId="20" borderId="168" xfId="0" applyNumberFormat="1" applyFont="1" applyFill="1" applyBorder="1" applyAlignment="1">
      <alignment horizontal="center"/>
    </xf>
    <xf numFmtId="177" fontId="13" fillId="20" borderId="169" xfId="0" applyNumberFormat="1" applyFont="1" applyFill="1" applyBorder="1" applyAlignment="1">
      <alignment horizontal="center"/>
    </xf>
    <xf numFmtId="177" fontId="13" fillId="21" borderId="167" xfId="0" applyNumberFormat="1" applyFont="1" applyFill="1" applyBorder="1" applyAlignment="1">
      <alignment horizontal="center"/>
    </xf>
    <xf numFmtId="177" fontId="13" fillId="21" borderId="169" xfId="0" applyNumberFormat="1" applyFont="1" applyFill="1" applyBorder="1" applyAlignment="1">
      <alignment horizontal="center"/>
    </xf>
    <xf numFmtId="177" fontId="13" fillId="22" borderId="170" xfId="0" applyNumberFormat="1" applyFont="1" applyFill="1" applyBorder="1" applyAlignment="1">
      <alignment horizontal="center"/>
    </xf>
    <xf numFmtId="177" fontId="13" fillId="11" borderId="167" xfId="0" applyNumberFormat="1" applyFont="1" applyFill="1" applyBorder="1" applyAlignment="1">
      <alignment horizontal="center"/>
    </xf>
    <xf numFmtId="177" fontId="13" fillId="11" borderId="171" xfId="0" applyNumberFormat="1" applyFont="1" applyFill="1" applyBorder="1" applyAlignment="1">
      <alignment horizontal="center"/>
    </xf>
    <xf numFmtId="0" fontId="0" fillId="0" borderId="135" xfId="0" applyBorder="1"/>
    <xf numFmtId="0" fontId="0" fillId="0" borderId="135" xfId="0" applyBorder="1" applyAlignment="1">
      <alignment horizontal="center"/>
    </xf>
    <xf numFmtId="0" fontId="13" fillId="0" borderId="135" xfId="0" applyFont="1" applyBorder="1"/>
    <xf numFmtId="0" fontId="21" fillId="0" borderId="0" xfId="0" applyFont="1"/>
    <xf numFmtId="183" fontId="6" fillId="0" borderId="174" xfId="1" applyNumberFormat="1" applyFont="1" applyFill="1" applyBorder="1" applyAlignment="1" applyProtection="1">
      <alignment horizontal="center"/>
      <protection locked="0"/>
    </xf>
    <xf numFmtId="0" fontId="6" fillId="6" borderId="175" xfId="1" applyFont="1" applyFill="1" applyBorder="1" applyAlignment="1" applyProtection="1">
      <protection locked="0"/>
    </xf>
    <xf numFmtId="0" fontId="6" fillId="6" borderId="175" xfId="1" applyFont="1" applyFill="1" applyBorder="1" applyAlignment="1" applyProtection="1"/>
    <xf numFmtId="0" fontId="34" fillId="6" borderId="176" xfId="1" applyFont="1" applyFill="1" applyBorder="1" applyAlignment="1" applyProtection="1">
      <protection locked="0"/>
    </xf>
    <xf numFmtId="20" fontId="18" fillId="6" borderId="136" xfId="0" applyNumberFormat="1" applyFont="1" applyFill="1" applyBorder="1" applyAlignment="1">
      <alignment horizontal="center"/>
    </xf>
    <xf numFmtId="0" fontId="35" fillId="6" borderId="179" xfId="0" applyFont="1" applyFill="1" applyBorder="1" applyAlignment="1" applyProtection="1">
      <alignment horizontal="center"/>
      <protection locked="0"/>
    </xf>
    <xf numFmtId="0" fontId="14" fillId="0" borderId="180" xfId="0" applyFont="1" applyBorder="1" applyAlignment="1" applyProtection="1">
      <alignment horizontal="center"/>
      <protection locked="0"/>
    </xf>
    <xf numFmtId="184" fontId="6" fillId="0" borderId="110" xfId="1" applyNumberFormat="1" applyFont="1" applyFill="1" applyBorder="1" applyAlignment="1" applyProtection="1">
      <alignment horizontal="center"/>
      <protection locked="0"/>
    </xf>
    <xf numFmtId="20" fontId="6" fillId="6" borderId="185" xfId="0" applyNumberFormat="1" applyFont="1" applyFill="1" applyBorder="1" applyAlignment="1">
      <alignment horizontal="center"/>
    </xf>
    <xf numFmtId="0" fontId="6" fillId="6" borderId="186" xfId="0" applyFont="1" applyFill="1" applyBorder="1" applyAlignment="1">
      <alignment horizontal="center"/>
    </xf>
    <xf numFmtId="0" fontId="18" fillId="6" borderId="31" xfId="0" applyFont="1" applyFill="1" applyBorder="1" applyAlignment="1">
      <alignment horizontal="left"/>
    </xf>
    <xf numFmtId="0" fontId="6" fillId="6" borderId="187" xfId="0" applyFont="1" applyFill="1" applyBorder="1" applyAlignment="1">
      <alignment horizontal="center"/>
    </xf>
    <xf numFmtId="0" fontId="35" fillId="6" borderId="157" xfId="0" applyFont="1" applyFill="1" applyBorder="1" applyAlignment="1" applyProtection="1">
      <alignment horizontal="center"/>
      <protection locked="0"/>
    </xf>
    <xf numFmtId="0" fontId="14" fillId="0" borderId="154" xfId="0" applyFont="1" applyBorder="1" applyAlignment="1" applyProtection="1">
      <alignment horizontal="center"/>
      <protection locked="0"/>
    </xf>
    <xf numFmtId="0" fontId="36" fillId="0" borderId="188" xfId="0" applyFont="1" applyBorder="1" applyAlignment="1">
      <alignment horizontal="center"/>
    </xf>
    <xf numFmtId="0" fontId="1" fillId="0" borderId="83" xfId="0" applyFont="1" applyBorder="1" applyAlignment="1">
      <alignment horizontal="center"/>
    </xf>
    <xf numFmtId="0" fontId="1" fillId="0" borderId="47" xfId="0" applyFont="1" applyBorder="1" applyAlignment="1">
      <alignment horizontal="center"/>
    </xf>
    <xf numFmtId="0" fontId="38" fillId="9" borderId="75" xfId="0" applyFont="1" applyFill="1" applyBorder="1" applyAlignment="1">
      <alignment horizontal="center"/>
    </xf>
    <xf numFmtId="175" fontId="13" fillId="0" borderId="181" xfId="0" applyNumberFormat="1" applyFont="1" applyBorder="1" applyAlignment="1" applyProtection="1">
      <alignment horizontal="center"/>
      <protection locked="0"/>
    </xf>
    <xf numFmtId="175" fontId="13" fillId="0" borderId="182" xfId="0" applyNumberFormat="1" applyFont="1" applyBorder="1" applyAlignment="1" applyProtection="1">
      <alignment horizontal="center"/>
      <protection locked="0"/>
    </xf>
    <xf numFmtId="175" fontId="13" fillId="0" borderId="183" xfId="0" applyNumberFormat="1" applyFont="1" applyBorder="1" applyAlignment="1" applyProtection="1">
      <alignment horizontal="center"/>
      <protection locked="0"/>
    </xf>
    <xf numFmtId="175" fontId="13" fillId="0" borderId="184" xfId="0" applyNumberFormat="1" applyFont="1" applyBorder="1" applyAlignment="1" applyProtection="1">
      <alignment horizontal="center"/>
      <protection locked="0"/>
    </xf>
    <xf numFmtId="185" fontId="14" fillId="0" borderId="189" xfId="0" applyNumberFormat="1" applyFont="1" applyBorder="1" applyAlignment="1" applyProtection="1">
      <alignment horizontal="center"/>
      <protection locked="0"/>
    </xf>
    <xf numFmtId="0" fontId="18" fillId="6" borderId="159" xfId="0" applyFont="1" applyFill="1" applyBorder="1" applyAlignment="1">
      <alignment horizontal="center"/>
    </xf>
    <xf numFmtId="0" fontId="18" fillId="6" borderId="160" xfId="0" applyFont="1" applyFill="1" applyBorder="1" applyAlignment="1">
      <alignment horizontal="center"/>
    </xf>
    <xf numFmtId="0" fontId="18" fillId="6" borderId="190" xfId="0" applyFont="1" applyFill="1" applyBorder="1" applyAlignment="1">
      <alignment horizontal="center"/>
    </xf>
    <xf numFmtId="0" fontId="20" fillId="6" borderId="191" xfId="0" applyFont="1" applyFill="1" applyBorder="1" applyProtection="1">
      <protection locked="0"/>
    </xf>
    <xf numFmtId="0" fontId="18" fillId="6" borderId="172" xfId="0" applyFont="1" applyFill="1" applyBorder="1" applyAlignment="1">
      <alignment horizontal="center"/>
    </xf>
    <xf numFmtId="0" fontId="39" fillId="0" borderId="188" xfId="0" applyFont="1" applyBorder="1" applyAlignment="1">
      <alignment horizontal="center"/>
    </xf>
    <xf numFmtId="0" fontId="6" fillId="9" borderId="144" xfId="0" applyFont="1" applyFill="1" applyBorder="1" applyAlignment="1">
      <alignment horizontal="center"/>
    </xf>
    <xf numFmtId="0" fontId="6" fillId="9" borderId="143" xfId="0" applyFont="1" applyFill="1" applyBorder="1" applyAlignment="1">
      <alignment horizontal="center"/>
    </xf>
    <xf numFmtId="0" fontId="6" fillId="0" borderId="120" xfId="0" applyFont="1" applyBorder="1" applyAlignment="1">
      <alignment horizontal="center"/>
    </xf>
    <xf numFmtId="0" fontId="1" fillId="0" borderId="120" xfId="0" applyFont="1" applyBorder="1" applyAlignment="1">
      <alignment horizontal="center"/>
    </xf>
    <xf numFmtId="0" fontId="1" fillId="0" borderId="144" xfId="0" applyFont="1" applyBorder="1" applyAlignment="1">
      <alignment horizontal="center"/>
    </xf>
    <xf numFmtId="0" fontId="1" fillId="0" borderId="142" xfId="0" applyFont="1" applyBorder="1" applyAlignment="1">
      <alignment horizontal="center"/>
    </xf>
    <xf numFmtId="0" fontId="1" fillId="0" borderId="143" xfId="0" applyFont="1" applyBorder="1" applyAlignment="1">
      <alignment horizontal="center"/>
    </xf>
    <xf numFmtId="0" fontId="24" fillId="9" borderId="170" xfId="0" applyFont="1" applyFill="1" applyBorder="1" applyAlignment="1">
      <alignment horizontal="center"/>
    </xf>
    <xf numFmtId="185" fontId="14" fillId="0" borderId="194" xfId="0" applyNumberFormat="1" applyFont="1" applyBorder="1" applyAlignment="1" applyProtection="1">
      <alignment horizontal="center"/>
      <protection locked="0"/>
    </xf>
    <xf numFmtId="0" fontId="13" fillId="19" borderId="147" xfId="0" applyFont="1" applyFill="1" applyBorder="1" applyAlignment="1">
      <alignment horizontal="center"/>
    </xf>
    <xf numFmtId="46" fontId="13" fillId="19" borderId="195" xfId="0" applyNumberFormat="1" applyFont="1" applyFill="1" applyBorder="1" applyAlignment="1">
      <alignment horizontal="center"/>
    </xf>
    <xf numFmtId="168" fontId="13" fillId="19" borderId="196" xfId="0" applyNumberFormat="1" applyFont="1" applyFill="1" applyBorder="1" applyAlignment="1">
      <alignment horizontal="center"/>
    </xf>
    <xf numFmtId="46" fontId="13" fillId="20" borderId="19" xfId="0" applyNumberFormat="1" applyFont="1" applyFill="1" applyBorder="1" applyAlignment="1">
      <alignment horizontal="center"/>
    </xf>
    <xf numFmtId="179" fontId="13" fillId="20" borderId="197" xfId="0" applyNumberFormat="1" applyFont="1" applyFill="1" applyBorder="1" applyAlignment="1">
      <alignment horizontal="center"/>
    </xf>
    <xf numFmtId="174" fontId="39" fillId="0" borderId="188" xfId="0" applyNumberFormat="1" applyFont="1" applyBorder="1" applyAlignment="1">
      <alignment horizontal="center"/>
    </xf>
    <xf numFmtId="46" fontId="6" fillId="0" borderId="65" xfId="0" applyNumberFormat="1" applyFont="1" applyBorder="1" applyAlignment="1" applyProtection="1">
      <alignment horizontal="center"/>
      <protection locked="0"/>
    </xf>
    <xf numFmtId="46" fontId="6" fillId="0" borderId="66" xfId="0" applyNumberFormat="1" applyFont="1" applyBorder="1" applyAlignment="1" applyProtection="1">
      <alignment horizontal="center"/>
      <protection locked="0"/>
    </xf>
    <xf numFmtId="0" fontId="6" fillId="9" borderId="83" xfId="0" applyFont="1" applyFill="1" applyBorder="1" applyAlignment="1">
      <alignment horizontal="center"/>
    </xf>
    <xf numFmtId="0" fontId="6" fillId="0" borderId="65" xfId="0" applyFont="1" applyBorder="1" applyAlignment="1">
      <alignment horizontal="center"/>
    </xf>
    <xf numFmtId="10" fontId="1" fillId="0" borderId="66" xfId="0" applyNumberFormat="1" applyFont="1" applyBorder="1" applyAlignment="1">
      <alignment horizontal="center"/>
    </xf>
    <xf numFmtId="10" fontId="0" fillId="0" borderId="65" xfId="0" applyNumberFormat="1" applyBorder="1" applyAlignment="1">
      <alignment horizontal="center"/>
    </xf>
    <xf numFmtId="10" fontId="0" fillId="0" borderId="66" xfId="0" applyNumberFormat="1" applyBorder="1" applyAlignment="1">
      <alignment horizontal="center"/>
    </xf>
    <xf numFmtId="2" fontId="0" fillId="0" borderId="65" xfId="0" applyNumberFormat="1" applyBorder="1" applyAlignment="1">
      <alignment horizontal="center"/>
    </xf>
    <xf numFmtId="2" fontId="0" fillId="0" borderId="66" xfId="0" applyNumberFormat="1" applyBorder="1" applyAlignment="1">
      <alignment horizontal="center"/>
    </xf>
    <xf numFmtId="0" fontId="37" fillId="0" borderId="198" xfId="1" applyFont="1" applyBorder="1" applyAlignment="1" applyProtection="1">
      <alignment vertical="center"/>
    </xf>
    <xf numFmtId="0" fontId="37" fillId="0" borderId="175" xfId="1" applyFont="1" applyBorder="1" applyAlignment="1" applyProtection="1">
      <alignment vertical="center"/>
    </xf>
    <xf numFmtId="0" fontId="37" fillId="0" borderId="176" xfId="1" applyFont="1" applyBorder="1" applyAlignment="1" applyProtection="1">
      <alignment vertical="center"/>
    </xf>
    <xf numFmtId="0" fontId="13" fillId="19" borderId="156" xfId="0" applyFont="1" applyFill="1" applyBorder="1" applyAlignment="1">
      <alignment horizontal="center"/>
    </xf>
    <xf numFmtId="46" fontId="13" fillId="19" borderId="199" xfId="0" applyNumberFormat="1" applyFont="1" applyFill="1" applyBorder="1" applyAlignment="1">
      <alignment horizontal="center"/>
    </xf>
    <xf numFmtId="168" fontId="13" fillId="19" borderId="200" xfId="0" applyNumberFormat="1" applyFont="1" applyFill="1" applyBorder="1" applyAlignment="1">
      <alignment horizontal="center"/>
    </xf>
    <xf numFmtId="46" fontId="13" fillId="20" borderId="201" xfId="0" applyNumberFormat="1" applyFont="1" applyFill="1" applyBorder="1" applyAlignment="1">
      <alignment horizontal="center"/>
    </xf>
    <xf numFmtId="179" fontId="13" fillId="20" borderId="202" xfId="0" applyNumberFormat="1" applyFont="1" applyFill="1" applyBorder="1" applyAlignment="1">
      <alignment horizontal="center"/>
    </xf>
    <xf numFmtId="46" fontId="6" fillId="0" borderId="153" xfId="0" applyNumberFormat="1" applyFont="1" applyBorder="1" applyAlignment="1" applyProtection="1">
      <alignment horizontal="center"/>
      <protection locked="0"/>
    </xf>
    <xf numFmtId="46" fontId="6" fillId="0" borderId="16" xfId="0" applyNumberFormat="1" applyFont="1" applyBorder="1" applyAlignment="1" applyProtection="1">
      <alignment horizontal="center"/>
      <protection locked="0"/>
    </xf>
    <xf numFmtId="0" fontId="6" fillId="9" borderId="203" xfId="0" applyFont="1" applyFill="1" applyBorder="1" applyAlignment="1">
      <alignment horizontal="center"/>
    </xf>
    <xf numFmtId="0" fontId="6" fillId="0" borderId="153" xfId="0" applyFont="1" applyBorder="1" applyAlignment="1">
      <alignment horizontal="center"/>
    </xf>
    <xf numFmtId="10" fontId="0" fillId="0" borderId="16" xfId="0" applyNumberFormat="1" applyBorder="1" applyAlignment="1">
      <alignment horizontal="center"/>
    </xf>
    <xf numFmtId="10" fontId="0" fillId="0" borderId="153" xfId="0" applyNumberFormat="1" applyBorder="1" applyAlignment="1">
      <alignment horizontal="center"/>
    </xf>
    <xf numFmtId="2" fontId="0" fillId="0" borderId="150" xfId="0" applyNumberFormat="1" applyBorder="1" applyAlignment="1">
      <alignment horizontal="center"/>
    </xf>
    <xf numFmtId="2" fontId="0" fillId="0" borderId="149" xfId="0" applyNumberFormat="1" applyBorder="1" applyAlignment="1">
      <alignment horizontal="center"/>
    </xf>
    <xf numFmtId="0" fontId="38" fillId="6" borderId="198" xfId="2" applyFont="1" applyFill="1" applyBorder="1" applyAlignment="1" applyProtection="1">
      <alignment horizontal="center"/>
      <protection hidden="1"/>
    </xf>
    <xf numFmtId="0" fontId="4" fillId="6" borderId="204" xfId="2" applyFont="1" applyFill="1" applyBorder="1"/>
    <xf numFmtId="0" fontId="40" fillId="6" borderId="205" xfId="0" applyFont="1" applyFill="1" applyBorder="1" applyProtection="1">
      <protection locked="0"/>
    </xf>
    <xf numFmtId="2" fontId="0" fillId="0" borderId="153" xfId="0" applyNumberFormat="1" applyBorder="1" applyAlignment="1">
      <alignment horizontal="center"/>
    </xf>
    <xf numFmtId="2" fontId="0" fillId="0" borderId="16" xfId="0" applyNumberFormat="1" applyBorder="1" applyAlignment="1">
      <alignment horizontal="center"/>
    </xf>
    <xf numFmtId="186" fontId="41" fillId="28" borderId="142" xfId="0" applyNumberFormat="1" applyFont="1" applyFill="1" applyBorder="1" applyAlignment="1">
      <alignment horizontal="center"/>
    </xf>
    <xf numFmtId="186" fontId="13" fillId="28" borderId="142" xfId="0" applyNumberFormat="1" applyFont="1" applyFill="1" applyBorder="1" applyAlignment="1">
      <alignment horizontal="center"/>
    </xf>
    <xf numFmtId="186" fontId="13" fillId="28" borderId="145" xfId="0" applyNumberFormat="1" applyFont="1" applyFill="1" applyBorder="1" applyAlignment="1">
      <alignment horizontal="center"/>
    </xf>
    <xf numFmtId="168" fontId="41" fillId="22" borderId="165" xfId="2" applyNumberFormat="1" applyFont="1" applyFill="1" applyBorder="1" applyAlignment="1">
      <alignment horizontal="center"/>
    </xf>
    <xf numFmtId="168" fontId="13" fillId="22" borderId="165" xfId="0" applyNumberFormat="1" applyFont="1" applyFill="1" applyBorder="1" applyAlignment="1">
      <alignment horizontal="center"/>
    </xf>
    <xf numFmtId="168" fontId="13" fillId="22" borderId="166" xfId="0" applyNumberFormat="1" applyFont="1" applyFill="1" applyBorder="1" applyAlignment="1">
      <alignment horizontal="center"/>
    </xf>
    <xf numFmtId="46" fontId="6" fillId="0" borderId="157" xfId="0" applyNumberFormat="1" applyFont="1" applyBorder="1" applyAlignment="1" applyProtection="1">
      <alignment horizontal="center"/>
      <protection locked="0"/>
    </xf>
    <xf numFmtId="46" fontId="6" fillId="0" borderId="18" xfId="0" applyNumberFormat="1" applyFont="1" applyBorder="1" applyAlignment="1" applyProtection="1">
      <alignment horizontal="center"/>
      <protection locked="0"/>
    </xf>
    <xf numFmtId="177" fontId="41" fillId="22" borderId="160" xfId="0" applyNumberFormat="1" applyFont="1" applyFill="1" applyBorder="1" applyAlignment="1">
      <alignment horizontal="center"/>
    </xf>
    <xf numFmtId="177" fontId="13" fillId="22" borderId="160" xfId="0" applyNumberFormat="1" applyFont="1" applyFill="1" applyBorder="1" applyAlignment="1">
      <alignment horizontal="center"/>
    </xf>
    <xf numFmtId="177" fontId="13" fillId="22" borderId="172" xfId="0" applyNumberFormat="1" applyFont="1" applyFill="1" applyBorder="1" applyAlignment="1">
      <alignment horizontal="center"/>
    </xf>
    <xf numFmtId="46" fontId="6" fillId="0" borderId="191" xfId="0" applyNumberFormat="1" applyFont="1" applyBorder="1" applyAlignment="1" applyProtection="1">
      <alignment horizontal="center"/>
      <protection locked="0"/>
    </xf>
    <xf numFmtId="46" fontId="6" fillId="0" borderId="25" xfId="0" applyNumberFormat="1" applyFont="1" applyBorder="1" applyAlignment="1" applyProtection="1">
      <alignment horizontal="center"/>
      <protection locked="0"/>
    </xf>
    <xf numFmtId="0" fontId="6" fillId="9" borderId="120" xfId="0" applyFont="1" applyFill="1" applyBorder="1" applyAlignment="1">
      <alignment horizontal="center"/>
    </xf>
    <xf numFmtId="0" fontId="42" fillId="6" borderId="198" xfId="2" applyFont="1" applyFill="1" applyBorder="1" applyProtection="1">
      <protection locked="0"/>
    </xf>
    <xf numFmtId="187" fontId="24" fillId="0" borderId="142" xfId="2" applyNumberFormat="1" applyFont="1" applyBorder="1" applyAlignment="1" applyProtection="1">
      <alignment horizontal="center" vertical="center"/>
      <protection locked="0"/>
    </xf>
    <xf numFmtId="46" fontId="6" fillId="0" borderId="150" xfId="0" applyNumberFormat="1" applyFont="1" applyBorder="1" applyAlignment="1" applyProtection="1">
      <alignment horizontal="center"/>
      <protection locked="0"/>
    </xf>
    <xf numFmtId="46" fontId="6" fillId="0" borderId="149" xfId="0" applyNumberFormat="1" applyFont="1" applyBorder="1" applyAlignment="1" applyProtection="1">
      <alignment horizontal="center"/>
      <protection locked="0"/>
    </xf>
    <xf numFmtId="21" fontId="40" fillId="6" borderId="176" xfId="0" applyNumberFormat="1" applyFont="1" applyFill="1" applyBorder="1" applyProtection="1">
      <protection locked="0"/>
    </xf>
    <xf numFmtId="0" fontId="6" fillId="9" borderId="203" xfId="1" applyFont="1" applyFill="1" applyBorder="1" applyAlignment="1" applyProtection="1">
      <alignment horizontal="center"/>
    </xf>
    <xf numFmtId="0" fontId="13" fillId="6" borderId="142" xfId="0" applyFont="1" applyFill="1" applyBorder="1" applyAlignment="1">
      <alignment horizontal="center"/>
    </xf>
    <xf numFmtId="0" fontId="13" fillId="6" borderId="145" xfId="0" applyFont="1" applyFill="1" applyBorder="1" applyAlignment="1">
      <alignment horizontal="center"/>
    </xf>
    <xf numFmtId="168" fontId="13" fillId="25" borderId="148" xfId="0" applyNumberFormat="1" applyFont="1" applyFill="1" applyBorder="1" applyAlignment="1">
      <alignment horizontal="center"/>
    </xf>
    <xf numFmtId="168" fontId="13" fillId="25" borderId="166" xfId="0" applyNumberFormat="1" applyFont="1" applyFill="1" applyBorder="1" applyAlignment="1">
      <alignment horizontal="center"/>
    </xf>
    <xf numFmtId="168" fontId="13" fillId="24" borderId="152" xfId="0" applyNumberFormat="1" applyFont="1" applyFill="1" applyBorder="1" applyAlignment="1">
      <alignment horizontal="center"/>
    </xf>
    <xf numFmtId="168" fontId="13" fillId="24" borderId="154" xfId="0" applyNumberFormat="1" applyFont="1" applyFill="1" applyBorder="1" applyAlignment="1">
      <alignment horizontal="center"/>
    </xf>
    <xf numFmtId="168" fontId="13" fillId="22" borderId="211" xfId="0" applyNumberFormat="1" applyFont="1" applyFill="1" applyBorder="1" applyAlignment="1">
      <alignment horizontal="center"/>
    </xf>
    <xf numFmtId="168" fontId="13" fillId="22" borderId="212" xfId="0" applyNumberFormat="1" applyFont="1" applyFill="1" applyBorder="1" applyAlignment="1">
      <alignment horizontal="center"/>
    </xf>
    <xf numFmtId="191" fontId="18" fillId="17" borderId="70" xfId="0" applyNumberFormat="1" applyFont="1" applyFill="1" applyBorder="1" applyAlignment="1">
      <alignment horizontal="center"/>
    </xf>
    <xf numFmtId="168" fontId="13" fillId="25" borderId="214" xfId="0" applyNumberFormat="1" applyFont="1" applyFill="1" applyBorder="1" applyAlignment="1">
      <alignment horizontal="center"/>
    </xf>
    <xf numFmtId="168" fontId="13" fillId="25" borderId="180" xfId="0" applyNumberFormat="1" applyFont="1" applyFill="1" applyBorder="1" applyAlignment="1">
      <alignment horizontal="center"/>
    </xf>
    <xf numFmtId="193" fontId="18" fillId="17" borderId="215" xfId="0" applyNumberFormat="1" applyFont="1" applyFill="1" applyBorder="1" applyAlignment="1">
      <alignment horizontal="center"/>
    </xf>
    <xf numFmtId="195" fontId="18" fillId="17" borderId="216" xfId="0" applyNumberFormat="1" applyFont="1" applyFill="1" applyBorder="1" applyAlignment="1">
      <alignment horizontal="center"/>
    </xf>
    <xf numFmtId="168" fontId="13" fillId="22" borderId="160" xfId="0" applyNumberFormat="1" applyFont="1" applyFill="1" applyBorder="1" applyAlignment="1">
      <alignment horizontal="center"/>
    </xf>
    <xf numFmtId="168" fontId="13" fillId="22" borderId="172" xfId="0" applyNumberFormat="1" applyFont="1" applyFill="1" applyBorder="1" applyAlignment="1">
      <alignment horizontal="center"/>
    </xf>
    <xf numFmtId="197" fontId="18" fillId="17" borderId="78" xfId="0" applyNumberFormat="1" applyFont="1" applyFill="1" applyBorder="1" applyAlignment="1">
      <alignment horizontal="center"/>
    </xf>
    <xf numFmtId="198" fontId="45" fillId="0" borderId="82" xfId="0" applyNumberFormat="1" applyFont="1" applyBorder="1" applyAlignment="1" applyProtection="1">
      <alignment horizontal="center"/>
      <protection locked="0"/>
    </xf>
    <xf numFmtId="0" fontId="18" fillId="6" borderId="217" xfId="0" applyFont="1" applyFill="1" applyBorder="1" applyAlignment="1">
      <alignment horizontal="center"/>
    </xf>
    <xf numFmtId="46" fontId="6" fillId="9" borderId="203" xfId="0" applyNumberFormat="1" applyFont="1" applyFill="1" applyBorder="1" applyAlignment="1">
      <alignment horizontal="center"/>
    </xf>
    <xf numFmtId="0" fontId="40" fillId="6" borderId="145" xfId="0" applyFont="1" applyFill="1" applyBorder="1" applyProtection="1">
      <protection locked="0"/>
    </xf>
    <xf numFmtId="20" fontId="6" fillId="6" borderId="63" xfId="0" applyNumberFormat="1" applyFont="1" applyFill="1" applyBorder="1" applyAlignment="1">
      <alignment horizontal="center"/>
    </xf>
    <xf numFmtId="186" fontId="21" fillId="6" borderId="142" xfId="0" applyNumberFormat="1" applyFont="1" applyFill="1" applyBorder="1" applyAlignment="1">
      <alignment horizontal="center"/>
    </xf>
    <xf numFmtId="186" fontId="6" fillId="6" borderId="142" xfId="0" applyNumberFormat="1" applyFont="1" applyFill="1" applyBorder="1" applyAlignment="1">
      <alignment horizontal="center"/>
    </xf>
    <xf numFmtId="186" fontId="6" fillId="6" borderId="145" xfId="0" applyNumberFormat="1" applyFont="1" applyFill="1" applyBorder="1" applyAlignment="1">
      <alignment horizontal="center"/>
    </xf>
    <xf numFmtId="21" fontId="14" fillId="0" borderId="218" xfId="0" applyNumberFormat="1" applyFont="1" applyBorder="1" applyAlignment="1" applyProtection="1">
      <alignment horizontal="center"/>
      <protection locked="0"/>
    </xf>
    <xf numFmtId="46" fontId="13" fillId="19" borderId="219" xfId="0" applyNumberFormat="1" applyFont="1" applyFill="1" applyBorder="1" applyAlignment="1">
      <alignment horizontal="center"/>
    </xf>
    <xf numFmtId="168" fontId="13" fillId="19" borderId="220" xfId="0" applyNumberFormat="1" applyFont="1" applyFill="1" applyBorder="1" applyAlignment="1">
      <alignment horizontal="center"/>
    </xf>
    <xf numFmtId="46" fontId="13" fillId="20" borderId="72" xfId="0" applyNumberFormat="1" applyFont="1" applyFill="1" applyBorder="1" applyAlignment="1">
      <alignment horizontal="center"/>
    </xf>
    <xf numFmtId="179" fontId="13" fillId="20" borderId="221" xfId="0" applyNumberFormat="1" applyFont="1" applyFill="1" applyBorder="1" applyAlignment="1">
      <alignment horizontal="center"/>
    </xf>
    <xf numFmtId="0" fontId="6" fillId="9" borderId="120" xfId="1" applyFont="1" applyFill="1" applyBorder="1" applyAlignment="1" applyProtection="1">
      <alignment horizontal="center"/>
    </xf>
    <xf numFmtId="0" fontId="6" fillId="0" borderId="191" xfId="0" applyFont="1" applyBorder="1" applyAlignment="1">
      <alignment horizontal="center"/>
    </xf>
    <xf numFmtId="10" fontId="0" fillId="0" borderId="25" xfId="0" applyNumberFormat="1" applyBorder="1" applyAlignment="1">
      <alignment horizontal="center"/>
    </xf>
    <xf numFmtId="10" fontId="0" fillId="0" borderId="191" xfId="0" applyNumberFormat="1" applyBorder="1" applyAlignment="1">
      <alignment horizontal="center"/>
    </xf>
    <xf numFmtId="2" fontId="0" fillId="0" borderId="191" xfId="0" applyNumberFormat="1" applyBorder="1" applyAlignment="1">
      <alignment horizontal="center"/>
    </xf>
    <xf numFmtId="2" fontId="0" fillId="0" borderId="25" xfId="0" applyNumberFormat="1" applyBorder="1" applyAlignment="1">
      <alignment horizontal="center"/>
    </xf>
    <xf numFmtId="177" fontId="6" fillId="19" borderId="165" xfId="0" applyNumberFormat="1" applyFont="1" applyFill="1" applyBorder="1" applyAlignment="1">
      <alignment horizontal="center"/>
    </xf>
    <xf numFmtId="177" fontId="6" fillId="19" borderId="166" xfId="0" applyNumberFormat="1" applyFont="1" applyFill="1" applyBorder="1" applyAlignment="1">
      <alignment horizontal="center"/>
    </xf>
    <xf numFmtId="199" fontId="14" fillId="0" borderId="222" xfId="0" applyNumberFormat="1" applyFont="1" applyBorder="1" applyAlignment="1" applyProtection="1">
      <alignment horizontal="center"/>
      <protection locked="0"/>
    </xf>
    <xf numFmtId="0" fontId="46" fillId="6" borderId="66" xfId="0" applyFont="1" applyFill="1" applyBorder="1" applyProtection="1">
      <protection locked="0"/>
    </xf>
    <xf numFmtId="168" fontId="6" fillId="19" borderId="160" xfId="0" applyNumberFormat="1" applyFont="1" applyFill="1" applyBorder="1" applyAlignment="1">
      <alignment horizontal="center"/>
    </xf>
    <xf numFmtId="168" fontId="48" fillId="19" borderId="160" xfId="0" applyNumberFormat="1" applyFont="1" applyFill="1" applyBorder="1" applyAlignment="1">
      <alignment horizontal="center"/>
    </xf>
    <xf numFmtId="168" fontId="48" fillId="19" borderId="172" xfId="0" applyNumberFormat="1" applyFont="1" applyFill="1" applyBorder="1" applyAlignment="1">
      <alignment horizontal="center"/>
    </xf>
    <xf numFmtId="191" fontId="4" fillId="17" borderId="98" xfId="0" applyNumberFormat="1" applyFont="1" applyFill="1" applyBorder="1" applyAlignment="1">
      <alignment horizontal="center"/>
    </xf>
    <xf numFmtId="0" fontId="37" fillId="6" borderId="42" xfId="1" applyFont="1" applyFill="1" applyBorder="1" applyAlignment="1" applyProtection="1">
      <alignment horizontal="center"/>
    </xf>
    <xf numFmtId="0" fontId="37" fillId="6" borderId="99" xfId="1" applyFont="1" applyFill="1" applyBorder="1" applyAlignment="1" applyProtection="1"/>
    <xf numFmtId="0" fontId="37" fillId="6" borderId="46" xfId="1" applyFont="1" applyFill="1" applyBorder="1" applyAlignment="1" applyProtection="1">
      <alignment horizontal="center"/>
    </xf>
    <xf numFmtId="0" fontId="6" fillId="12" borderId="35" xfId="0" applyFont="1" applyFill="1" applyBorder="1" applyAlignment="1">
      <alignment horizontal="right"/>
    </xf>
    <xf numFmtId="0" fontId="49" fillId="12" borderId="204" xfId="0" applyFont="1" applyFill="1" applyBorder="1" applyAlignment="1" applyProtection="1">
      <alignment horizontal="right"/>
      <protection locked="0"/>
    </xf>
    <xf numFmtId="0" fontId="6" fillId="12" borderId="142" xfId="0" applyFont="1" applyFill="1" applyBorder="1" applyAlignment="1">
      <alignment horizontal="center"/>
    </xf>
    <xf numFmtId="9" fontId="6" fillId="12" borderId="142" xfId="0" applyNumberFormat="1" applyFont="1" applyFill="1" applyBorder="1" applyAlignment="1">
      <alignment horizontal="center"/>
    </xf>
    <xf numFmtId="9" fontId="6" fillId="12" borderId="145" xfId="0" applyNumberFormat="1" applyFont="1" applyFill="1" applyBorder="1" applyAlignment="1">
      <alignment horizontal="center"/>
    </xf>
    <xf numFmtId="168" fontId="18" fillId="0" borderId="0" xfId="0" applyNumberFormat="1" applyFont="1" applyAlignment="1">
      <alignment horizontal="left"/>
    </xf>
    <xf numFmtId="0" fontId="29" fillId="0" borderId="41" xfId="0" applyFont="1" applyBorder="1" applyAlignment="1">
      <alignment horizontal="center"/>
    </xf>
    <xf numFmtId="2" fontId="0" fillId="0" borderId="0" xfId="0" applyNumberFormat="1" applyAlignment="1">
      <alignment horizontal="center"/>
    </xf>
    <xf numFmtId="0" fontId="40" fillId="6" borderId="176" xfId="1" applyFont="1" applyFill="1" applyBorder="1" applyAlignment="1" applyProtection="1">
      <protection locked="0"/>
    </xf>
    <xf numFmtId="200" fontId="4" fillId="14" borderId="86" xfId="0" applyNumberFormat="1" applyFont="1" applyFill="1" applyBorder="1" applyAlignment="1">
      <alignment horizontal="center"/>
    </xf>
    <xf numFmtId="0" fontId="6" fillId="14" borderId="0" xfId="0" applyFont="1" applyFill="1" applyAlignment="1">
      <alignment horizontal="center"/>
    </xf>
    <xf numFmtId="46" fontId="13" fillId="14" borderId="40" xfId="0" applyNumberFormat="1" applyFont="1" applyFill="1" applyBorder="1" applyAlignment="1">
      <alignment horizontal="center"/>
    </xf>
    <xf numFmtId="0" fontId="6" fillId="6" borderId="142" xfId="0" applyFont="1" applyFill="1" applyBorder="1" applyAlignment="1">
      <alignment horizontal="center"/>
    </xf>
    <xf numFmtId="0" fontId="6" fillId="6" borderId="145" xfId="0" applyFont="1" applyFill="1" applyBorder="1" applyAlignment="1">
      <alignment horizontal="center"/>
    </xf>
    <xf numFmtId="200" fontId="52" fillId="14" borderId="229" xfId="0" applyNumberFormat="1" applyFont="1" applyFill="1" applyBorder="1"/>
    <xf numFmtId="0" fontId="6" fillId="14" borderId="39" xfId="0" applyFont="1" applyFill="1" applyBorder="1"/>
    <xf numFmtId="46" fontId="13" fillId="14" borderId="230" xfId="0" applyNumberFormat="1" applyFont="1" applyFill="1" applyBorder="1" applyAlignment="1">
      <alignment horizontal="center"/>
    </xf>
    <xf numFmtId="168" fontId="6" fillId="19" borderId="37" xfId="0" applyNumberFormat="1" applyFont="1" applyFill="1" applyBorder="1" applyAlignment="1">
      <alignment horizontal="center"/>
    </xf>
    <xf numFmtId="168" fontId="6" fillId="19" borderId="158" xfId="0" applyNumberFormat="1" applyFont="1" applyFill="1" applyBorder="1" applyAlignment="1">
      <alignment horizontal="center"/>
    </xf>
    <xf numFmtId="179" fontId="6" fillId="20" borderId="90" xfId="0" applyNumberFormat="1" applyFont="1" applyFill="1" applyBorder="1" applyAlignment="1">
      <alignment horizontal="center"/>
    </xf>
    <xf numFmtId="201" fontId="21" fillId="20" borderId="231" xfId="0" applyNumberFormat="1" applyFont="1" applyFill="1" applyBorder="1" applyAlignment="1">
      <alignment horizontal="center"/>
    </xf>
    <xf numFmtId="168" fontId="6" fillId="19" borderId="172" xfId="0" applyNumberFormat="1" applyFont="1" applyFill="1" applyBorder="1" applyAlignment="1">
      <alignment horizontal="center"/>
    </xf>
    <xf numFmtId="0" fontId="22" fillId="16" borderId="40" xfId="0" applyFont="1" applyFill="1" applyBorder="1" applyAlignment="1">
      <alignment horizontal="center" vertical="top"/>
    </xf>
    <xf numFmtId="202" fontId="21" fillId="20" borderId="231" xfId="0" applyNumberFormat="1" applyFont="1" applyFill="1" applyBorder="1" applyAlignment="1">
      <alignment horizontal="center" vertical="center"/>
    </xf>
    <xf numFmtId="0" fontId="6" fillId="6" borderId="198" xfId="1" applyFont="1" applyFill="1" applyBorder="1" applyAlignment="1" applyProtection="1">
      <alignment horizontal="right"/>
    </xf>
    <xf numFmtId="1" fontId="4" fillId="6" borderId="204" xfId="1" applyNumberFormat="1" applyFont="1" applyFill="1" applyBorder="1" applyAlignment="1" applyProtection="1">
      <alignment horizontal="center"/>
    </xf>
    <xf numFmtId="0" fontId="51" fillId="0" borderId="209" xfId="0" applyFont="1" applyBorder="1" applyAlignment="1" applyProtection="1">
      <alignment horizontal="center"/>
      <protection locked="0"/>
    </xf>
    <xf numFmtId="0" fontId="0" fillId="6" borderId="209" xfId="0" applyFill="1" applyBorder="1"/>
    <xf numFmtId="0" fontId="6" fillId="6" borderId="175" xfId="1" applyFont="1" applyFill="1" applyBorder="1" applyAlignment="1" applyProtection="1">
      <alignment horizontal="right"/>
    </xf>
    <xf numFmtId="168" fontId="4" fillId="6" borderId="204" xfId="1" applyNumberFormat="1" applyFont="1" applyFill="1" applyBorder="1" applyAlignment="1" applyProtection="1">
      <alignment horizontal="center"/>
    </xf>
    <xf numFmtId="20" fontId="51" fillId="0" borderId="145" xfId="0" applyNumberFormat="1" applyFont="1" applyBorder="1" applyAlignment="1" applyProtection="1">
      <alignment horizontal="center"/>
      <protection locked="0"/>
    </xf>
    <xf numFmtId="46" fontId="24" fillId="20" borderId="151" xfId="0" applyNumberFormat="1" applyFont="1" applyFill="1" applyBorder="1" applyAlignment="1">
      <alignment horizontal="center" vertical="center"/>
    </xf>
    <xf numFmtId="0" fontId="0" fillId="0" borderId="86" xfId="0" applyBorder="1"/>
    <xf numFmtId="0" fontId="6" fillId="0" borderId="86" xfId="0" applyFont="1" applyBorder="1" applyAlignment="1">
      <alignment horizontal="center"/>
    </xf>
    <xf numFmtId="0" fontId="6" fillId="0" borderId="40" xfId="0" applyFont="1" applyBorder="1" applyAlignment="1">
      <alignment horizontal="center"/>
    </xf>
    <xf numFmtId="202" fontId="21" fillId="20" borderId="158" xfId="0" applyNumberFormat="1" applyFont="1" applyFill="1" applyBorder="1" applyAlignment="1">
      <alignment horizontal="center" vertical="center"/>
    </xf>
    <xf numFmtId="21" fontId="4" fillId="6" borderId="198" xfId="0" applyNumberFormat="1" applyFont="1" applyFill="1" applyBorder="1"/>
    <xf numFmtId="177" fontId="14" fillId="0" borderId="233" xfId="0" applyNumberFormat="1" applyFont="1" applyBorder="1" applyAlignment="1" applyProtection="1">
      <alignment horizontal="center"/>
      <protection locked="0"/>
    </xf>
    <xf numFmtId="0" fontId="0" fillId="16" borderId="99" xfId="0" applyFill="1" applyBorder="1"/>
    <xf numFmtId="46" fontId="24" fillId="20" borderId="234" xfId="0" applyNumberFormat="1" applyFont="1" applyFill="1" applyBorder="1" applyAlignment="1">
      <alignment horizontal="center" vertical="center"/>
    </xf>
    <xf numFmtId="203" fontId="0" fillId="14" borderId="142" xfId="0" applyNumberFormat="1" applyFill="1" applyBorder="1" applyAlignment="1">
      <alignment horizontal="center"/>
    </xf>
    <xf numFmtId="0" fontId="0" fillId="0" borderId="40" xfId="0" applyBorder="1"/>
    <xf numFmtId="46" fontId="0" fillId="16" borderId="165" xfId="0" applyNumberFormat="1" applyFill="1" applyBorder="1" applyAlignment="1">
      <alignment horizontal="center"/>
    </xf>
    <xf numFmtId="46" fontId="13" fillId="16" borderId="165" xfId="0" applyNumberFormat="1" applyFont="1" applyFill="1" applyBorder="1" applyAlignment="1">
      <alignment horizontal="center"/>
    </xf>
    <xf numFmtId="0" fontId="0" fillId="0" borderId="69" xfId="0" applyBorder="1" applyAlignment="1" applyProtection="1">
      <alignment horizontal="center"/>
      <protection locked="0"/>
    </xf>
    <xf numFmtId="168" fontId="0" fillId="16" borderId="152" xfId="0" applyNumberFormat="1" applyFill="1" applyBorder="1" applyAlignment="1">
      <alignment horizontal="center"/>
    </xf>
    <xf numFmtId="168" fontId="13" fillId="16" borderId="152" xfId="0" applyNumberFormat="1" applyFont="1" applyFill="1" applyBorder="1" applyAlignment="1">
      <alignment horizontal="center"/>
    </xf>
    <xf numFmtId="168" fontId="13" fillId="16" borderId="154" xfId="0" applyNumberFormat="1" applyFont="1" applyFill="1" applyBorder="1" applyAlignment="1">
      <alignment horizontal="center"/>
    </xf>
    <xf numFmtId="21" fontId="13" fillId="20" borderId="119" xfId="0" applyNumberFormat="1" applyFont="1" applyFill="1" applyBorder="1" applyAlignment="1">
      <alignment horizontal="center" vertical="center"/>
    </xf>
    <xf numFmtId="21" fontId="0" fillId="0" borderId="0" xfId="0" applyNumberFormat="1" applyAlignment="1">
      <alignment horizontal="center"/>
    </xf>
    <xf numFmtId="168" fontId="0" fillId="16" borderId="160" xfId="0" applyNumberFormat="1" applyFill="1" applyBorder="1" applyAlignment="1">
      <alignment horizontal="center"/>
    </xf>
    <xf numFmtId="204" fontId="13" fillId="16" borderId="160" xfId="0" applyNumberFormat="1" applyFont="1" applyFill="1" applyBorder="1" applyAlignment="1">
      <alignment horizontal="center"/>
    </xf>
    <xf numFmtId="21" fontId="24" fillId="20" borderId="90" xfId="0" applyNumberFormat="1" applyFont="1" applyFill="1" applyBorder="1" applyAlignment="1">
      <alignment horizontal="center" vertical="center"/>
    </xf>
    <xf numFmtId="0" fontId="6" fillId="30" borderId="147" xfId="0" applyFont="1" applyFill="1" applyBorder="1" applyAlignment="1">
      <alignment horizontal="center"/>
    </xf>
    <xf numFmtId="0" fontId="13" fillId="30" borderId="148" xfId="0" applyFont="1" applyFill="1" applyBorder="1" applyAlignment="1">
      <alignment horizontal="center"/>
    </xf>
    <xf numFmtId="0" fontId="6" fillId="30" borderId="151" xfId="0" applyFont="1" applyFill="1" applyBorder="1" applyAlignment="1">
      <alignment horizontal="center"/>
    </xf>
    <xf numFmtId="0" fontId="20" fillId="6" borderId="198" xfId="0" applyFont="1" applyFill="1" applyBorder="1"/>
    <xf numFmtId="0" fontId="20" fillId="6" borderId="175" xfId="0" applyFont="1" applyFill="1" applyBorder="1"/>
    <xf numFmtId="0" fontId="20" fillId="6" borderId="175" xfId="0" applyFont="1" applyFill="1" applyBorder="1" applyProtection="1">
      <protection locked="0"/>
    </xf>
    <xf numFmtId="0" fontId="6" fillId="31" borderId="145" xfId="0" applyFont="1" applyFill="1" applyBorder="1" applyAlignment="1">
      <alignment horizontal="center"/>
    </xf>
    <xf numFmtId="0" fontId="55" fillId="0" borderId="40" xfId="0" applyFont="1" applyBorder="1"/>
    <xf numFmtId="177" fontId="14" fillId="0" borderId="159" xfId="0" applyNumberFormat="1" applyFont="1" applyBorder="1" applyAlignment="1" applyProtection="1">
      <alignment horizontal="center"/>
      <protection locked="0"/>
    </xf>
    <xf numFmtId="21" fontId="14" fillId="0" borderId="160" xfId="0" applyNumberFormat="1" applyFont="1" applyBorder="1" applyAlignment="1" applyProtection="1">
      <alignment horizontal="center"/>
      <protection locked="0"/>
    </xf>
    <xf numFmtId="10" fontId="13" fillId="23" borderId="172" xfId="0" applyNumberFormat="1" applyFont="1" applyFill="1" applyBorder="1" applyAlignment="1">
      <alignment horizontal="center"/>
    </xf>
    <xf numFmtId="0" fontId="0" fillId="0" borderId="86" xfId="0" applyBorder="1" applyAlignment="1">
      <alignment horizontal="center"/>
    </xf>
    <xf numFmtId="0" fontId="0" fillId="0" borderId="224" xfId="0" applyBorder="1"/>
    <xf numFmtId="0" fontId="55" fillId="0" borderId="42" xfId="0" applyFont="1" applyBorder="1" applyAlignment="1">
      <alignment horizontal="center"/>
    </xf>
    <xf numFmtId="0" fontId="55" fillId="0" borderId="99" xfId="0" applyFont="1" applyBorder="1" applyAlignment="1">
      <alignment horizontal="center"/>
    </xf>
    <xf numFmtId="0" fontId="55" fillId="0" borderId="226" xfId="0" applyFont="1" applyBorder="1"/>
    <xf numFmtId="205" fontId="56" fillId="32" borderId="173" xfId="0" applyNumberFormat="1" applyFont="1" applyFill="1" applyBorder="1" applyProtection="1">
      <protection locked="0"/>
    </xf>
    <xf numFmtId="0" fontId="13" fillId="6" borderId="209" xfId="0" applyFont="1" applyFill="1" applyBorder="1" applyAlignment="1">
      <alignment horizontal="right"/>
    </xf>
    <xf numFmtId="0" fontId="0" fillId="6" borderId="204" xfId="0" applyFill="1" applyBorder="1" applyAlignment="1">
      <alignment horizontal="left"/>
    </xf>
    <xf numFmtId="177" fontId="0" fillId="6" borderId="204" xfId="0" applyNumberFormat="1" applyFill="1" applyBorder="1" applyAlignment="1">
      <alignment horizontal="left"/>
    </xf>
    <xf numFmtId="0" fontId="19" fillId="6" borderId="145" xfId="0" applyFont="1" applyFill="1" applyBorder="1" applyProtection="1">
      <protection locked="0"/>
    </xf>
    <xf numFmtId="177" fontId="13" fillId="30" borderId="142" xfId="0" applyNumberFormat="1" applyFont="1" applyFill="1" applyBorder="1" applyAlignment="1">
      <alignment horizontal="center"/>
    </xf>
    <xf numFmtId="177" fontId="13" fillId="30" borderId="209" xfId="0" applyNumberFormat="1" applyFont="1" applyFill="1" applyBorder="1" applyAlignment="1">
      <alignment horizontal="center"/>
    </xf>
    <xf numFmtId="177" fontId="13" fillId="30" borderId="237" xfId="0" applyNumberFormat="1" applyFont="1" applyFill="1" applyBorder="1" applyAlignment="1">
      <alignment horizontal="center"/>
    </xf>
    <xf numFmtId="177" fontId="13" fillId="30" borderId="204" xfId="0" applyNumberFormat="1" applyFont="1" applyFill="1" applyBorder="1" applyAlignment="1">
      <alignment horizontal="center"/>
    </xf>
    <xf numFmtId="0" fontId="6" fillId="16" borderId="15" xfId="0" applyFont="1" applyFill="1" applyBorder="1" applyAlignment="1">
      <alignment horizontal="center"/>
    </xf>
    <xf numFmtId="177" fontId="14" fillId="0" borderId="30" xfId="0" applyNumberFormat="1" applyFont="1" applyBorder="1" applyAlignment="1" applyProtection="1">
      <alignment horizontal="center"/>
      <protection locked="0"/>
    </xf>
    <xf numFmtId="0" fontId="13" fillId="30" borderId="147" xfId="0" applyFont="1" applyFill="1" applyBorder="1" applyAlignment="1">
      <alignment horizontal="center"/>
    </xf>
    <xf numFmtId="0" fontId="13" fillId="30" borderId="151" xfId="0" applyFont="1" applyFill="1" applyBorder="1" applyAlignment="1">
      <alignment horizontal="center"/>
    </xf>
    <xf numFmtId="177" fontId="13" fillId="23" borderId="148" xfId="0" applyNumberFormat="1" applyFont="1" applyFill="1" applyBorder="1" applyAlignment="1">
      <alignment horizontal="center"/>
    </xf>
    <xf numFmtId="177" fontId="13" fillId="23" borderId="232" xfId="0" applyNumberFormat="1" applyFont="1" applyFill="1" applyBorder="1" applyAlignment="1">
      <alignment horizontal="center"/>
    </xf>
    <xf numFmtId="177" fontId="4" fillId="23" borderId="238" xfId="0" applyNumberFormat="1" applyFont="1" applyFill="1" applyBorder="1" applyAlignment="1">
      <alignment horizontal="center"/>
    </xf>
    <xf numFmtId="177" fontId="13" fillId="23" borderId="239" xfId="0" applyNumberFormat="1" applyFont="1" applyFill="1" applyBorder="1" applyAlignment="1">
      <alignment horizontal="center"/>
    </xf>
    <xf numFmtId="177" fontId="13" fillId="23" borderId="151" xfId="0" applyNumberFormat="1" applyFont="1" applyFill="1" applyBorder="1" applyAlignment="1">
      <alignment horizontal="center"/>
    </xf>
    <xf numFmtId="207" fontId="21" fillId="16" borderId="86" xfId="0" applyNumberFormat="1" applyFont="1" applyFill="1" applyBorder="1" applyAlignment="1">
      <alignment horizontal="center" vertical="center"/>
    </xf>
    <xf numFmtId="208" fontId="21" fillId="16" borderId="28" xfId="0" applyNumberFormat="1" applyFont="1" applyFill="1" applyBorder="1" applyAlignment="1">
      <alignment horizontal="left"/>
    </xf>
    <xf numFmtId="209" fontId="13" fillId="23" borderId="172" xfId="0" applyNumberFormat="1" applyFont="1" applyFill="1" applyBorder="1" applyAlignment="1">
      <alignment horizontal="center"/>
    </xf>
    <xf numFmtId="46" fontId="13" fillId="23" borderId="152" xfId="0" applyNumberFormat="1" applyFont="1" applyFill="1" applyBorder="1" applyAlignment="1">
      <alignment horizontal="center"/>
    </xf>
    <xf numFmtId="46" fontId="13" fillId="23" borderId="30" xfId="0" applyNumberFormat="1" applyFont="1" applyFill="1" applyBorder="1" applyAlignment="1">
      <alignment horizontal="center"/>
    </xf>
    <xf numFmtId="46" fontId="24" fillId="23" borderId="241" xfId="0" applyNumberFormat="1" applyFont="1" applyFill="1" applyBorder="1" applyAlignment="1">
      <alignment horizontal="center"/>
    </xf>
    <xf numFmtId="46" fontId="13" fillId="23" borderId="32" xfId="0" applyNumberFormat="1" applyFont="1" applyFill="1" applyBorder="1" applyAlignment="1">
      <alignment horizontal="center"/>
    </xf>
    <xf numFmtId="21" fontId="24" fillId="20" borderId="79" xfId="0" applyNumberFormat="1" applyFont="1" applyFill="1" applyBorder="1" applyAlignment="1">
      <alignment horizontal="center"/>
    </xf>
    <xf numFmtId="0" fontId="13" fillId="30" borderId="164" xfId="0" applyFont="1" applyFill="1" applyBorder="1" applyAlignment="1">
      <alignment horizontal="center"/>
    </xf>
    <xf numFmtId="0" fontId="13" fillId="30" borderId="165" xfId="0" applyFont="1" applyFill="1" applyBorder="1" applyAlignment="1">
      <alignment horizontal="center"/>
    </xf>
    <xf numFmtId="0" fontId="13" fillId="30" borderId="166" xfId="0" applyFont="1" applyFill="1" applyBorder="1" applyAlignment="1">
      <alignment horizontal="center"/>
    </xf>
    <xf numFmtId="179" fontId="13" fillId="23" borderId="160" xfId="0" applyNumberFormat="1" applyFont="1" applyFill="1" applyBorder="1" applyAlignment="1">
      <alignment horizontal="center"/>
    </xf>
    <xf numFmtId="179" fontId="13" fillId="23" borderId="190" xfId="0" applyNumberFormat="1" applyFont="1" applyFill="1" applyBorder="1" applyAlignment="1">
      <alignment horizontal="center"/>
    </xf>
    <xf numFmtId="179" fontId="4" fillId="23" borderId="242" xfId="0" applyNumberFormat="1" applyFont="1" applyFill="1" applyBorder="1" applyAlignment="1">
      <alignment horizontal="center"/>
    </xf>
    <xf numFmtId="179" fontId="13" fillId="23" borderId="208" xfId="0" applyNumberFormat="1" applyFont="1" applyFill="1" applyBorder="1" applyAlignment="1">
      <alignment horizontal="center"/>
    </xf>
    <xf numFmtId="0" fontId="21" fillId="0" borderId="33" xfId="0" applyFont="1" applyBorder="1" applyAlignment="1">
      <alignment vertical="center"/>
    </xf>
    <xf numFmtId="0" fontId="21" fillId="0" borderId="34" xfId="0" applyFont="1" applyBorder="1" applyAlignment="1">
      <alignment vertical="center"/>
    </xf>
    <xf numFmtId="0" fontId="21" fillId="0" borderId="224" xfId="0" applyFont="1" applyBorder="1" applyAlignment="1">
      <alignment horizontal="right" vertical="center"/>
    </xf>
    <xf numFmtId="177" fontId="14" fillId="0" borderId="140" xfId="0" applyNumberFormat="1" applyFont="1" applyBorder="1" applyAlignment="1" applyProtection="1">
      <alignment horizontal="center"/>
      <protection locked="0"/>
    </xf>
    <xf numFmtId="21" fontId="14" fillId="0" borderId="37" xfId="0" applyNumberFormat="1" applyFont="1" applyBorder="1" applyAlignment="1" applyProtection="1">
      <alignment horizontal="center"/>
      <protection locked="0"/>
    </xf>
    <xf numFmtId="210" fontId="13" fillId="23" borderId="158" xfId="0" applyNumberFormat="1" applyFont="1" applyFill="1" applyBorder="1" applyAlignment="1">
      <alignment horizontal="center"/>
    </xf>
    <xf numFmtId="0" fontId="18" fillId="6" borderId="142" xfId="0" applyFont="1" applyFill="1" applyBorder="1" applyAlignment="1">
      <alignment horizontal="center"/>
    </xf>
    <xf numFmtId="2" fontId="14" fillId="0" borderId="175" xfId="0" applyNumberFormat="1" applyFont="1" applyBorder="1" applyAlignment="1" applyProtection="1">
      <alignment horizontal="center"/>
      <protection locked="0"/>
    </xf>
    <xf numFmtId="175" fontId="14" fillId="0" borderId="175" xfId="0" applyNumberFormat="1" applyFont="1" applyBorder="1" applyAlignment="1" applyProtection="1">
      <alignment horizontal="center"/>
      <protection locked="0"/>
    </xf>
    <xf numFmtId="0" fontId="21" fillId="0" borderId="42" xfId="0" applyFont="1" applyBorder="1" applyAlignment="1">
      <alignment vertical="top"/>
    </xf>
    <xf numFmtId="0" fontId="18" fillId="6" borderId="14" xfId="0" applyFont="1" applyFill="1" applyBorder="1"/>
    <xf numFmtId="21" fontId="6" fillId="6" borderId="209" xfId="0" applyNumberFormat="1" applyFont="1" applyFill="1" applyBorder="1" applyAlignment="1">
      <alignment horizontal="center"/>
    </xf>
    <xf numFmtId="21" fontId="6" fillId="6" borderId="175" xfId="0" applyNumberFormat="1" applyFont="1" applyFill="1" applyBorder="1" applyAlignment="1">
      <alignment horizontal="center"/>
    </xf>
    <xf numFmtId="21" fontId="6" fillId="6" borderId="204" xfId="0" applyNumberFormat="1" applyFont="1" applyFill="1" applyBorder="1" applyAlignment="1">
      <alignment horizontal="center"/>
    </xf>
    <xf numFmtId="0" fontId="6" fillId="16" borderId="156" xfId="0" applyFont="1" applyFill="1" applyBorder="1" applyAlignment="1">
      <alignment horizontal="center"/>
    </xf>
    <xf numFmtId="203" fontId="14" fillId="0" borderId="165" xfId="0" applyNumberFormat="1" applyFont="1" applyBorder="1" applyAlignment="1" applyProtection="1">
      <alignment horizontal="center"/>
      <protection locked="0"/>
    </xf>
    <xf numFmtId="179" fontId="13" fillId="20" borderId="158" xfId="0" applyNumberFormat="1" applyFont="1" applyFill="1" applyBorder="1" applyAlignment="1">
      <alignment horizontal="center"/>
    </xf>
    <xf numFmtId="0" fontId="14" fillId="0" borderId="159" xfId="0" applyFont="1" applyBorder="1" applyAlignment="1" applyProtection="1">
      <alignment horizontal="center"/>
      <protection locked="0"/>
    </xf>
    <xf numFmtId="185" fontId="14" fillId="0" borderId="160" xfId="0" applyNumberFormat="1" applyFont="1" applyBorder="1" applyAlignment="1" applyProtection="1">
      <alignment horizontal="center"/>
      <protection locked="0"/>
    </xf>
    <xf numFmtId="46" fontId="13" fillId="23" borderId="172" xfId="0" applyNumberFormat="1" applyFont="1" applyFill="1" applyBorder="1" applyAlignment="1">
      <alignment horizontal="center"/>
    </xf>
    <xf numFmtId="0" fontId="18" fillId="20" borderId="33" xfId="0" applyFont="1" applyFill="1" applyBorder="1" applyAlignment="1">
      <alignment horizontal="center"/>
    </xf>
    <xf numFmtId="0" fontId="18" fillId="20" borderId="65" xfId="0" applyFont="1" applyFill="1" applyBorder="1" applyAlignment="1">
      <alignment horizontal="center"/>
    </xf>
    <xf numFmtId="0" fontId="18" fillId="20" borderId="165" xfId="0" applyFont="1" applyFill="1" applyBorder="1" applyAlignment="1">
      <alignment horizontal="center"/>
    </xf>
    <xf numFmtId="0" fontId="18" fillId="20" borderId="193" xfId="0" applyFont="1" applyFill="1" applyBorder="1" applyAlignment="1">
      <alignment horizontal="center"/>
    </xf>
    <xf numFmtId="0" fontId="18" fillId="20" borderId="22" xfId="0" applyFont="1" applyFill="1" applyBorder="1" applyAlignment="1">
      <alignment horizontal="center"/>
    </xf>
    <xf numFmtId="1" fontId="6" fillId="20" borderId="191" xfId="0" applyNumberFormat="1" applyFont="1" applyFill="1" applyBorder="1" applyAlignment="1">
      <alignment horizontal="center"/>
    </xf>
    <xf numFmtId="1" fontId="13" fillId="20" borderId="160" xfId="0" applyNumberFormat="1" applyFont="1" applyFill="1" applyBorder="1" applyAlignment="1">
      <alignment horizontal="center"/>
    </xf>
    <xf numFmtId="1" fontId="6" fillId="20" borderId="190" xfId="0" applyNumberFormat="1" applyFont="1" applyFill="1" applyBorder="1" applyAlignment="1">
      <alignment horizontal="center"/>
    </xf>
    <xf numFmtId="0" fontId="57" fillId="16" borderId="33" xfId="0" applyFont="1" applyFill="1" applyBorder="1" applyProtection="1">
      <protection locked="0"/>
    </xf>
    <xf numFmtId="0" fontId="57" fillId="16" borderId="175" xfId="0" applyFont="1" applyFill="1" applyBorder="1"/>
    <xf numFmtId="0" fontId="0" fillId="15" borderId="176" xfId="0" applyFill="1" applyBorder="1"/>
    <xf numFmtId="0" fontId="14" fillId="0" borderId="156" xfId="0" applyFont="1" applyBorder="1" applyAlignment="1" applyProtection="1">
      <alignment horizontal="center"/>
      <protection locked="0"/>
    </xf>
    <xf numFmtId="185" fontId="14" fillId="0" borderId="37" xfId="0" applyNumberFormat="1" applyFont="1" applyBorder="1" applyAlignment="1" applyProtection="1">
      <alignment horizontal="center"/>
      <protection locked="0"/>
    </xf>
    <xf numFmtId="46" fontId="13" fillId="23" borderId="158" xfId="0" applyNumberFormat="1" applyFont="1" applyFill="1" applyBorder="1" applyAlignment="1">
      <alignment horizontal="center"/>
    </xf>
    <xf numFmtId="2" fontId="29" fillId="0" borderId="175" xfId="0" applyNumberFormat="1" applyFont="1" applyBorder="1" applyAlignment="1" applyProtection="1">
      <alignment horizontal="center"/>
      <protection hidden="1"/>
    </xf>
    <xf numFmtId="0" fontId="0" fillId="0" borderId="92" xfId="0" applyBorder="1"/>
    <xf numFmtId="0" fontId="0" fillId="0" borderId="93" xfId="0" applyBorder="1"/>
    <xf numFmtId="0" fontId="0" fillId="0" borderId="173" xfId="0" applyBorder="1"/>
    <xf numFmtId="0" fontId="24" fillId="6" borderId="45" xfId="0" applyFont="1" applyFill="1" applyBorder="1"/>
    <xf numFmtId="0" fontId="0" fillId="0" borderId="0" xfId="0" quotePrefix="1" applyAlignment="1">
      <alignment horizontal="center"/>
    </xf>
    <xf numFmtId="0" fontId="13" fillId="6" borderId="0" xfId="0" applyFont="1" applyFill="1"/>
    <xf numFmtId="0" fontId="20" fillId="6" borderId="105" xfId="0" applyFont="1" applyFill="1" applyBorder="1" applyAlignment="1" applyProtection="1">
      <alignment horizontal="center"/>
      <protection hidden="1"/>
    </xf>
    <xf numFmtId="175" fontId="13" fillId="0" borderId="159" xfId="0" applyNumberFormat="1" applyFont="1" applyBorder="1" applyAlignment="1" applyProtection="1">
      <alignment horizontal="center"/>
      <protection locked="0"/>
    </xf>
    <xf numFmtId="175" fontId="13" fillId="0" borderId="156" xfId="0" applyNumberFormat="1" applyFont="1" applyBorder="1" applyAlignment="1" applyProtection="1">
      <alignment horizontal="center"/>
      <protection locked="0"/>
    </xf>
    <xf numFmtId="0" fontId="0" fillId="0" borderId="175" xfId="0" applyBorder="1"/>
    <xf numFmtId="21" fontId="24" fillId="20" borderId="166" xfId="0" applyNumberFormat="1" applyFont="1" applyFill="1" applyBorder="1" applyAlignment="1">
      <alignment horizontal="center"/>
    </xf>
    <xf numFmtId="0" fontId="18" fillId="6" borderId="209" xfId="0" applyFont="1" applyFill="1" applyBorder="1" applyAlignment="1">
      <alignment horizontal="center"/>
    </xf>
    <xf numFmtId="179" fontId="6" fillId="20" borderId="234" xfId="0" applyNumberFormat="1" applyFont="1" applyFill="1" applyBorder="1" applyAlignment="1">
      <alignment horizontal="center"/>
    </xf>
    <xf numFmtId="0" fontId="20" fillId="6" borderId="198" xfId="0" applyFont="1" applyFill="1" applyBorder="1" applyAlignment="1" applyProtection="1">
      <alignment horizontal="center"/>
      <protection locked="0"/>
    </xf>
    <xf numFmtId="0" fontId="0" fillId="6" borderId="175" xfId="0" applyFill="1" applyBorder="1"/>
    <xf numFmtId="0" fontId="0" fillId="6" borderId="36" xfId="0" applyFill="1" applyBorder="1"/>
    <xf numFmtId="0" fontId="6" fillId="6" borderId="144" xfId="0" applyFont="1" applyFill="1" applyBorder="1" applyAlignment="1">
      <alignment horizontal="center"/>
    </xf>
    <xf numFmtId="179" fontId="6" fillId="20" borderId="180" xfId="0" applyNumberFormat="1" applyFont="1" applyFill="1" applyBorder="1" applyAlignment="1">
      <alignment horizontal="center"/>
    </xf>
    <xf numFmtId="215" fontId="59" fillId="0" borderId="147" xfId="0" applyNumberFormat="1" applyFont="1" applyBorder="1" applyAlignment="1" applyProtection="1">
      <alignment horizontal="center"/>
      <protection locked="0"/>
    </xf>
    <xf numFmtId="177" fontId="13" fillId="17" borderId="153" xfId="0" applyNumberFormat="1" applyFont="1" applyFill="1" applyBorder="1" applyAlignment="1">
      <alignment horizontal="center"/>
    </xf>
    <xf numFmtId="2" fontId="13" fillId="17" borderId="152" xfId="0" applyNumberFormat="1" applyFont="1" applyFill="1" applyBorder="1" applyAlignment="1">
      <alignment horizontal="center"/>
    </xf>
    <xf numFmtId="21" fontId="13" fillId="17" borderId="31" xfId="0" applyNumberFormat="1" applyFont="1" applyFill="1" applyBorder="1" applyAlignment="1">
      <alignment horizontal="center"/>
    </xf>
    <xf numFmtId="168" fontId="13" fillId="17" borderId="16" xfId="0" applyNumberFormat="1" applyFont="1" applyFill="1" applyBorder="1" applyAlignment="1">
      <alignment horizontal="center"/>
    </xf>
    <xf numFmtId="2" fontId="13" fillId="17" borderId="153" xfId="0" applyNumberFormat="1" applyFont="1" applyFill="1" applyBorder="1" applyAlignment="1">
      <alignment horizontal="center"/>
    </xf>
    <xf numFmtId="10" fontId="13" fillId="17" borderId="31" xfId="0" applyNumberFormat="1" applyFont="1" applyFill="1" applyBorder="1" applyAlignment="1">
      <alignment horizontal="center"/>
    </xf>
    <xf numFmtId="168" fontId="13" fillId="17" borderId="65" xfId="0" applyNumberFormat="1" applyFont="1" applyFill="1" applyBorder="1" applyAlignment="1">
      <alignment horizontal="center"/>
    </xf>
    <xf numFmtId="0" fontId="13" fillId="17" borderId="166" xfId="0" applyFont="1" applyFill="1" applyBorder="1" applyAlignment="1">
      <alignment horizontal="center"/>
    </xf>
    <xf numFmtId="0" fontId="22" fillId="0" borderId="0" xfId="0" applyFont="1" applyAlignment="1">
      <alignment horizontal="center"/>
    </xf>
    <xf numFmtId="217" fontId="59" fillId="0" borderId="147" xfId="0" applyNumberFormat="1" applyFont="1" applyBorder="1" applyAlignment="1" applyProtection="1">
      <alignment horizontal="center"/>
      <protection locked="0"/>
    </xf>
    <xf numFmtId="0" fontId="14" fillId="0" borderId="191" xfId="0" applyFont="1" applyBorder="1" applyAlignment="1" applyProtection="1">
      <alignment horizontal="center"/>
      <protection locked="0"/>
    </xf>
    <xf numFmtId="2" fontId="13" fillId="17" borderId="160" xfId="0" applyNumberFormat="1" applyFont="1" applyFill="1" applyBorder="1" applyAlignment="1">
      <alignment horizontal="center"/>
    </xf>
    <xf numFmtId="21" fontId="13" fillId="17" borderId="74" xfId="0" applyNumberFormat="1" applyFont="1" applyFill="1" applyBorder="1" applyAlignment="1">
      <alignment horizontal="center"/>
    </xf>
    <xf numFmtId="168" fontId="13" fillId="17" borderId="25" xfId="0" applyNumberFormat="1" applyFont="1" applyFill="1" applyBorder="1" applyAlignment="1">
      <alignment horizontal="center"/>
    </xf>
    <xf numFmtId="2" fontId="13" fillId="17" borderId="191" xfId="0" applyNumberFormat="1" applyFont="1" applyFill="1" applyBorder="1" applyAlignment="1">
      <alignment horizontal="center"/>
    </xf>
    <xf numFmtId="10" fontId="13" fillId="17" borderId="74" xfId="0" applyNumberFormat="1" applyFont="1" applyFill="1" applyBorder="1" applyAlignment="1">
      <alignment horizontal="center"/>
    </xf>
    <xf numFmtId="168" fontId="13" fillId="17" borderId="191" xfId="0" applyNumberFormat="1" applyFont="1" applyFill="1" applyBorder="1" applyAlignment="1">
      <alignment horizontal="center"/>
    </xf>
    <xf numFmtId="0" fontId="13" fillId="17" borderId="172" xfId="0" applyFont="1" applyFill="1" applyBorder="1" applyAlignment="1">
      <alignment horizontal="center"/>
    </xf>
    <xf numFmtId="0" fontId="13" fillId="0" borderId="0" xfId="0" applyFont="1"/>
    <xf numFmtId="218" fontId="59" fillId="0" borderId="87" xfId="0" applyNumberFormat="1" applyFont="1" applyBorder="1" applyAlignment="1" applyProtection="1">
      <alignment horizontal="center"/>
      <protection locked="0"/>
    </xf>
    <xf numFmtId="0" fontId="14" fillId="0" borderId="164" xfId="0" applyFont="1" applyBorder="1" applyAlignment="1" applyProtection="1">
      <alignment horizontal="center"/>
      <protection locked="0"/>
    </xf>
    <xf numFmtId="21" fontId="14" fillId="0" borderId="20" xfId="0" applyNumberFormat="1" applyFont="1" applyBorder="1" applyAlignment="1" applyProtection="1">
      <alignment horizontal="center"/>
      <protection locked="0"/>
    </xf>
    <xf numFmtId="2" fontId="13" fillId="35" borderId="165" xfId="0" applyNumberFormat="1" applyFont="1" applyFill="1" applyBorder="1" applyAlignment="1">
      <alignment horizontal="center"/>
    </xf>
    <xf numFmtId="21" fontId="13" fillId="17" borderId="20" xfId="0" applyNumberFormat="1" applyFont="1" applyFill="1" applyBorder="1" applyAlignment="1">
      <alignment horizontal="center"/>
    </xf>
    <xf numFmtId="168" fontId="13" fillId="35" borderId="66" xfId="0" applyNumberFormat="1" applyFont="1" applyFill="1" applyBorder="1" applyAlignment="1">
      <alignment horizontal="center"/>
    </xf>
    <xf numFmtId="2" fontId="13" fillId="35" borderId="65" xfId="0" applyNumberFormat="1" applyFont="1" applyFill="1" applyBorder="1" applyAlignment="1">
      <alignment horizontal="center"/>
    </xf>
    <xf numFmtId="10" fontId="13" fillId="17" borderId="20" xfId="0" applyNumberFormat="1" applyFont="1" applyFill="1" applyBorder="1" applyAlignment="1">
      <alignment horizontal="center"/>
    </xf>
    <xf numFmtId="168" fontId="13" fillId="35" borderId="65" xfId="0" applyNumberFormat="1" applyFont="1" applyFill="1" applyBorder="1" applyAlignment="1">
      <alignment horizontal="center"/>
    </xf>
    <xf numFmtId="220" fontId="59" fillId="0" borderId="159" xfId="0" applyNumberFormat="1" applyFont="1" applyBorder="1" applyAlignment="1" applyProtection="1">
      <alignment horizontal="center"/>
      <protection locked="0"/>
    </xf>
    <xf numFmtId="0" fontId="14" fillId="0" borderId="247" xfId="0" applyFont="1" applyBorder="1" applyAlignment="1" applyProtection="1">
      <alignment horizontal="center"/>
      <protection locked="0"/>
    </xf>
    <xf numFmtId="21" fontId="14" fillId="0" borderId="74" xfId="0" applyNumberFormat="1" applyFont="1" applyBorder="1" applyAlignment="1" applyProtection="1">
      <alignment horizontal="center"/>
      <protection locked="0"/>
    </xf>
    <xf numFmtId="2" fontId="13" fillId="35" borderId="160" xfId="0" applyNumberFormat="1" applyFont="1" applyFill="1" applyBorder="1" applyAlignment="1">
      <alignment horizontal="center"/>
    </xf>
    <xf numFmtId="168" fontId="13" fillId="35" borderId="16" xfId="0" applyNumberFormat="1" applyFont="1" applyFill="1" applyBorder="1" applyAlignment="1">
      <alignment horizontal="center"/>
    </xf>
    <xf numFmtId="2" fontId="13" fillId="35" borderId="191" xfId="0" applyNumberFormat="1" applyFont="1" applyFill="1" applyBorder="1" applyAlignment="1">
      <alignment horizontal="center"/>
    </xf>
    <xf numFmtId="10" fontId="13" fillId="17" borderId="190" xfId="0" applyNumberFormat="1" applyFont="1" applyFill="1" applyBorder="1" applyAlignment="1">
      <alignment horizontal="center"/>
    </xf>
    <xf numFmtId="168" fontId="13" fillId="35" borderId="153" xfId="0" applyNumberFormat="1" applyFont="1" applyFill="1" applyBorder="1" applyAlignment="1">
      <alignment horizontal="center"/>
    </xf>
    <xf numFmtId="0" fontId="13" fillId="17" borderId="154" xfId="0" applyFont="1" applyFill="1" applyBorder="1" applyAlignment="1">
      <alignment horizontal="center"/>
    </xf>
    <xf numFmtId="0" fontId="60" fillId="17" borderId="92" xfId="0" applyFont="1" applyFill="1" applyBorder="1" applyProtection="1">
      <protection locked="0"/>
    </xf>
    <xf numFmtId="177" fontId="13" fillId="17" borderId="248" xfId="0" applyNumberFormat="1" applyFont="1" applyFill="1" applyBorder="1" applyAlignment="1">
      <alignment horizontal="center"/>
    </xf>
    <xf numFmtId="2" fontId="13" fillId="17" borderId="162" xfId="0" applyNumberFormat="1" applyFont="1" applyFill="1" applyBorder="1" applyAlignment="1">
      <alignment horizontal="center"/>
    </xf>
    <xf numFmtId="21" fontId="13" fillId="17" borderId="93" xfId="0" applyNumberFormat="1" applyFont="1" applyFill="1" applyBorder="1" applyAlignment="1">
      <alignment horizontal="center"/>
    </xf>
    <xf numFmtId="168" fontId="13" fillId="17" borderId="163" xfId="0" applyNumberFormat="1" applyFont="1" applyFill="1" applyBorder="1" applyAlignment="1">
      <alignment horizontal="center"/>
    </xf>
    <xf numFmtId="2" fontId="13" fillId="17" borderId="248" xfId="0" applyNumberFormat="1" applyFont="1" applyFill="1" applyBorder="1" applyAlignment="1">
      <alignment horizontal="center"/>
    </xf>
    <xf numFmtId="10" fontId="13" fillId="17" borderId="93" xfId="0" applyNumberFormat="1" applyFont="1" applyFill="1" applyBorder="1" applyAlignment="1">
      <alignment horizontal="center"/>
    </xf>
    <xf numFmtId="168" fontId="13" fillId="17" borderId="248" xfId="0" applyNumberFormat="1" applyFont="1" applyFill="1" applyBorder="1" applyAlignment="1">
      <alignment horizontal="center"/>
    </xf>
    <xf numFmtId="0" fontId="13" fillId="17" borderId="55" xfId="0" applyFont="1" applyFill="1" applyBorder="1" applyAlignment="1">
      <alignment horizontal="center"/>
    </xf>
    <xf numFmtId="222" fontId="59" fillId="0" borderId="147" xfId="0" applyNumberFormat="1" applyFont="1" applyBorder="1" applyAlignment="1" applyProtection="1">
      <alignment horizontal="center"/>
      <protection locked="0"/>
    </xf>
    <xf numFmtId="0" fontId="60" fillId="0" borderId="86" xfId="0" applyFont="1" applyBorder="1" applyProtection="1">
      <protection locked="0"/>
    </xf>
    <xf numFmtId="0" fontId="24" fillId="0" borderId="0" xfId="0" applyFont="1" applyAlignment="1">
      <alignment horizontal="center"/>
    </xf>
    <xf numFmtId="177" fontId="13" fillId="0" borderId="0" xfId="0" applyNumberFormat="1" applyFont="1" applyAlignment="1">
      <alignment horizontal="center"/>
    </xf>
    <xf numFmtId="2" fontId="13" fillId="0" borderId="0" xfId="0" applyNumberFormat="1" applyFont="1" applyAlignment="1">
      <alignment horizontal="center"/>
    </xf>
    <xf numFmtId="21" fontId="13" fillId="0" borderId="0" xfId="0" applyNumberFormat="1" applyFont="1" applyAlignment="1">
      <alignment horizontal="center"/>
    </xf>
    <xf numFmtId="168" fontId="13" fillId="0" borderId="138" xfId="0" applyNumberFormat="1" applyFont="1" applyBorder="1" applyAlignment="1">
      <alignment horizontal="center"/>
    </xf>
    <xf numFmtId="2" fontId="13" fillId="0" borderId="138" xfId="0" applyNumberFormat="1" applyFont="1" applyBorder="1" applyAlignment="1">
      <alignment horizontal="center"/>
    </xf>
    <xf numFmtId="10" fontId="13" fillId="0" borderId="138" xfId="0" applyNumberFormat="1" applyFont="1" applyBorder="1" applyAlignment="1">
      <alignment horizontal="center"/>
    </xf>
    <xf numFmtId="0" fontId="13" fillId="0" borderId="185" xfId="0" applyFont="1" applyBorder="1" applyAlignment="1">
      <alignment horizontal="center"/>
    </xf>
    <xf numFmtId="224" fontId="59" fillId="0" borderId="87" xfId="0" applyNumberFormat="1" applyFont="1" applyBorder="1" applyAlignment="1" applyProtection="1">
      <alignment horizontal="center"/>
      <protection locked="0"/>
    </xf>
    <xf numFmtId="21" fontId="4" fillId="6" borderId="198" xfId="2" applyNumberFormat="1" applyFont="1" applyFill="1" applyBorder="1"/>
    <xf numFmtId="21" fontId="4" fillId="6" borderId="176" xfId="2" applyNumberFormat="1" applyFont="1" applyFill="1" applyBorder="1"/>
    <xf numFmtId="225" fontId="59" fillId="0" borderId="87" xfId="0" applyNumberFormat="1" applyFont="1" applyBorder="1" applyAlignment="1" applyProtection="1">
      <alignment horizontal="center"/>
      <protection locked="0"/>
    </xf>
    <xf numFmtId="2" fontId="13" fillId="35" borderId="198" xfId="2" applyNumberFormat="1" applyFont="1" applyFill="1" applyBorder="1" applyAlignment="1">
      <alignment horizontal="center"/>
    </xf>
    <xf numFmtId="1" fontId="13" fillId="0" borderId="142" xfId="2" applyNumberFormat="1" applyFont="1" applyBorder="1" applyAlignment="1" applyProtection="1">
      <alignment horizontal="center"/>
      <protection locked="0"/>
    </xf>
    <xf numFmtId="2" fontId="13" fillId="35" borderId="175" xfId="2" applyNumberFormat="1" applyFont="1" applyFill="1" applyBorder="1" applyAlignment="1">
      <alignment horizontal="center"/>
    </xf>
    <xf numFmtId="227" fontId="13" fillId="17" borderId="175" xfId="2" applyNumberFormat="1" applyFont="1" applyFill="1" applyBorder="1" applyAlignment="1">
      <alignment horizontal="center"/>
    </xf>
    <xf numFmtId="20" fontId="13" fillId="0" borderId="142" xfId="2" applyNumberFormat="1" applyFont="1" applyBorder="1" applyAlignment="1" applyProtection="1">
      <alignment horizontal="center"/>
      <protection locked="0"/>
    </xf>
    <xf numFmtId="228" fontId="59" fillId="0" borderId="156" xfId="0" applyNumberFormat="1" applyFont="1" applyBorder="1" applyAlignment="1" applyProtection="1">
      <alignment horizontal="center"/>
      <protection locked="0"/>
    </xf>
    <xf numFmtId="0" fontId="1" fillId="0" borderId="86" xfId="2" applyBorder="1" applyAlignment="1">
      <alignment horizontal="center"/>
    </xf>
    <xf numFmtId="0" fontId="1" fillId="0" borderId="0" xfId="2" applyAlignment="1">
      <alignment horizontal="center"/>
    </xf>
    <xf numFmtId="0" fontId="1" fillId="0" borderId="40" xfId="2" applyBorder="1" applyAlignment="1">
      <alignment horizontal="center"/>
    </xf>
    <xf numFmtId="230" fontId="6" fillId="24" borderId="249" xfId="0" applyNumberFormat="1" applyFont="1" applyFill="1" applyBorder="1" applyAlignment="1">
      <alignment horizontal="center"/>
    </xf>
    <xf numFmtId="231" fontId="6" fillId="24" borderId="250" xfId="0" applyNumberFormat="1" applyFont="1" applyFill="1" applyBorder="1" applyAlignment="1">
      <alignment horizontal="center"/>
    </xf>
    <xf numFmtId="0" fontId="24" fillId="6" borderId="138" xfId="0" applyFont="1" applyFill="1" applyBorder="1" applyAlignment="1">
      <alignment horizontal="center"/>
    </xf>
    <xf numFmtId="0" fontId="15" fillId="7" borderId="79" xfId="0" applyFont="1" applyFill="1" applyBorder="1" applyAlignment="1" applyProtection="1">
      <alignment horizontal="center"/>
      <protection locked="0"/>
    </xf>
    <xf numFmtId="0" fontId="15" fillId="7" borderId="251" xfId="0" applyFont="1" applyFill="1" applyBorder="1" applyAlignment="1" applyProtection="1">
      <alignment horizontal="center"/>
      <protection locked="0"/>
    </xf>
    <xf numFmtId="0" fontId="18" fillId="6" borderId="252" xfId="0" applyFont="1" applyFill="1" applyBorder="1" applyAlignment="1">
      <alignment horizontal="center"/>
    </xf>
    <xf numFmtId="231" fontId="59" fillId="0" borderId="147" xfId="0" applyNumberFormat="1" applyFont="1" applyBorder="1" applyAlignment="1" applyProtection="1">
      <alignment horizontal="center"/>
      <protection locked="0"/>
    </xf>
    <xf numFmtId="209" fontId="6" fillId="24" borderId="253" xfId="0" applyNumberFormat="1" applyFont="1" applyFill="1" applyBorder="1" applyAlignment="1">
      <alignment horizontal="center"/>
    </xf>
    <xf numFmtId="230" fontId="6" fillId="24" borderId="254" xfId="0" applyNumberFormat="1" applyFont="1" applyFill="1" applyBorder="1" applyAlignment="1">
      <alignment horizontal="center"/>
    </xf>
    <xf numFmtId="0" fontId="18" fillId="6" borderId="68" xfId="0" applyFont="1" applyFill="1" applyBorder="1" applyAlignment="1">
      <alignment horizontal="center" vertical="center"/>
    </xf>
    <xf numFmtId="177" fontId="59" fillId="0" borderId="68" xfId="0" applyNumberFormat="1" applyFont="1" applyBorder="1" applyAlignment="1" applyProtection="1">
      <alignment horizontal="center"/>
      <protection locked="0"/>
    </xf>
    <xf numFmtId="177" fontId="59" fillId="0" borderId="255" xfId="0" applyNumberFormat="1" applyFont="1" applyBorder="1" applyAlignment="1" applyProtection="1">
      <alignment horizontal="center"/>
      <protection locked="0"/>
    </xf>
    <xf numFmtId="175" fontId="24" fillId="6" borderId="21" xfId="0" applyNumberFormat="1" applyFont="1" applyFill="1" applyBorder="1" applyAlignment="1">
      <alignment horizontal="center"/>
    </xf>
    <xf numFmtId="0" fontId="22" fillId="6" borderId="136" xfId="0" applyFont="1" applyFill="1" applyBorder="1" applyAlignment="1">
      <alignment horizontal="center"/>
    </xf>
    <xf numFmtId="230" fontId="59" fillId="0" borderId="159" xfId="0" applyNumberFormat="1" applyFont="1" applyBorder="1" applyAlignment="1" applyProtection="1">
      <alignment horizontal="center"/>
      <protection locked="0"/>
    </xf>
    <xf numFmtId="209" fontId="6" fillId="24" borderId="256" xfId="0" applyNumberFormat="1" applyFont="1" applyFill="1" applyBorder="1" applyAlignment="1">
      <alignment horizontal="center"/>
    </xf>
    <xf numFmtId="231" fontId="6" fillId="24" borderId="257" xfId="0" applyNumberFormat="1" applyFont="1" applyFill="1" applyBorder="1" applyAlignment="1">
      <alignment horizontal="center"/>
    </xf>
    <xf numFmtId="0" fontId="18" fillId="6" borderId="118" xfId="0" applyFont="1" applyFill="1" applyBorder="1" applyAlignment="1">
      <alignment horizontal="center" vertical="center"/>
    </xf>
    <xf numFmtId="177" fontId="59" fillId="0" borderId="76" xfId="0" applyNumberFormat="1" applyFont="1" applyBorder="1" applyAlignment="1" applyProtection="1">
      <alignment horizontal="center"/>
      <protection locked="0"/>
    </xf>
    <xf numFmtId="177" fontId="59" fillId="0" borderId="118" xfId="0" applyNumberFormat="1" applyFont="1" applyBorder="1" applyAlignment="1" applyProtection="1">
      <alignment horizontal="center"/>
      <protection locked="0"/>
    </xf>
    <xf numFmtId="177" fontId="59" fillId="0" borderId="258" xfId="0" applyNumberFormat="1" applyFont="1" applyBorder="1" applyAlignment="1" applyProtection="1">
      <alignment horizontal="center"/>
      <protection locked="0"/>
    </xf>
    <xf numFmtId="175" fontId="24" fillId="6" borderId="216" xfId="0" applyNumberFormat="1" applyFont="1" applyFill="1" applyBorder="1" applyAlignment="1">
      <alignment horizontal="center"/>
    </xf>
    <xf numFmtId="0" fontId="22" fillId="6" borderId="230" xfId="0" applyFont="1" applyFill="1" applyBorder="1" applyAlignment="1">
      <alignment horizontal="center" vertical="top"/>
    </xf>
    <xf numFmtId="224" fontId="59" fillId="0" borderId="164" xfId="0" applyNumberFormat="1" applyFont="1" applyBorder="1" applyAlignment="1" applyProtection="1">
      <alignment horizontal="center"/>
      <protection locked="0"/>
    </xf>
    <xf numFmtId="230" fontId="6" fillId="24" borderId="259" xfId="0" applyNumberFormat="1" applyFont="1" applyFill="1" applyBorder="1" applyAlignment="1">
      <alignment horizontal="center"/>
    </xf>
    <xf numFmtId="232" fontId="6" fillId="24" borderId="260" xfId="0" applyNumberFormat="1" applyFont="1" applyFill="1" applyBorder="1" applyAlignment="1">
      <alignment horizontal="center"/>
    </xf>
    <xf numFmtId="0" fontId="18" fillId="6" borderId="76" xfId="0" applyFont="1" applyFill="1" applyBorder="1" applyAlignment="1">
      <alignment horizontal="center" vertical="center"/>
    </xf>
    <xf numFmtId="177" fontId="61" fillId="6" borderId="27" xfId="0" applyNumberFormat="1" applyFont="1" applyFill="1" applyBorder="1" applyAlignment="1">
      <alignment horizontal="center" vertical="top"/>
    </xf>
    <xf numFmtId="177" fontId="61" fillId="6" borderId="28" xfId="0" applyNumberFormat="1" applyFont="1" applyFill="1" applyBorder="1" applyAlignment="1">
      <alignment horizontal="center" vertical="top"/>
    </xf>
    <xf numFmtId="177" fontId="62" fillId="6" borderId="261" xfId="0" applyNumberFormat="1" applyFont="1" applyFill="1" applyBorder="1" applyAlignment="1">
      <alignment horizontal="center" vertical="top"/>
    </xf>
    <xf numFmtId="175" fontId="24" fillId="6" borderId="29" xfId="0" applyNumberFormat="1" applyFont="1" applyFill="1" applyBorder="1" applyAlignment="1">
      <alignment horizontal="center"/>
    </xf>
    <xf numFmtId="175" fontId="18" fillId="16" borderId="29" xfId="0" applyNumberFormat="1" applyFont="1" applyFill="1" applyBorder="1" applyAlignment="1">
      <alignment horizontal="center"/>
    </xf>
    <xf numFmtId="232" fontId="59" fillId="0" borderId="87" xfId="0" applyNumberFormat="1" applyFont="1" applyBorder="1" applyAlignment="1" applyProtection="1">
      <alignment horizontal="center"/>
      <protection locked="0"/>
    </xf>
    <xf numFmtId="210" fontId="6" fillId="24" borderId="253" xfId="0" applyNumberFormat="1" applyFont="1" applyFill="1" applyBorder="1" applyAlignment="1">
      <alignment horizontal="center"/>
    </xf>
    <xf numFmtId="0" fontId="18" fillId="6" borderId="19" xfId="0" applyFont="1" applyFill="1" applyBorder="1" applyAlignment="1">
      <alignment horizontal="center"/>
    </xf>
    <xf numFmtId="0" fontId="22" fillId="6" borderId="224" xfId="0" applyFont="1" applyFill="1" applyBorder="1" applyAlignment="1">
      <alignment horizontal="center"/>
    </xf>
    <xf numFmtId="210" fontId="6" fillId="24" borderId="256" xfId="0" applyNumberFormat="1" applyFont="1" applyFill="1" applyBorder="1" applyAlignment="1">
      <alignment horizontal="center"/>
    </xf>
    <xf numFmtId="232" fontId="6" fillId="24" borderId="257" xfId="0" applyNumberFormat="1" applyFont="1" applyFill="1" applyBorder="1" applyAlignment="1">
      <alignment horizontal="center"/>
    </xf>
    <xf numFmtId="0" fontId="18" fillId="6" borderId="118" xfId="0" applyFont="1" applyFill="1" applyBorder="1" applyAlignment="1">
      <alignment horizontal="center"/>
    </xf>
    <xf numFmtId="0" fontId="18" fillId="6" borderId="71" xfId="0" applyFont="1" applyFill="1" applyBorder="1" applyAlignment="1">
      <alignment horizontal="center"/>
    </xf>
    <xf numFmtId="177" fontId="59" fillId="0" borderId="262" xfId="0" applyNumberFormat="1" applyFont="1" applyBorder="1" applyAlignment="1" applyProtection="1">
      <alignment horizontal="center"/>
      <protection locked="0"/>
    </xf>
    <xf numFmtId="9" fontId="59" fillId="0" borderId="147" xfId="0" applyNumberFormat="1" applyFont="1" applyBorder="1" applyAlignment="1" applyProtection="1">
      <alignment horizontal="center"/>
      <protection locked="0"/>
    </xf>
    <xf numFmtId="233" fontId="63" fillId="0" borderId="148" xfId="0" applyNumberFormat="1" applyFont="1" applyBorder="1" applyAlignment="1" applyProtection="1">
      <alignment horizontal="center"/>
      <protection locked="0"/>
    </xf>
    <xf numFmtId="185" fontId="6" fillId="24" borderId="151" xfId="0" applyNumberFormat="1" applyFont="1" applyFill="1" applyBorder="1" applyAlignment="1">
      <alignment horizontal="center"/>
    </xf>
    <xf numFmtId="9" fontId="59" fillId="0" borderId="87" xfId="0" applyNumberFormat="1" applyFont="1" applyBorder="1" applyAlignment="1" applyProtection="1">
      <alignment horizontal="center"/>
      <protection locked="0"/>
    </xf>
    <xf numFmtId="234" fontId="45" fillId="0" borderId="152" xfId="0" applyNumberFormat="1" applyFont="1" applyBorder="1" applyAlignment="1" applyProtection="1">
      <alignment horizontal="center"/>
      <protection locked="0"/>
    </xf>
    <xf numFmtId="231" fontId="6" fillId="24" borderId="154" xfId="0" applyNumberFormat="1" applyFont="1" applyFill="1" applyBorder="1" applyAlignment="1">
      <alignment horizontal="center"/>
    </xf>
    <xf numFmtId="0" fontId="4" fillId="0" borderId="0" xfId="0" applyFont="1"/>
    <xf numFmtId="0" fontId="22" fillId="6" borderId="27" xfId="0" applyFont="1" applyFill="1" applyBorder="1" applyAlignment="1">
      <alignment horizontal="center"/>
    </xf>
    <xf numFmtId="9" fontId="59" fillId="0" borderId="233" xfId="0" applyNumberFormat="1" applyFont="1" applyBorder="1" applyAlignment="1" applyProtection="1">
      <alignment horizontal="center"/>
      <protection locked="0"/>
    </xf>
    <xf numFmtId="235" fontId="45" fillId="0" borderId="211" xfId="0" applyNumberFormat="1" applyFont="1" applyBorder="1" applyAlignment="1" applyProtection="1">
      <alignment horizontal="center"/>
      <protection locked="0"/>
    </xf>
    <xf numFmtId="232" fontId="6" fillId="24" borderId="212" xfId="0" applyNumberFormat="1" applyFont="1" applyFill="1" applyBorder="1" applyAlignment="1">
      <alignment horizontal="center"/>
    </xf>
    <xf numFmtId="0" fontId="18" fillId="6" borderId="74" xfId="0" applyFont="1" applyFill="1" applyBorder="1" applyAlignment="1">
      <alignment horizontal="center"/>
    </xf>
    <xf numFmtId="177" fontId="59" fillId="0" borderId="263" xfId="0" applyNumberFormat="1" applyFont="1" applyBorder="1" applyAlignment="1" applyProtection="1">
      <alignment horizontal="center"/>
      <protection locked="0"/>
    </xf>
    <xf numFmtId="177" fontId="59" fillId="0" borderId="264" xfId="0" applyNumberFormat="1" applyFont="1" applyBorder="1" applyAlignment="1" applyProtection="1">
      <alignment horizontal="center"/>
      <protection locked="0"/>
    </xf>
    <xf numFmtId="175" fontId="18" fillId="16" borderId="246" xfId="0" applyNumberFormat="1" applyFont="1" applyFill="1" applyBorder="1" applyAlignment="1">
      <alignment horizontal="center"/>
    </xf>
    <xf numFmtId="0" fontId="21" fillId="0" borderId="99" xfId="0" applyFont="1" applyBorder="1" applyAlignment="1">
      <alignment horizontal="center"/>
    </xf>
    <xf numFmtId="0" fontId="21" fillId="0" borderId="226" xfId="0" applyFont="1" applyBorder="1" applyAlignment="1">
      <alignment horizontal="center"/>
    </xf>
    <xf numFmtId="0" fontId="24" fillId="0" borderId="265" xfId="0" applyFont="1" applyBorder="1" applyAlignment="1">
      <alignment horizontal="center"/>
    </xf>
    <xf numFmtId="177" fontId="24" fillId="16" borderId="266" xfId="0" applyNumberFormat="1" applyFont="1" applyFill="1" applyBorder="1" applyAlignment="1">
      <alignment horizontal="center"/>
    </xf>
    <xf numFmtId="177" fontId="24" fillId="16" borderId="267" xfId="0" applyNumberFormat="1" applyFont="1" applyFill="1" applyBorder="1" applyAlignment="1">
      <alignment horizontal="center"/>
    </xf>
    <xf numFmtId="177" fontId="24" fillId="16" borderId="268" xfId="0" applyNumberFormat="1" applyFont="1" applyFill="1" applyBorder="1" applyAlignment="1">
      <alignment horizontal="center"/>
    </xf>
    <xf numFmtId="177" fontId="24" fillId="16" borderId="269" xfId="0" applyNumberFormat="1" applyFont="1" applyFill="1" applyBorder="1" applyAlignment="1">
      <alignment horizontal="center"/>
    </xf>
    <xf numFmtId="177" fontId="24" fillId="16" borderId="270" xfId="0" applyNumberFormat="1" applyFont="1" applyFill="1" applyBorder="1" applyAlignment="1">
      <alignment horizontal="center"/>
    </xf>
    <xf numFmtId="177" fontId="24" fillId="16" borderId="271" xfId="0" applyNumberFormat="1" applyFont="1" applyFill="1" applyBorder="1" applyAlignment="1">
      <alignment horizontal="center"/>
    </xf>
    <xf numFmtId="0" fontId="18" fillId="6" borderId="272" xfId="0" applyFont="1" applyFill="1" applyBorder="1" applyAlignment="1">
      <alignment horizontal="center"/>
    </xf>
    <xf numFmtId="236" fontId="13" fillId="24" borderId="214" xfId="0" applyNumberFormat="1" applyFont="1" applyFill="1" applyBorder="1" applyAlignment="1">
      <alignment horizontal="center"/>
    </xf>
    <xf numFmtId="177" fontId="13" fillId="24" borderId="180" xfId="0" applyNumberFormat="1" applyFont="1" applyFill="1" applyBorder="1" applyAlignment="1">
      <alignment horizontal="center"/>
    </xf>
    <xf numFmtId="0" fontId="0" fillId="0" borderId="42" xfId="0" applyBorder="1"/>
    <xf numFmtId="0" fontId="0" fillId="0" borderId="99" xfId="0" applyBorder="1" applyAlignment="1">
      <alignment horizontal="center"/>
    </xf>
    <xf numFmtId="0" fontId="0" fillId="0" borderId="99" xfId="0" applyBorder="1"/>
    <xf numFmtId="0" fontId="1" fillId="0" borderId="99" xfId="0" applyFont="1" applyBorder="1"/>
    <xf numFmtId="0" fontId="18" fillId="0" borderId="99" xfId="0" applyFont="1" applyBorder="1"/>
    <xf numFmtId="0" fontId="0" fillId="0" borderId="273" xfId="0" applyBorder="1"/>
    <xf numFmtId="0" fontId="18" fillId="6" borderId="233" xfId="0" applyFont="1" applyFill="1" applyBorder="1" applyAlignment="1">
      <alignment horizontal="center"/>
    </xf>
    <xf numFmtId="236" fontId="13" fillId="24" borderId="211" xfId="0" applyNumberFormat="1" applyFont="1" applyFill="1" applyBorder="1" applyAlignment="1">
      <alignment horizontal="center"/>
    </xf>
    <xf numFmtId="177" fontId="13" fillId="24" borderId="212" xfId="0" applyNumberFormat="1" applyFont="1" applyFill="1" applyBorder="1" applyAlignment="1">
      <alignment horizontal="center"/>
    </xf>
    <xf numFmtId="0" fontId="18" fillId="0" borderId="0" xfId="0" applyFont="1"/>
    <xf numFmtId="0" fontId="4" fillId="0" borderId="0" xfId="0" applyFont="1" applyAlignment="1">
      <alignment horizontal="center"/>
    </xf>
    <xf numFmtId="0" fontId="6" fillId="0" borderId="61" xfId="0" applyFont="1" applyBorder="1" applyAlignment="1">
      <alignment horizontal="center"/>
    </xf>
    <xf numFmtId="0" fontId="6" fillId="0" borderId="60" xfId="0" applyFont="1" applyBorder="1" applyAlignment="1">
      <alignment horizontal="center"/>
    </xf>
    <xf numFmtId="0" fontId="1" fillId="0" borderId="274" xfId="0" applyFont="1" applyBorder="1"/>
    <xf numFmtId="0" fontId="0" fillId="0" borderId="272" xfId="0" applyBorder="1" applyAlignment="1">
      <alignment horizontal="center"/>
    </xf>
    <xf numFmtId="0" fontId="0" fillId="0" borderId="214" xfId="0" applyBorder="1" applyAlignment="1">
      <alignment horizontal="center"/>
    </xf>
    <xf numFmtId="0" fontId="13" fillId="0" borderId="180" xfId="0" applyFont="1" applyBorder="1" applyAlignment="1">
      <alignment horizontal="center"/>
    </xf>
    <xf numFmtId="175" fontId="0" fillId="0" borderId="174" xfId="0" applyNumberFormat="1" applyBorder="1" applyAlignment="1">
      <alignment horizontal="center"/>
    </xf>
    <xf numFmtId="175" fontId="0" fillId="0" borderId="275" xfId="0" applyNumberFormat="1" applyBorder="1" applyAlignment="1">
      <alignment horizontal="center"/>
    </xf>
    <xf numFmtId="180" fontId="0" fillId="0" borderId="275" xfId="0" applyNumberFormat="1" applyBorder="1" applyAlignment="1">
      <alignment horizontal="center"/>
    </xf>
    <xf numFmtId="0" fontId="1" fillId="0" borderId="119" xfId="0" applyFont="1" applyBorder="1"/>
    <xf numFmtId="0" fontId="0" fillId="0" borderId="147" xfId="0" applyBorder="1"/>
    <xf numFmtId="0" fontId="0" fillId="0" borderId="148" xfId="0" applyBorder="1"/>
    <xf numFmtId="0" fontId="0" fillId="0" borderId="151" xfId="0" applyBorder="1"/>
    <xf numFmtId="175" fontId="0" fillId="0" borderId="188" xfId="0" applyNumberFormat="1" applyBorder="1" applyAlignment="1">
      <alignment horizontal="center"/>
    </xf>
    <xf numFmtId="175" fontId="0" fillId="0" borderId="203" xfId="0" applyNumberFormat="1" applyBorder="1" applyAlignment="1">
      <alignment horizontal="center"/>
    </xf>
    <xf numFmtId="180" fontId="0" fillId="0" borderId="203" xfId="0" applyNumberFormat="1" applyBorder="1" applyAlignment="1">
      <alignment horizontal="center"/>
    </xf>
    <xf numFmtId="0" fontId="0" fillId="0" borderId="87" xfId="0" applyBorder="1"/>
    <xf numFmtId="0" fontId="0" fillId="0" borderId="152" xfId="0" applyBorder="1"/>
    <xf numFmtId="0" fontId="0" fillId="0" borderId="154" xfId="0" applyBorder="1"/>
    <xf numFmtId="180" fontId="0" fillId="0" borderId="276" xfId="0" applyNumberFormat="1" applyBorder="1" applyAlignment="1">
      <alignment horizontal="center"/>
    </xf>
    <xf numFmtId="0" fontId="1" fillId="0" borderId="40" xfId="0" applyFont="1" applyBorder="1"/>
    <xf numFmtId="236" fontId="0" fillId="0" borderId="0" xfId="0" applyNumberFormat="1"/>
    <xf numFmtId="175" fontId="0" fillId="0" borderId="277" xfId="0" applyNumberFormat="1" applyBorder="1" applyAlignment="1">
      <alignment horizontal="center"/>
    </xf>
    <xf numFmtId="175" fontId="0" fillId="0" borderId="278" xfId="0" applyNumberFormat="1" applyBorder="1" applyAlignment="1">
      <alignment horizontal="center"/>
    </xf>
    <xf numFmtId="180" fontId="0" fillId="0" borderId="278" xfId="0" applyNumberFormat="1" applyBorder="1" applyAlignment="1">
      <alignment horizontal="center"/>
    </xf>
    <xf numFmtId="0" fontId="0" fillId="0" borderId="226" xfId="0" applyBorder="1"/>
    <xf numFmtId="2" fontId="0" fillId="0" borderId="0" xfId="0" applyNumberFormat="1"/>
    <xf numFmtId="174" fontId="13" fillId="0" borderId="139" xfId="0" applyNumberFormat="1" applyFont="1" applyBorder="1" applyAlignment="1">
      <alignment horizontal="center"/>
    </xf>
    <xf numFmtId="174" fontId="13" fillId="0" borderId="28" xfId="0" applyNumberFormat="1" applyFont="1" applyBorder="1" applyAlignment="1">
      <alignment horizontal="center"/>
    </xf>
    <xf numFmtId="174" fontId="13" fillId="0" borderId="140" xfId="0" applyNumberFormat="1" applyFont="1" applyBorder="1" applyAlignment="1">
      <alignment horizontal="center"/>
    </xf>
    <xf numFmtId="168" fontId="13" fillId="0" borderId="146" xfId="0" applyNumberFormat="1" applyFont="1" applyBorder="1" applyAlignment="1">
      <alignment horizontal="center"/>
    </xf>
    <xf numFmtId="168" fontId="13" fillId="0" borderId="0" xfId="0" applyNumberFormat="1" applyFont="1" applyAlignment="1">
      <alignment horizontal="center"/>
    </xf>
    <xf numFmtId="168" fontId="13" fillId="0" borderId="17" xfId="0" applyNumberFormat="1" applyFont="1" applyBorder="1" applyAlignment="1">
      <alignment horizontal="center"/>
    </xf>
    <xf numFmtId="0" fontId="13" fillId="0" borderId="232" xfId="0" applyFont="1" applyBorder="1" applyAlignment="1">
      <alignment horizontal="center"/>
    </xf>
    <xf numFmtId="0" fontId="13" fillId="0" borderId="39" xfId="0" applyFont="1" applyBorder="1" applyAlignment="1">
      <alignment horizontal="center"/>
    </xf>
    <xf numFmtId="0" fontId="13" fillId="0" borderId="239" xfId="0" applyFont="1" applyBorder="1" applyAlignment="1">
      <alignment horizontal="center"/>
    </xf>
    <xf numFmtId="203" fontId="0" fillId="0" borderId="0" xfId="0" applyNumberFormat="1"/>
    <xf numFmtId="0" fontId="0" fillId="0" borderId="233" xfId="0" applyBorder="1"/>
    <xf numFmtId="0" fontId="0" fillId="0" borderId="211" xfId="0" applyBorder="1"/>
    <xf numFmtId="0" fontId="0" fillId="0" borderId="212" xfId="0" applyBorder="1"/>
    <xf numFmtId="21" fontId="64" fillId="0" borderId="36" xfId="0" applyNumberFormat="1" applyFont="1" applyBorder="1" applyProtection="1">
      <protection locked="0"/>
    </xf>
    <xf numFmtId="1" fontId="65" fillId="0" borderId="142" xfId="0" applyNumberFormat="1" applyFont="1" applyBorder="1" applyAlignment="1">
      <alignment horizontal="center"/>
    </xf>
    <xf numFmtId="1" fontId="13" fillId="0" borderId="142" xfId="0" applyNumberFormat="1" applyFont="1" applyBorder="1" applyAlignment="1">
      <alignment horizontal="center"/>
    </xf>
    <xf numFmtId="1" fontId="13" fillId="0" borderId="143" xfId="0" applyNumberFormat="1" applyFont="1" applyBorder="1" applyAlignment="1">
      <alignment horizontal="center"/>
    </xf>
    <xf numFmtId="46" fontId="65" fillId="0" borderId="142" xfId="0" applyNumberFormat="1" applyFont="1" applyBorder="1" applyAlignment="1">
      <alignment horizontal="center"/>
    </xf>
    <xf numFmtId="46" fontId="13" fillId="0" borderId="142" xfId="0" applyNumberFormat="1" applyFont="1" applyBorder="1" applyAlignment="1">
      <alignment horizontal="center"/>
    </xf>
    <xf numFmtId="1" fontId="0" fillId="0" borderId="142" xfId="0" applyNumberFormat="1" applyBorder="1" applyAlignment="1">
      <alignment horizontal="center"/>
    </xf>
    <xf numFmtId="1" fontId="0" fillId="0" borderId="143" xfId="0" applyNumberFormat="1" applyBorder="1" applyAlignment="1">
      <alignment horizontal="center"/>
    </xf>
    <xf numFmtId="46" fontId="13" fillId="0" borderId="143" xfId="0" applyNumberFormat="1" applyFont="1" applyBorder="1" applyAlignment="1">
      <alignment horizontal="center"/>
    </xf>
    <xf numFmtId="2" fontId="0" fillId="0" borderId="142" xfId="0" applyNumberFormat="1" applyBorder="1" applyAlignment="1">
      <alignment horizontal="center"/>
    </xf>
    <xf numFmtId="0" fontId="6" fillId="0" borderId="0" xfId="2" applyFont="1" applyAlignment="1">
      <alignment horizontal="right"/>
    </xf>
    <xf numFmtId="174" fontId="0" fillId="0" borderId="152" xfId="0" applyNumberFormat="1" applyBorder="1" applyAlignment="1">
      <alignment horizontal="center"/>
    </xf>
    <xf numFmtId="168" fontId="0" fillId="0" borderId="152" xfId="0" applyNumberFormat="1" applyBorder="1" applyAlignment="1">
      <alignment horizontal="center"/>
    </xf>
    <xf numFmtId="0" fontId="0" fillId="0" borderId="37" xfId="0" applyBorder="1"/>
    <xf numFmtId="2" fontId="0" fillId="0" borderId="37" xfId="0" applyNumberFormat="1" applyBorder="1"/>
    <xf numFmtId="10" fontId="0" fillId="0" borderId="37" xfId="0" applyNumberFormat="1" applyBorder="1"/>
    <xf numFmtId="174" fontId="1" fillId="0" borderId="152" xfId="2" applyNumberFormat="1" applyBorder="1" applyAlignment="1">
      <alignment horizontal="center"/>
    </xf>
    <xf numFmtId="0" fontId="0" fillId="0" borderId="155" xfId="0" applyBorder="1"/>
    <xf numFmtId="2" fontId="0" fillId="0" borderId="155" xfId="0" applyNumberFormat="1" applyBorder="1"/>
    <xf numFmtId="10" fontId="0" fillId="0" borderId="155" xfId="0" applyNumberFormat="1" applyBorder="1"/>
    <xf numFmtId="0" fontId="1" fillId="0" borderId="0" xfId="2"/>
    <xf numFmtId="2" fontId="0" fillId="0" borderId="148" xfId="0" applyNumberFormat="1" applyBorder="1"/>
    <xf numFmtId="10" fontId="0" fillId="0" borderId="148" xfId="0" applyNumberFormat="1" applyBorder="1"/>
    <xf numFmtId="10" fontId="0" fillId="0" borderId="0" xfId="0" applyNumberFormat="1" applyAlignment="1">
      <alignment horizontal="center"/>
    </xf>
    <xf numFmtId="180" fontId="0" fillId="0" borderId="139" xfId="0" applyNumberFormat="1" applyBorder="1" applyAlignment="1">
      <alignment horizontal="center"/>
    </xf>
    <xf numFmtId="237" fontId="0" fillId="0" borderId="140" xfId="0" applyNumberFormat="1" applyBorder="1" applyAlignment="1">
      <alignment horizontal="center"/>
    </xf>
    <xf numFmtId="180" fontId="0" fillId="0" borderId="146" xfId="0" applyNumberFormat="1" applyBorder="1" applyAlignment="1">
      <alignment horizontal="center"/>
    </xf>
    <xf numFmtId="237" fontId="0" fillId="0" borderId="17" xfId="0" applyNumberFormat="1" applyBorder="1" applyAlignment="1">
      <alignment horizontal="center"/>
    </xf>
    <xf numFmtId="180" fontId="0" fillId="0" borderId="232" xfId="0" applyNumberFormat="1" applyBorder="1" applyAlignment="1">
      <alignment horizontal="center"/>
    </xf>
    <xf numFmtId="237" fontId="0" fillId="0" borderId="239" xfId="0" applyNumberFormat="1" applyBorder="1" applyAlignment="1">
      <alignment horizontal="center"/>
    </xf>
    <xf numFmtId="0" fontId="7" fillId="0" borderId="0" xfId="0" applyFont="1"/>
    <xf numFmtId="0" fontId="7" fillId="0" borderId="0" xfId="0" applyFont="1" applyAlignment="1">
      <alignment horizontal="center" vertical="center"/>
    </xf>
    <xf numFmtId="0" fontId="0" fillId="0" borderId="0" xfId="0" applyAlignment="1">
      <alignment horizontal="center" vertical="center"/>
    </xf>
    <xf numFmtId="2" fontId="1" fillId="0" borderId="0" xfId="0" applyNumberFormat="1" applyFont="1" applyAlignment="1">
      <alignment horizontal="center"/>
    </xf>
    <xf numFmtId="164" fontId="1" fillId="4" borderId="0" xfId="0" applyNumberFormat="1" applyFont="1" applyFill="1" applyAlignment="1">
      <alignment horizontal="center"/>
    </xf>
    <xf numFmtId="0" fontId="1" fillId="4" borderId="0" xfId="0" applyFont="1" applyFill="1"/>
    <xf numFmtId="46" fontId="1" fillId="4" borderId="0" xfId="0" applyNumberFormat="1" applyFont="1" applyFill="1" applyAlignment="1">
      <alignment horizontal="center"/>
    </xf>
    <xf numFmtId="0" fontId="1" fillId="4" borderId="0" xfId="0" applyFont="1" applyFill="1" applyAlignment="1">
      <alignment wrapText="1"/>
    </xf>
    <xf numFmtId="0" fontId="1" fillId="5" borderId="0" xfId="0" applyFont="1" applyFill="1" applyAlignment="1">
      <alignment horizontal="center" vertical="center" wrapText="1"/>
    </xf>
    <xf numFmtId="0" fontId="1" fillId="5" borderId="0" xfId="0" applyFont="1" applyFill="1" applyAlignment="1">
      <alignment horizontal="center"/>
    </xf>
    <xf numFmtId="164" fontId="1" fillId="5" borderId="0" xfId="0" applyNumberFormat="1" applyFont="1" applyFill="1" applyAlignment="1">
      <alignment horizontal="center"/>
    </xf>
    <xf numFmtId="0" fontId="1" fillId="5" borderId="0" xfId="0" applyFont="1" applyFill="1"/>
    <xf numFmtId="0" fontId="1" fillId="5" borderId="0" xfId="0" applyFont="1" applyFill="1" applyAlignment="1">
      <alignment wrapText="1"/>
    </xf>
    <xf numFmtId="177" fontId="0" fillId="0" borderId="0" xfId="0" applyNumberFormat="1"/>
    <xf numFmtId="177" fontId="7" fillId="0" borderId="0" xfId="0" applyNumberFormat="1" applyFont="1"/>
    <xf numFmtId="0" fontId="0" fillId="0" borderId="0" xfId="0" applyAlignment="1">
      <alignment vertical="center"/>
    </xf>
    <xf numFmtId="0" fontId="1" fillId="0" borderId="0" xfId="0" applyFont="1" applyAlignment="1">
      <alignment horizontal="left" vertical="center"/>
    </xf>
    <xf numFmtId="0" fontId="1" fillId="4" borderId="0" xfId="0" applyFont="1" applyFill="1" applyAlignment="1">
      <alignment horizontal="center" wrapText="1"/>
    </xf>
    <xf numFmtId="0" fontId="1" fillId="4" borderId="0" xfId="0" applyFont="1" applyFill="1" applyAlignment="1">
      <alignment horizontal="left" vertical="center" wrapText="1"/>
    </xf>
    <xf numFmtId="0" fontId="4" fillId="4" borderId="0" xfId="0" applyFont="1" applyFill="1" applyAlignment="1">
      <alignment horizontal="center" wrapText="1"/>
    </xf>
    <xf numFmtId="0" fontId="1" fillId="4" borderId="0" xfId="0" applyFont="1" applyFill="1" applyAlignment="1">
      <alignment horizontal="left" vertical="center"/>
    </xf>
    <xf numFmtId="2" fontId="1" fillId="4" borderId="0" xfId="0" applyNumberFormat="1" applyFont="1" applyFill="1" applyAlignment="1">
      <alignment horizontal="center"/>
    </xf>
    <xf numFmtId="0" fontId="1" fillId="4" borderId="0" xfId="0" applyFont="1" applyFill="1" applyAlignment="1">
      <alignment horizontal="left"/>
    </xf>
    <xf numFmtId="0" fontId="7" fillId="4" borderId="0" xfId="0" applyFont="1" applyFill="1" applyAlignment="1">
      <alignment horizontal="left" vertical="center"/>
    </xf>
    <xf numFmtId="0" fontId="7" fillId="0" borderId="0" xfId="0" applyFont="1" applyAlignment="1">
      <alignment horizontal="left" vertical="center"/>
    </xf>
    <xf numFmtId="0" fontId="1" fillId="0" borderId="7" xfId="0" applyFont="1" applyBorder="1"/>
    <xf numFmtId="0" fontId="2" fillId="0" borderId="7" xfId="0" applyFont="1" applyBorder="1"/>
    <xf numFmtId="9" fontId="4" fillId="0" borderId="0" xfId="0" applyNumberFormat="1" applyFont="1"/>
    <xf numFmtId="0" fontId="1" fillId="0" borderId="0" xfId="0" applyFont="1" applyAlignment="1">
      <alignment vertical="center" wrapText="1"/>
    </xf>
    <xf numFmtId="0" fontId="1" fillId="36" borderId="0" xfId="0" applyFont="1" applyFill="1" applyAlignment="1">
      <alignment horizontal="center"/>
    </xf>
    <xf numFmtId="164" fontId="1" fillId="36" borderId="0" xfId="0" applyNumberFormat="1" applyFont="1" applyFill="1" applyAlignment="1">
      <alignment horizontal="center"/>
    </xf>
    <xf numFmtId="0" fontId="1" fillId="36" borderId="0" xfId="0" applyFont="1" applyFill="1"/>
    <xf numFmtId="21" fontId="1" fillId="36" borderId="0" xfId="0" applyNumberFormat="1" applyFont="1" applyFill="1" applyAlignment="1">
      <alignment horizontal="center"/>
    </xf>
    <xf numFmtId="0" fontId="1" fillId="36" borderId="0" xfId="0" applyFont="1" applyFill="1" applyAlignment="1">
      <alignment wrapText="1"/>
    </xf>
    <xf numFmtId="46" fontId="1" fillId="36" borderId="0" xfId="0" applyNumberFormat="1" applyFont="1" applyFill="1" applyAlignment="1">
      <alignment horizontal="center"/>
    </xf>
    <xf numFmtId="0" fontId="0" fillId="36" borderId="0" xfId="0" applyFill="1"/>
    <xf numFmtId="46" fontId="1" fillId="37" borderId="0" xfId="0" applyNumberFormat="1" applyFont="1" applyFill="1" applyAlignment="1">
      <alignment horizontal="center"/>
    </xf>
    <xf numFmtId="9" fontId="4" fillId="37" borderId="0" xfId="0" applyNumberFormat="1" applyFont="1" applyFill="1"/>
    <xf numFmtId="0" fontId="1" fillId="37" borderId="0" xfId="0" applyFont="1" applyFill="1" applyAlignment="1">
      <alignment horizontal="center"/>
    </xf>
    <xf numFmtId="0" fontId="4" fillId="37" borderId="0" xfId="0" applyFont="1" applyFill="1"/>
    <xf numFmtId="0" fontId="1" fillId="37" borderId="0" xfId="0" applyFont="1" applyFill="1"/>
    <xf numFmtId="0" fontId="0" fillId="37" borderId="0" xfId="0" applyFill="1"/>
    <xf numFmtId="20" fontId="7" fillId="0" borderId="0" xfId="0" applyNumberFormat="1" applyFont="1"/>
    <xf numFmtId="1" fontId="0" fillId="0" borderId="0" xfId="0" applyNumberFormat="1"/>
    <xf numFmtId="2" fontId="1" fillId="0" borderId="0" xfId="0" applyNumberFormat="1" applyFont="1"/>
    <xf numFmtId="21" fontId="0" fillId="0" borderId="0" xfId="0" applyNumberFormat="1"/>
    <xf numFmtId="177" fontId="1" fillId="0" borderId="0" xfId="0" applyNumberFormat="1" applyFont="1"/>
    <xf numFmtId="21" fontId="1" fillId="0" borderId="0" xfId="0" applyNumberFormat="1" applyFont="1"/>
    <xf numFmtId="177" fontId="1" fillId="0" borderId="0" xfId="0" applyNumberFormat="1" applyFont="1" applyAlignment="1">
      <alignment horizontal="center"/>
    </xf>
    <xf numFmtId="0" fontId="1" fillId="0" borderId="0" xfId="0" applyFont="1" applyAlignment="1">
      <alignment horizontal="center"/>
    </xf>
    <xf numFmtId="0" fontId="7" fillId="0" borderId="0" xfId="0" applyFont="1" applyAlignment="1">
      <alignment horizontal="center"/>
    </xf>
    <xf numFmtId="46" fontId="0" fillId="0" borderId="0" xfId="0" applyNumberFormat="1" applyAlignment="1">
      <alignment horizontal="center"/>
    </xf>
    <xf numFmtId="14" fontId="0" fillId="0" borderId="0" xfId="0" applyNumberFormat="1" applyAlignment="1">
      <alignment horizontal="center"/>
    </xf>
    <xf numFmtId="14" fontId="1" fillId="0" borderId="0" xfId="0" applyNumberFormat="1" applyFont="1" applyAlignment="1">
      <alignment horizontal="center"/>
    </xf>
    <xf numFmtId="14" fontId="0" fillId="0" borderId="0" xfId="0" applyNumberFormat="1"/>
    <xf numFmtId="14" fontId="1" fillId="0" borderId="0" xfId="0" applyNumberFormat="1" applyFont="1"/>
    <xf numFmtId="2" fontId="1" fillId="36" borderId="0" xfId="0" applyNumberFormat="1" applyFont="1" applyFill="1" applyAlignment="1">
      <alignment horizontal="center"/>
    </xf>
    <xf numFmtId="0" fontId="1" fillId="0" borderId="0" xfId="0" applyFont="1" applyAlignment="1">
      <alignment horizontal="center"/>
    </xf>
    <xf numFmtId="0" fontId="0" fillId="0" borderId="0" xfId="0"/>
    <xf numFmtId="0" fontId="7" fillId="0" borderId="0" xfId="0" applyFont="1" applyAlignment="1">
      <alignment horizontal="center"/>
    </xf>
    <xf numFmtId="0" fontId="0" fillId="0" borderId="0" xfId="0" applyAlignment="1">
      <alignment horizontal="center"/>
    </xf>
    <xf numFmtId="0" fontId="0" fillId="0" borderId="39" xfId="0" applyBorder="1" applyAlignment="1">
      <alignment horizontal="center"/>
    </xf>
    <xf numFmtId="0" fontId="18" fillId="6" borderId="74" xfId="0" applyFont="1" applyFill="1" applyBorder="1" applyAlignment="1">
      <alignment horizontal="center"/>
    </xf>
    <xf numFmtId="0" fontId="18" fillId="6" borderId="71" xfId="0" applyFont="1" applyFill="1" applyBorder="1" applyAlignment="1">
      <alignment horizontal="center"/>
    </xf>
    <xf numFmtId="0" fontId="24" fillId="6" borderId="138" xfId="0" applyFont="1" applyFill="1" applyBorder="1" applyAlignment="1">
      <alignment horizontal="center"/>
    </xf>
    <xf numFmtId="0" fontId="6" fillId="6" borderId="142" xfId="0" applyFont="1" applyFill="1" applyBorder="1" applyAlignment="1">
      <alignment horizontal="center"/>
    </xf>
    <xf numFmtId="0" fontId="6" fillId="6" borderId="145" xfId="0" applyFont="1" applyFill="1" applyBorder="1" applyAlignment="1">
      <alignment horizontal="center"/>
    </xf>
    <xf numFmtId="0" fontId="13" fillId="30" borderId="165" xfId="0" applyFont="1" applyFill="1" applyBorder="1" applyAlignment="1">
      <alignment horizontal="center"/>
    </xf>
    <xf numFmtId="0" fontId="13" fillId="30" borderId="166" xfId="0" applyFont="1" applyFill="1" applyBorder="1" applyAlignment="1">
      <alignment horizontal="center"/>
    </xf>
    <xf numFmtId="0" fontId="13" fillId="30" borderId="148" xfId="0" applyFont="1" applyFill="1" applyBorder="1" applyAlignment="1">
      <alignment horizontal="center"/>
    </xf>
    <xf numFmtId="0" fontId="13" fillId="30" borderId="151" xfId="0" applyFont="1" applyFill="1" applyBorder="1" applyAlignment="1">
      <alignment horizontal="center"/>
    </xf>
    <xf numFmtId="21" fontId="6" fillId="6" borderId="209" xfId="0" applyNumberFormat="1" applyFont="1" applyFill="1" applyBorder="1" applyAlignment="1">
      <alignment horizontal="center"/>
    </xf>
    <xf numFmtId="21" fontId="6" fillId="6" borderId="175" xfId="0" applyNumberFormat="1" applyFont="1" applyFill="1" applyBorder="1" applyAlignment="1">
      <alignment horizontal="center"/>
    </xf>
    <xf numFmtId="0" fontId="13" fillId="6" borderId="142" xfId="0" applyFont="1" applyFill="1" applyBorder="1" applyAlignment="1">
      <alignment horizontal="center"/>
    </xf>
    <xf numFmtId="0" fontId="6" fillId="16" borderId="15" xfId="0" applyFont="1" applyFill="1" applyBorder="1" applyAlignment="1">
      <alignment horizontal="center"/>
    </xf>
    <xf numFmtId="0" fontId="1" fillId="0" borderId="144" xfId="0" applyFont="1" applyBorder="1" applyAlignment="1">
      <alignment horizontal="center"/>
    </xf>
    <xf numFmtId="0" fontId="1" fillId="0" borderId="142" xfId="0" applyFont="1" applyBorder="1" applyAlignment="1">
      <alignment horizontal="center"/>
    </xf>
    <xf numFmtId="0" fontId="1" fillId="0" borderId="143" xfId="0" applyFont="1" applyBorder="1" applyAlignment="1">
      <alignment horizontal="center"/>
    </xf>
    <xf numFmtId="0" fontId="13" fillId="6" borderId="58" xfId="0" applyFont="1" applyFill="1" applyBorder="1" applyAlignment="1">
      <alignment horizontal="center"/>
    </xf>
    <xf numFmtId="0" fontId="1" fillId="0" borderId="0" xfId="0" applyFont="1" applyAlignment="1">
      <alignment horizontal="center"/>
    </xf>
    <xf numFmtId="0" fontId="2" fillId="2" borderId="2" xfId="0" applyFont="1" applyFill="1" applyBorder="1" applyAlignment="1">
      <alignment horizontal="center" vertical="center" wrapText="1"/>
    </xf>
    <xf numFmtId="0" fontId="2" fillId="0" borderId="2" xfId="0" applyFont="1" applyBorder="1"/>
    <xf numFmtId="0" fontId="2" fillId="0" borderId="3" xfId="0" applyFont="1" applyBorder="1"/>
    <xf numFmtId="0" fontId="0" fillId="0" borderId="0" xfId="0"/>
    <xf numFmtId="0" fontId="2" fillId="0" borderId="5" xfId="0" applyFont="1" applyBorder="1"/>
    <xf numFmtId="0" fontId="2" fillId="0" borderId="7" xfId="0" applyFont="1" applyBorder="1"/>
    <xf numFmtId="0" fontId="2" fillId="0" borderId="8" xfId="0" applyFont="1" applyBorder="1"/>
    <xf numFmtId="0" fontId="1" fillId="2" borderId="0" xfId="0" applyFont="1" applyFill="1" applyAlignment="1">
      <alignment horizontal="left"/>
    </xf>
    <xf numFmtId="0" fontId="1" fillId="2" borderId="7" xfId="0" applyFont="1" applyFill="1" applyBorder="1" applyAlignment="1">
      <alignment horizontal="left"/>
    </xf>
    <xf numFmtId="0" fontId="1" fillId="0" borderId="7" xfId="0" applyFont="1" applyBorder="1" applyAlignment="1">
      <alignment horizontal="center"/>
    </xf>
    <xf numFmtId="0" fontId="1" fillId="36" borderId="0" xfId="0" applyFont="1" applyFill="1" applyAlignment="1">
      <alignment horizontal="center" vertical="center" wrapText="1"/>
    </xf>
    <xf numFmtId="0" fontId="1" fillId="0" borderId="0" xfId="0" applyFont="1" applyAlignment="1">
      <alignment horizontal="center" vertical="center" wrapText="1"/>
    </xf>
    <xf numFmtId="0" fontId="1" fillId="2" borderId="2" xfId="0" applyFont="1" applyFill="1" applyBorder="1" applyAlignment="1">
      <alignment horizontal="left"/>
    </xf>
    <xf numFmtId="0" fontId="3" fillId="0" borderId="0" xfId="0" applyFont="1" applyAlignment="1">
      <alignment horizontal="center"/>
    </xf>
    <xf numFmtId="0" fontId="7" fillId="0" borderId="0" xfId="0" applyFont="1" applyAlignment="1">
      <alignment horizontal="center"/>
    </xf>
    <xf numFmtId="0" fontId="0" fillId="0" borderId="0" xfId="0" applyAlignment="1">
      <alignment horizontal="center"/>
    </xf>
    <xf numFmtId="0" fontId="0" fillId="0" borderId="0" xfId="0" applyAlignment="1">
      <alignment horizontal="center" vertical="center"/>
    </xf>
    <xf numFmtId="177" fontId="0" fillId="0" borderId="0" xfId="0" applyNumberFormat="1" applyAlignment="1">
      <alignment horizontal="center" vertical="center"/>
    </xf>
    <xf numFmtId="0" fontId="7" fillId="0" borderId="0" xfId="0" applyFont="1" applyAlignment="1">
      <alignment horizontal="center" vertical="center"/>
    </xf>
    <xf numFmtId="0" fontId="6" fillId="16" borderId="165" xfId="0" applyFont="1" applyFill="1" applyBorder="1" applyAlignment="1">
      <alignment horizontal="center"/>
    </xf>
    <xf numFmtId="0" fontId="6" fillId="16" borderId="166" xfId="0" applyFont="1" applyFill="1" applyBorder="1" applyAlignment="1">
      <alignment horizontal="center"/>
    </xf>
    <xf numFmtId="0" fontId="6" fillId="8" borderId="53" xfId="0" applyFont="1" applyFill="1" applyBorder="1" applyAlignment="1">
      <alignment horizontal="center"/>
    </xf>
    <xf numFmtId="0" fontId="6" fillId="8" borderId="54" xfId="0" applyFont="1" applyFill="1" applyBorder="1" applyAlignment="1">
      <alignment horizontal="center"/>
    </xf>
    <xf numFmtId="0" fontId="13" fillId="6" borderId="58" xfId="0" applyFont="1" applyFill="1" applyBorder="1" applyAlignment="1">
      <alignment horizontal="center"/>
    </xf>
    <xf numFmtId="0" fontId="13" fillId="6" borderId="13" xfId="0" applyFont="1" applyFill="1" applyBorder="1" applyAlignment="1">
      <alignment horizontal="center"/>
    </xf>
    <xf numFmtId="0" fontId="13" fillId="6" borderId="59" xfId="0" applyFont="1" applyFill="1" applyBorder="1" applyAlignment="1">
      <alignment horizontal="center"/>
    </xf>
    <xf numFmtId="172" fontId="6" fillId="12" borderId="19" xfId="0" applyNumberFormat="1" applyFont="1" applyFill="1" applyBorder="1" applyAlignment="1">
      <alignment horizontal="center"/>
    </xf>
    <xf numFmtId="172" fontId="6" fillId="12" borderId="26" xfId="0" applyNumberFormat="1" applyFont="1" applyFill="1" applyBorder="1" applyAlignment="1">
      <alignment horizontal="center"/>
    </xf>
    <xf numFmtId="173" fontId="6" fillId="12" borderId="65" xfId="0" applyNumberFormat="1" applyFont="1" applyFill="1" applyBorder="1" applyAlignment="1">
      <alignment horizontal="center"/>
    </xf>
    <xf numFmtId="173" fontId="6" fillId="12" borderId="66" xfId="0" applyNumberFormat="1" applyFont="1" applyFill="1" applyBorder="1" applyAlignment="1">
      <alignment horizontal="center"/>
    </xf>
    <xf numFmtId="0" fontId="6" fillId="12" borderId="19" xfId="0" applyFont="1" applyFill="1" applyBorder="1" applyAlignment="1">
      <alignment horizontal="right"/>
    </xf>
    <xf numFmtId="0" fontId="6" fillId="12" borderId="20" xfId="0" applyFont="1" applyFill="1" applyBorder="1" applyAlignment="1">
      <alignment horizontal="right"/>
    </xf>
    <xf numFmtId="0" fontId="16" fillId="7" borderId="12" xfId="0" applyFont="1" applyFill="1" applyBorder="1" applyAlignment="1">
      <alignment horizontal="center"/>
    </xf>
    <xf numFmtId="0" fontId="16" fillId="7" borderId="0" xfId="0" applyFont="1" applyFill="1" applyAlignment="1">
      <alignment horizontal="center"/>
    </xf>
    <xf numFmtId="0" fontId="18" fillId="8" borderId="19" xfId="0" applyFont="1" applyFill="1" applyBorder="1" applyAlignment="1">
      <alignment horizontal="center"/>
    </xf>
    <xf numFmtId="0" fontId="18" fillId="8" borderId="20" xfId="0" applyFont="1" applyFill="1" applyBorder="1" applyAlignment="1">
      <alignment horizontal="center"/>
    </xf>
    <xf numFmtId="0" fontId="18" fillId="8" borderId="21" xfId="0" applyFont="1" applyFill="1" applyBorder="1" applyAlignment="1">
      <alignment horizontal="center"/>
    </xf>
    <xf numFmtId="0" fontId="13" fillId="7" borderId="0" xfId="0" applyFont="1" applyFill="1" applyAlignment="1">
      <alignment horizontal="center"/>
    </xf>
    <xf numFmtId="0" fontId="6" fillId="8" borderId="27" xfId="0" applyFont="1" applyFill="1" applyBorder="1" applyAlignment="1">
      <alignment horizontal="center" vertical="center"/>
    </xf>
    <xf numFmtId="0" fontId="6" fillId="8" borderId="28" xfId="0" applyFont="1" applyFill="1" applyBorder="1" applyAlignment="1">
      <alignment horizontal="center" vertical="center"/>
    </xf>
    <xf numFmtId="0" fontId="1" fillId="0" borderId="30" xfId="0" applyFont="1" applyBorder="1" applyAlignment="1">
      <alignment horizontal="center"/>
    </xf>
    <xf numFmtId="0" fontId="1" fillId="0" borderId="31" xfId="0" applyFont="1" applyBorder="1" applyAlignment="1">
      <alignment horizontal="center"/>
    </xf>
    <xf numFmtId="0" fontId="1" fillId="0" borderId="32" xfId="0" applyFont="1" applyBorder="1" applyAlignment="1">
      <alignment horizontal="center"/>
    </xf>
    <xf numFmtId="0" fontId="21" fillId="0" borderId="33" xfId="0" applyFont="1" applyBorder="1" applyAlignment="1">
      <alignment horizontal="center" vertical="top"/>
    </xf>
    <xf numFmtId="0" fontId="21" fillId="0" borderId="34" xfId="0" applyFont="1" applyBorder="1" applyAlignment="1">
      <alignment horizontal="center" vertical="top"/>
    </xf>
    <xf numFmtId="0" fontId="6" fillId="10" borderId="35" xfId="0" applyFont="1" applyFill="1" applyBorder="1" applyAlignment="1">
      <alignment horizontal="center"/>
    </xf>
    <xf numFmtId="0" fontId="6" fillId="10" borderId="36" xfId="0" applyFont="1" applyFill="1" applyBorder="1" applyAlignment="1">
      <alignment horizontal="center"/>
    </xf>
    <xf numFmtId="0" fontId="24" fillId="11" borderId="19" xfId="0" applyFont="1" applyFill="1" applyBorder="1" applyAlignment="1">
      <alignment horizontal="center"/>
    </xf>
    <xf numFmtId="0" fontId="24" fillId="11" borderId="20" xfId="0" applyFont="1" applyFill="1" applyBorder="1" applyAlignment="1">
      <alignment horizontal="center"/>
    </xf>
    <xf numFmtId="0" fontId="6" fillId="8" borderId="38" xfId="0" applyFont="1" applyFill="1" applyBorder="1" applyAlignment="1">
      <alignment horizontal="center" vertical="center"/>
    </xf>
    <xf numFmtId="0" fontId="6" fillId="8" borderId="39" xfId="0" applyFont="1" applyFill="1" applyBorder="1" applyAlignment="1">
      <alignment horizontal="center" vertical="center"/>
    </xf>
    <xf numFmtId="167" fontId="13" fillId="6" borderId="47" xfId="0" applyNumberFormat="1" applyFont="1" applyFill="1" applyBorder="1" applyAlignment="1">
      <alignment horizontal="center"/>
    </xf>
    <xf numFmtId="167" fontId="13" fillId="6" borderId="34" xfId="0" applyNumberFormat="1" applyFont="1" applyFill="1" applyBorder="1" applyAlignment="1">
      <alignment horizontal="center"/>
    </xf>
    <xf numFmtId="0" fontId="13" fillId="19" borderId="20" xfId="0" applyFont="1" applyFill="1" applyBorder="1" applyAlignment="1">
      <alignment horizontal="center"/>
    </xf>
    <xf numFmtId="0" fontId="13" fillId="19" borderId="192" xfId="0" applyFont="1" applyFill="1" applyBorder="1" applyAlignment="1">
      <alignment horizontal="center"/>
    </xf>
    <xf numFmtId="177" fontId="13" fillId="19" borderId="193" xfId="0" applyNumberFormat="1" applyFont="1" applyFill="1" applyBorder="1" applyAlignment="1">
      <alignment horizontal="center"/>
    </xf>
    <xf numFmtId="177" fontId="13" fillId="19" borderId="192" xfId="0" applyNumberFormat="1" applyFont="1" applyFill="1" applyBorder="1" applyAlignment="1">
      <alignment horizontal="center"/>
    </xf>
    <xf numFmtId="177" fontId="13" fillId="19" borderId="21" xfId="0" applyNumberFormat="1" applyFont="1" applyFill="1" applyBorder="1" applyAlignment="1">
      <alignment horizontal="center"/>
    </xf>
    <xf numFmtId="0" fontId="6" fillId="16" borderId="159" xfId="0" applyFont="1" applyFill="1" applyBorder="1" applyAlignment="1">
      <alignment horizontal="center"/>
    </xf>
    <xf numFmtId="0" fontId="6" fillId="16" borderId="160" xfId="0" applyFont="1" applyFill="1" applyBorder="1" applyAlignment="1">
      <alignment horizontal="center"/>
    </xf>
    <xf numFmtId="0" fontId="6" fillId="16" borderId="172" xfId="0" applyFont="1" applyFill="1" applyBorder="1" applyAlignment="1">
      <alignment horizontal="center"/>
    </xf>
    <xf numFmtId="0" fontId="0" fillId="6" borderId="92" xfId="0" applyFill="1" applyBorder="1" applyAlignment="1">
      <alignment horizontal="center"/>
    </xf>
    <xf numFmtId="0" fontId="0" fillId="6" borderId="93" xfId="0" applyFill="1" applyBorder="1" applyAlignment="1">
      <alignment horizontal="center"/>
    </xf>
    <xf numFmtId="0" fontId="0" fillId="6" borderId="173" xfId="0" applyFill="1" applyBorder="1" applyAlignment="1">
      <alignment horizontal="center"/>
    </xf>
    <xf numFmtId="0" fontId="4" fillId="6" borderId="175" xfId="1" applyFont="1" applyFill="1" applyBorder="1" applyAlignment="1" applyProtection="1">
      <alignment horizontal="center"/>
    </xf>
    <xf numFmtId="0" fontId="24" fillId="6" borderId="177" xfId="0" applyFont="1" applyFill="1" applyBorder="1" applyAlignment="1">
      <alignment horizontal="center"/>
    </xf>
    <xf numFmtId="0" fontId="24" fillId="6" borderId="178" xfId="0" applyFont="1" applyFill="1" applyBorder="1" applyAlignment="1">
      <alignment horizontal="center"/>
    </xf>
    <xf numFmtId="0" fontId="1" fillId="0" borderId="138" xfId="0" applyFont="1" applyBorder="1" applyAlignment="1">
      <alignment horizontal="center"/>
    </xf>
    <xf numFmtId="176" fontId="6" fillId="12" borderId="27" xfId="0" applyNumberFormat="1" applyFont="1" applyFill="1" applyBorder="1" applyAlignment="1">
      <alignment horizontal="center" vertical="center"/>
    </xf>
    <xf numFmtId="176" fontId="6" fillId="12" borderId="71" xfId="0" applyNumberFormat="1" applyFont="1" applyFill="1" applyBorder="1" applyAlignment="1">
      <alignment horizontal="center" vertical="center"/>
    </xf>
    <xf numFmtId="0" fontId="6" fillId="12" borderId="72" xfId="0" applyFont="1" applyFill="1" applyBorder="1" applyAlignment="1">
      <alignment horizontal="right"/>
    </xf>
    <xf numFmtId="0" fontId="6" fillId="12" borderId="74" xfId="0" applyFont="1" applyFill="1" applyBorder="1" applyAlignment="1">
      <alignment horizontal="right"/>
    </xf>
    <xf numFmtId="1" fontId="24" fillId="0" borderId="99" xfId="0" applyNumberFormat="1" applyFont="1" applyBorder="1" applyAlignment="1">
      <alignment horizontal="center"/>
    </xf>
    <xf numFmtId="0" fontId="32" fillId="26" borderId="134" xfId="0" applyFont="1" applyFill="1" applyBorder="1" applyAlignment="1">
      <alignment horizontal="center"/>
    </xf>
    <xf numFmtId="0" fontId="32" fillId="26" borderId="135" xfId="0" applyFont="1" applyFill="1" applyBorder="1" applyAlignment="1">
      <alignment horizontal="center"/>
    </xf>
    <xf numFmtId="0" fontId="32" fillId="26" borderId="100" xfId="0" applyFont="1" applyFill="1" applyBorder="1" applyAlignment="1">
      <alignment horizontal="center"/>
    </xf>
    <xf numFmtId="0" fontId="32" fillId="26" borderId="13" xfId="0" applyFont="1" applyFill="1" applyBorder="1" applyAlignment="1">
      <alignment horizontal="center"/>
    </xf>
    <xf numFmtId="0" fontId="32" fillId="26" borderId="14" xfId="0" applyFont="1" applyFill="1" applyBorder="1" applyAlignment="1">
      <alignment horizontal="center"/>
    </xf>
    <xf numFmtId="0" fontId="6" fillId="16" borderId="164" xfId="0" applyFont="1" applyFill="1" applyBorder="1" applyAlignment="1">
      <alignment horizontal="center"/>
    </xf>
    <xf numFmtId="0" fontId="4" fillId="6" borderId="175" xfId="2" applyFont="1" applyFill="1" applyBorder="1" applyAlignment="1">
      <alignment horizontal="center"/>
    </xf>
    <xf numFmtId="0" fontId="13" fillId="0" borderId="181" xfId="1" applyFont="1" applyFill="1" applyBorder="1" applyAlignment="1" applyProtection="1">
      <alignment horizontal="center"/>
      <protection locked="0"/>
    </xf>
    <xf numFmtId="0" fontId="13" fillId="0" borderId="182" xfId="1" applyFont="1" applyFill="1" applyBorder="1" applyAlignment="1" applyProtection="1">
      <alignment horizontal="center"/>
      <protection locked="0"/>
    </xf>
    <xf numFmtId="0" fontId="13" fillId="0" borderId="183" xfId="1" applyFont="1" applyFill="1" applyBorder="1" applyAlignment="1" applyProtection="1">
      <alignment horizontal="center"/>
      <protection locked="0"/>
    </xf>
    <xf numFmtId="0" fontId="13" fillId="0" borderId="184" xfId="1" applyFont="1" applyFill="1" applyBorder="1" applyAlignment="1" applyProtection="1">
      <alignment horizontal="center"/>
      <protection locked="0"/>
    </xf>
    <xf numFmtId="0" fontId="37" fillId="9" borderId="35" xfId="1" applyNumberFormat="1" applyFont="1" applyFill="1" applyBorder="1" applyAlignment="1" applyProtection="1">
      <alignment horizontal="center"/>
    </xf>
    <xf numFmtId="0" fontId="37" fillId="9" borderId="36" xfId="1" applyNumberFormat="1" applyFont="1" applyFill="1" applyBorder="1" applyAlignment="1" applyProtection="1">
      <alignment horizontal="center"/>
    </xf>
    <xf numFmtId="0" fontId="1" fillId="0" borderId="144" xfId="0" applyFont="1" applyBorder="1" applyAlignment="1">
      <alignment horizontal="center"/>
    </xf>
    <xf numFmtId="0" fontId="1" fillId="0" borderId="142" xfId="0" applyFont="1" applyBorder="1" applyAlignment="1">
      <alignment horizontal="center"/>
    </xf>
    <xf numFmtId="0" fontId="1" fillId="0" borderId="143" xfId="0" applyFont="1" applyBorder="1" applyAlignment="1">
      <alignment horizontal="center"/>
    </xf>
    <xf numFmtId="21" fontId="4" fillId="6" borderId="198" xfId="0" applyNumberFormat="1" applyFont="1" applyFill="1" applyBorder="1" applyAlignment="1">
      <alignment horizontal="center"/>
    </xf>
    <xf numFmtId="21" fontId="4" fillId="6" borderId="175" xfId="0" applyNumberFormat="1" applyFont="1" applyFill="1" applyBorder="1" applyAlignment="1">
      <alignment horizontal="center"/>
    </xf>
    <xf numFmtId="21" fontId="4" fillId="6" borderId="204" xfId="0" applyNumberFormat="1" applyFont="1" applyFill="1" applyBorder="1" applyAlignment="1">
      <alignment horizontal="center"/>
    </xf>
    <xf numFmtId="0" fontId="24" fillId="6" borderId="198" xfId="0" applyFont="1" applyFill="1" applyBorder="1" applyAlignment="1">
      <alignment horizontal="center"/>
    </xf>
    <xf numFmtId="0" fontId="24" fillId="6" borderId="204" xfId="0" applyFont="1" applyFill="1" applyBorder="1" applyAlignment="1">
      <alignment horizontal="center"/>
    </xf>
    <xf numFmtId="188" fontId="18" fillId="25" borderId="206" xfId="0" applyNumberFormat="1" applyFont="1" applyFill="1" applyBorder="1" applyAlignment="1">
      <alignment horizontal="center"/>
    </xf>
    <xf numFmtId="188" fontId="18" fillId="25" borderId="192" xfId="0" applyNumberFormat="1" applyFont="1" applyFill="1" applyBorder="1" applyAlignment="1">
      <alignment horizontal="center"/>
    </xf>
    <xf numFmtId="189" fontId="43" fillId="24" borderId="186" xfId="0" applyNumberFormat="1" applyFont="1" applyFill="1" applyBorder="1" applyAlignment="1">
      <alignment horizontal="center"/>
    </xf>
    <xf numFmtId="189" fontId="43" fillId="24" borderId="32" xfId="0" applyNumberFormat="1" applyFont="1" applyFill="1" applyBorder="1" applyAlignment="1">
      <alignment horizontal="center"/>
    </xf>
    <xf numFmtId="190" fontId="18" fillId="22" borderId="210" xfId="0" applyNumberFormat="1" applyFont="1" applyFill="1" applyBorder="1" applyAlignment="1">
      <alignment horizontal="center"/>
    </xf>
    <xf numFmtId="190" fontId="18" fillId="22" borderId="50" xfId="0" applyNumberFormat="1" applyFont="1" applyFill="1" applyBorder="1" applyAlignment="1">
      <alignment horizontal="center"/>
    </xf>
    <xf numFmtId="192" fontId="18" fillId="25" borderId="177" xfId="0" applyNumberFormat="1" applyFont="1" applyFill="1" applyBorder="1" applyAlignment="1">
      <alignment horizontal="center"/>
    </xf>
    <xf numFmtId="192" fontId="18" fillId="25" borderId="213" xfId="0" applyNumberFormat="1" applyFont="1" applyFill="1" applyBorder="1" applyAlignment="1">
      <alignment horizontal="center"/>
    </xf>
    <xf numFmtId="0" fontId="24" fillId="28" borderId="198" xfId="0" applyFont="1" applyFill="1" applyBorder="1" applyAlignment="1">
      <alignment horizontal="center"/>
    </xf>
    <xf numFmtId="0" fontId="24" fillId="28" borderId="204" xfId="0" applyFont="1" applyFill="1" applyBorder="1" applyAlignment="1">
      <alignment horizontal="center"/>
    </xf>
    <xf numFmtId="0" fontId="24" fillId="22" borderId="206" xfId="0" applyFont="1" applyFill="1" applyBorder="1" applyAlignment="1">
      <alignment horizontal="center"/>
    </xf>
    <xf numFmtId="0" fontId="24" fillId="22" borderId="192" xfId="0" applyFont="1" applyFill="1" applyBorder="1" applyAlignment="1">
      <alignment horizontal="center"/>
    </xf>
    <xf numFmtId="0" fontId="24" fillId="22" borderId="207" xfId="0" applyFont="1" applyFill="1" applyBorder="1" applyAlignment="1">
      <alignment horizontal="center"/>
    </xf>
    <xf numFmtId="0" fontId="24" fillId="22" borderId="208" xfId="0" applyFont="1" applyFill="1" applyBorder="1" applyAlignment="1">
      <alignment horizontal="center"/>
    </xf>
    <xf numFmtId="0" fontId="6" fillId="6" borderId="209" xfId="2" applyFont="1" applyFill="1" applyBorder="1"/>
    <xf numFmtId="0" fontId="6" fillId="6" borderId="175" xfId="2" applyFont="1" applyFill="1" applyBorder="1"/>
    <xf numFmtId="0" fontId="6" fillId="6" borderId="36" xfId="2" applyFont="1" applyFill="1" applyBorder="1"/>
    <xf numFmtId="0" fontId="6" fillId="6" borderId="35" xfId="2" applyFont="1" applyFill="1" applyBorder="1" applyAlignment="1">
      <alignment horizontal="center"/>
    </xf>
    <xf numFmtId="0" fontId="6" fillId="6" borderId="175" xfId="2" applyFont="1" applyFill="1" applyBorder="1" applyAlignment="1">
      <alignment horizontal="center"/>
    </xf>
    <xf numFmtId="0" fontId="6" fillId="6" borderId="176" xfId="2" applyFont="1" applyFill="1" applyBorder="1" applyAlignment="1">
      <alignment horizontal="center"/>
    </xf>
    <xf numFmtId="0" fontId="37" fillId="0" borderId="198" xfId="1" applyFont="1" applyBorder="1" applyAlignment="1" applyProtection="1">
      <alignment horizontal="center" vertical="center"/>
    </xf>
    <xf numFmtId="0" fontId="37" fillId="0" borderId="175" xfId="1" applyFont="1" applyBorder="1" applyAlignment="1" applyProtection="1">
      <alignment horizontal="center" vertical="center"/>
    </xf>
    <xf numFmtId="0" fontId="37" fillId="0" borderId="176" xfId="1" applyFont="1" applyBorder="1" applyAlignment="1" applyProtection="1">
      <alignment horizontal="center" vertical="center"/>
    </xf>
    <xf numFmtId="0" fontId="24" fillId="19" borderId="206" xfId="0" applyFont="1" applyFill="1" applyBorder="1" applyAlignment="1">
      <alignment horizontal="center"/>
    </xf>
    <xf numFmtId="0" fontId="24" fillId="19" borderId="20" xfId="0" applyFont="1" applyFill="1" applyBorder="1" applyAlignment="1">
      <alignment horizontal="center"/>
    </xf>
    <xf numFmtId="0" fontId="24" fillId="19" borderId="192" xfId="0" applyFont="1" applyFill="1" applyBorder="1" applyAlignment="1">
      <alignment horizontal="center"/>
    </xf>
    <xf numFmtId="0" fontId="18" fillId="6" borderId="33" xfId="0" applyFont="1" applyFill="1" applyBorder="1" applyAlignment="1">
      <alignment horizontal="center"/>
    </xf>
    <xf numFmtId="0" fontId="18" fillId="6" borderId="223" xfId="0" applyFont="1" applyFill="1" applyBorder="1" applyAlignment="1">
      <alignment horizontal="center"/>
    </xf>
    <xf numFmtId="0" fontId="47" fillId="6" borderId="47" xfId="0" applyFont="1" applyFill="1" applyBorder="1" applyAlignment="1">
      <alignment horizontal="center"/>
    </xf>
    <xf numFmtId="0" fontId="47" fillId="6" borderId="224" xfId="0" applyFont="1" applyFill="1" applyBorder="1" applyAlignment="1">
      <alignment horizontal="center"/>
    </xf>
    <xf numFmtId="0" fontId="24" fillId="19" borderId="207" xfId="0" applyFont="1" applyFill="1" applyBorder="1" applyAlignment="1">
      <alignment horizontal="center"/>
    </xf>
    <xf numFmtId="0" fontId="24" fillId="19" borderId="74" xfId="0" applyFont="1" applyFill="1" applyBorder="1" applyAlignment="1">
      <alignment horizontal="center"/>
    </xf>
    <xf numFmtId="0" fontId="24" fillId="19" borderId="208" xfId="0" applyFont="1" applyFill="1" applyBorder="1" applyAlignment="1">
      <alignment horizontal="center"/>
    </xf>
    <xf numFmtId="0" fontId="18" fillId="6" borderId="225" xfId="0" applyFont="1" applyFill="1" applyBorder="1" applyAlignment="1">
      <alignment horizontal="center"/>
    </xf>
    <xf numFmtId="0" fontId="18" fillId="6" borderId="226" xfId="0" applyFont="1" applyFill="1" applyBorder="1" applyAlignment="1">
      <alignment horizontal="center"/>
    </xf>
    <xf numFmtId="0" fontId="6" fillId="6" borderId="198" xfId="0" applyFont="1" applyFill="1" applyBorder="1" applyAlignment="1">
      <alignment horizontal="center"/>
    </xf>
    <xf numFmtId="0" fontId="6" fillId="6" borderId="175" xfId="0" applyFont="1" applyFill="1" applyBorder="1" applyAlignment="1">
      <alignment horizontal="center"/>
    </xf>
    <xf numFmtId="194" fontId="18" fillId="24" borderId="186" xfId="0" applyNumberFormat="1" applyFont="1" applyFill="1" applyBorder="1" applyAlignment="1">
      <alignment horizontal="center"/>
    </xf>
    <xf numFmtId="194" fontId="18" fillId="24" borderId="32" xfId="0" applyNumberFormat="1" applyFont="1" applyFill="1" applyBorder="1" applyAlignment="1">
      <alignment horizontal="center"/>
    </xf>
    <xf numFmtId="196" fontId="18" fillId="22" borderId="207" xfId="0" applyNumberFormat="1" applyFont="1" applyFill="1" applyBorder="1" applyAlignment="1">
      <alignment horizontal="center"/>
    </xf>
    <xf numFmtId="196" fontId="18" fillId="22" borderId="208" xfId="0" applyNumberFormat="1" applyFont="1" applyFill="1" applyBorder="1" applyAlignment="1">
      <alignment horizontal="center"/>
    </xf>
    <xf numFmtId="0" fontId="44" fillId="6" borderId="198" xfId="0" applyFont="1" applyFill="1" applyBorder="1" applyAlignment="1">
      <alignment horizontal="center"/>
    </xf>
    <xf numFmtId="0" fontId="44" fillId="6" borderId="175" xfId="0" applyFont="1" applyFill="1" applyBorder="1" applyAlignment="1">
      <alignment horizontal="center"/>
    </xf>
    <xf numFmtId="0" fontId="44" fillId="6" borderId="176" xfId="0" applyFont="1" applyFill="1" applyBorder="1" applyAlignment="1">
      <alignment horizontal="center"/>
    </xf>
    <xf numFmtId="0" fontId="12" fillId="6" borderId="198" xfId="1" applyFill="1" applyBorder="1" applyAlignment="1" applyProtection="1">
      <alignment horizontal="right"/>
    </xf>
    <xf numFmtId="0" fontId="12" fillId="6" borderId="175" xfId="1" applyFill="1" applyBorder="1" applyAlignment="1" applyProtection="1">
      <alignment horizontal="right"/>
    </xf>
    <xf numFmtId="0" fontId="4" fillId="6" borderId="175" xfId="1" applyFont="1" applyFill="1" applyBorder="1" applyAlignment="1" applyProtection="1">
      <alignment horizontal="left"/>
    </xf>
    <xf numFmtId="0" fontId="4" fillId="6" borderId="204" xfId="1" applyFont="1" applyFill="1" applyBorder="1" applyAlignment="1" applyProtection="1">
      <alignment horizontal="left"/>
    </xf>
    <xf numFmtId="0" fontId="24" fillId="6" borderId="175" xfId="0" applyFont="1" applyFill="1" applyBorder="1" applyAlignment="1">
      <alignment horizontal="center"/>
    </xf>
    <xf numFmtId="0" fontId="18" fillId="16" borderId="86" xfId="0" applyFont="1" applyFill="1" applyBorder="1" applyAlignment="1">
      <alignment horizontal="center" vertical="top"/>
    </xf>
    <xf numFmtId="0" fontId="18" fillId="16" borderId="0" xfId="0" applyFont="1" applyFill="1" applyAlignment="1">
      <alignment horizontal="center" vertical="top"/>
    </xf>
    <xf numFmtId="0" fontId="6" fillId="16" borderId="15" xfId="0" applyFont="1" applyFill="1" applyBorder="1" applyAlignment="1">
      <alignment horizontal="center"/>
    </xf>
    <xf numFmtId="0" fontId="6" fillId="16" borderId="146" xfId="0" applyFont="1" applyFill="1" applyBorder="1" applyAlignment="1">
      <alignment horizontal="center"/>
    </xf>
    <xf numFmtId="0" fontId="6" fillId="16" borderId="64" xfId="0" applyFont="1" applyFill="1" applyBorder="1" applyAlignment="1">
      <alignment horizontal="center"/>
    </xf>
    <xf numFmtId="0" fontId="6" fillId="16" borderId="28" xfId="0" applyFont="1" applyFill="1" applyBorder="1" applyAlignment="1">
      <alignment horizontal="center"/>
    </xf>
    <xf numFmtId="0" fontId="6" fillId="16" borderId="155" xfId="0" applyFont="1" applyFill="1" applyBorder="1" applyAlignment="1">
      <alignment horizontal="center"/>
    </xf>
    <xf numFmtId="0" fontId="6" fillId="0" borderId="198" xfId="0" applyFont="1" applyBorder="1" applyAlignment="1">
      <alignment horizontal="center"/>
    </xf>
    <xf numFmtId="0" fontId="6" fillId="0" borderId="175" xfId="0" applyFont="1" applyBorder="1" applyAlignment="1">
      <alignment horizontal="center"/>
    </xf>
    <xf numFmtId="0" fontId="6" fillId="0" borderId="176" xfId="0" applyFont="1" applyBorder="1" applyAlignment="1">
      <alignment horizontal="center"/>
    </xf>
    <xf numFmtId="0" fontId="24" fillId="6" borderId="100" xfId="0" applyFont="1" applyFill="1" applyBorder="1" applyAlignment="1">
      <alignment horizontal="center"/>
    </xf>
    <xf numFmtId="0" fontId="24" fillId="6" borderId="13" xfId="0" applyFont="1" applyFill="1" applyBorder="1" applyAlignment="1">
      <alignment horizontal="center"/>
    </xf>
    <xf numFmtId="0" fontId="24" fillId="6" borderId="14" xfId="0" applyFont="1" applyFill="1" applyBorder="1" applyAlignment="1">
      <alignment horizontal="center"/>
    </xf>
    <xf numFmtId="0" fontId="50" fillId="6" borderId="198" xfId="1" applyFont="1" applyFill="1" applyBorder="1" applyAlignment="1" applyProtection="1">
      <alignment horizontal="right"/>
    </xf>
    <xf numFmtId="0" fontId="50" fillId="6" borderId="175" xfId="1" applyFont="1" applyFill="1" applyBorder="1" applyAlignment="1" applyProtection="1">
      <alignment horizontal="right"/>
    </xf>
    <xf numFmtId="0" fontId="4" fillId="16" borderId="33" xfId="0" applyFont="1" applyFill="1" applyBorder="1" applyAlignment="1">
      <alignment horizontal="center"/>
    </xf>
    <xf numFmtId="0" fontId="4" fillId="16" borderId="34" xfId="0" applyFont="1" applyFill="1" applyBorder="1" applyAlignment="1">
      <alignment horizontal="center"/>
    </xf>
    <xf numFmtId="21" fontId="51" fillId="0" borderId="227" xfId="0" applyNumberFormat="1" applyFont="1" applyBorder="1" applyAlignment="1" applyProtection="1">
      <alignment horizontal="center" vertical="center"/>
      <protection locked="0"/>
    </xf>
    <xf numFmtId="21" fontId="51" fillId="0" borderId="228" xfId="0" applyNumberFormat="1" applyFont="1" applyBorder="1" applyAlignment="1" applyProtection="1">
      <alignment horizontal="center" vertical="center"/>
      <protection locked="0"/>
    </xf>
    <xf numFmtId="0" fontId="18" fillId="14" borderId="198" xfId="0" applyFont="1" applyFill="1" applyBorder="1" applyAlignment="1">
      <alignment horizontal="center"/>
    </xf>
    <xf numFmtId="0" fontId="18" fillId="14" borderId="204" xfId="0" applyFont="1" applyFill="1" applyBorder="1" applyAlignment="1">
      <alignment horizontal="center"/>
    </xf>
    <xf numFmtId="0" fontId="18" fillId="6" borderId="100" xfId="0" applyFont="1" applyFill="1" applyBorder="1" applyAlignment="1">
      <alignment horizontal="center"/>
    </xf>
    <xf numFmtId="0" fontId="18" fillId="6" borderId="13" xfId="0" applyFont="1" applyFill="1" applyBorder="1" applyAlignment="1">
      <alignment horizontal="center"/>
    </xf>
    <xf numFmtId="0" fontId="18" fillId="6" borderId="14" xfId="0" applyFont="1" applyFill="1" applyBorder="1" applyAlignment="1">
      <alignment horizontal="center"/>
    </xf>
    <xf numFmtId="49" fontId="18" fillId="16" borderId="164" xfId="0" applyNumberFormat="1" applyFont="1" applyFill="1" applyBorder="1" applyAlignment="1">
      <alignment horizontal="center"/>
    </xf>
    <xf numFmtId="0" fontId="18" fillId="16" borderId="165" xfId="0" applyFont="1" applyFill="1" applyBorder="1" applyAlignment="1">
      <alignment horizontal="center"/>
    </xf>
    <xf numFmtId="0" fontId="6" fillId="16" borderId="33" xfId="0" applyFont="1" applyFill="1" applyBorder="1" applyAlignment="1">
      <alignment horizontal="center"/>
    </xf>
    <xf numFmtId="0" fontId="6" fillId="16" borderId="34" xfId="0" applyFont="1" applyFill="1" applyBorder="1" applyAlignment="1">
      <alignment horizontal="center"/>
    </xf>
    <xf numFmtId="0" fontId="4" fillId="6" borderId="100" xfId="0" applyFont="1" applyFill="1" applyBorder="1" applyAlignment="1">
      <alignment horizontal="center"/>
    </xf>
    <xf numFmtId="0" fontId="4" fillId="6" borderId="13" xfId="0" applyFont="1" applyFill="1" applyBorder="1" applyAlignment="1">
      <alignment horizontal="center"/>
    </xf>
    <xf numFmtId="0" fontId="4" fillId="6" borderId="14" xfId="0" applyFont="1" applyFill="1" applyBorder="1" applyAlignment="1">
      <alignment horizontal="center"/>
    </xf>
    <xf numFmtId="0" fontId="18" fillId="16" borderId="87" xfId="0" applyFont="1" applyFill="1" applyBorder="1" applyAlignment="1">
      <alignment horizontal="center"/>
    </xf>
    <xf numFmtId="0" fontId="18" fillId="16" borderId="152" xfId="0" applyFont="1" applyFill="1" applyBorder="1" applyAlignment="1">
      <alignment horizontal="center"/>
    </xf>
    <xf numFmtId="0" fontId="6" fillId="16" borderId="186" xfId="0" applyFont="1" applyFill="1" applyBorder="1" applyAlignment="1">
      <alignment horizontal="center"/>
    </xf>
    <xf numFmtId="0" fontId="6" fillId="16" borderId="31" xfId="0" applyFont="1" applyFill="1" applyBorder="1" applyAlignment="1">
      <alignment horizontal="center"/>
    </xf>
    <xf numFmtId="0" fontId="24" fillId="29" borderId="177" xfId="0" applyFont="1" applyFill="1" applyBorder="1" applyAlignment="1">
      <alignment horizontal="center"/>
    </xf>
    <xf numFmtId="0" fontId="24" fillId="29" borderId="178" xfId="0" applyFont="1" applyFill="1" applyBorder="1" applyAlignment="1">
      <alignment horizontal="center"/>
    </xf>
    <xf numFmtId="0" fontId="24" fillId="29" borderId="56" xfId="0" applyFont="1" applyFill="1" applyBorder="1" applyAlignment="1">
      <alignment horizontal="center"/>
    </xf>
    <xf numFmtId="1" fontId="53" fillId="6" borderId="209" xfId="1" applyNumberFormat="1" applyFont="1" applyFill="1" applyBorder="1" applyAlignment="1" applyProtection="1">
      <alignment horizontal="center"/>
      <protection locked="0"/>
    </xf>
    <xf numFmtId="1" fontId="53" fillId="6" borderId="204" xfId="1" applyNumberFormat="1" applyFont="1" applyFill="1" applyBorder="1" applyAlignment="1" applyProtection="1">
      <alignment horizontal="center"/>
      <protection locked="0"/>
    </xf>
    <xf numFmtId="0" fontId="6" fillId="16" borderId="42" xfId="0" applyFont="1" applyFill="1" applyBorder="1" applyAlignment="1">
      <alignment horizontal="center"/>
    </xf>
    <xf numFmtId="0" fontId="6" fillId="16" borderId="99" xfId="0" applyFont="1" applyFill="1" applyBorder="1" applyAlignment="1">
      <alignment horizontal="center"/>
    </xf>
    <xf numFmtId="0" fontId="6" fillId="16" borderId="226" xfId="0" applyFont="1" applyFill="1" applyBorder="1" applyAlignment="1">
      <alignment horizontal="center"/>
    </xf>
    <xf numFmtId="0" fontId="6" fillId="16" borderId="147" xfId="0" applyFont="1" applyFill="1" applyBorder="1" applyAlignment="1">
      <alignment horizontal="center"/>
    </xf>
    <xf numFmtId="0" fontId="6" fillId="16" borderId="232" xfId="0" applyFont="1" applyFill="1" applyBorder="1" applyAlignment="1">
      <alignment horizontal="center"/>
    </xf>
    <xf numFmtId="0" fontId="54" fillId="9" borderId="175" xfId="0" applyFont="1" applyFill="1" applyBorder="1" applyAlignment="1">
      <alignment horizontal="center"/>
    </xf>
    <xf numFmtId="0" fontId="24" fillId="29" borderId="206" xfId="0" applyFont="1" applyFill="1" applyBorder="1" applyAlignment="1">
      <alignment horizontal="center"/>
    </xf>
    <xf numFmtId="0" fontId="24" fillId="29" borderId="20" xfId="0" applyFont="1" applyFill="1" applyBorder="1" applyAlignment="1">
      <alignment horizontal="center"/>
    </xf>
    <xf numFmtId="0" fontId="24" fillId="29" borderId="21" xfId="0" applyFont="1" applyFill="1" applyBorder="1" applyAlignment="1">
      <alignment horizontal="center"/>
    </xf>
    <xf numFmtId="0" fontId="18" fillId="30" borderId="141" xfId="0" applyFont="1" applyFill="1" applyBorder="1" applyAlignment="1">
      <alignment horizontal="center"/>
    </xf>
    <xf numFmtId="0" fontId="18" fillId="30" borderId="142" xfId="0" applyFont="1" applyFill="1" applyBorder="1" applyAlignment="1">
      <alignment horizontal="center"/>
    </xf>
    <xf numFmtId="0" fontId="18" fillId="23" borderId="206" xfId="0" applyFont="1" applyFill="1" applyBorder="1" applyAlignment="1">
      <alignment horizontal="center"/>
    </xf>
    <xf numFmtId="0" fontId="18" fillId="23" borderId="192" xfId="0" applyFont="1" applyFill="1" applyBorder="1" applyAlignment="1">
      <alignment horizontal="center"/>
    </xf>
    <xf numFmtId="0" fontId="18" fillId="16" borderId="207" xfId="0" applyFont="1" applyFill="1" applyBorder="1" applyAlignment="1">
      <alignment horizontal="center"/>
    </xf>
    <xf numFmtId="0" fontId="18" fillId="16" borderId="74" xfId="0" applyFont="1" applyFill="1" applyBorder="1" applyAlignment="1">
      <alignment horizontal="center"/>
    </xf>
    <xf numFmtId="0" fontId="22" fillId="16" borderId="207" xfId="0" applyFont="1" applyFill="1" applyBorder="1" applyAlignment="1">
      <alignment horizontal="center"/>
    </xf>
    <xf numFmtId="0" fontId="22" fillId="16" borderId="74" xfId="0" applyFont="1" applyFill="1" applyBorder="1" applyAlignment="1">
      <alignment horizontal="center"/>
    </xf>
    <xf numFmtId="0" fontId="55" fillId="0" borderId="33" xfId="0" applyFont="1" applyBorder="1" applyAlignment="1">
      <alignment horizontal="center"/>
    </xf>
    <xf numFmtId="0" fontId="55" fillId="0" borderId="34" xfId="0" applyFont="1" applyBorder="1" applyAlignment="1">
      <alignment horizontal="center"/>
    </xf>
    <xf numFmtId="205" fontId="4" fillId="32" borderId="92" xfId="0" applyNumberFormat="1" applyFont="1" applyFill="1" applyBorder="1" applyAlignment="1">
      <alignment horizontal="center"/>
    </xf>
    <xf numFmtId="205" fontId="4" fillId="32" borderId="93" xfId="0" applyNumberFormat="1" applyFont="1" applyFill="1" applyBorder="1" applyAlignment="1">
      <alignment horizontal="center"/>
    </xf>
    <xf numFmtId="0" fontId="4" fillId="6" borderId="198" xfId="0" applyFont="1" applyFill="1" applyBorder="1" applyAlignment="1">
      <alignment horizontal="center"/>
    </xf>
    <xf numFmtId="0" fontId="4" fillId="6" borderId="175" xfId="0" applyFont="1" applyFill="1" applyBorder="1" applyAlignment="1">
      <alignment horizontal="center"/>
    </xf>
    <xf numFmtId="0" fontId="4" fillId="6" borderId="176" xfId="0" applyFont="1" applyFill="1" applyBorder="1" applyAlignment="1">
      <alignment horizontal="center"/>
    </xf>
    <xf numFmtId="0" fontId="6" fillId="0" borderId="57" xfId="0" applyFont="1" applyBorder="1" applyAlignment="1">
      <alignment horizontal="center" vertical="top"/>
    </xf>
    <xf numFmtId="0" fontId="6" fillId="0" borderId="12" xfId="0" applyFont="1" applyBorder="1" applyAlignment="1">
      <alignment horizontal="center" vertical="top"/>
    </xf>
    <xf numFmtId="0" fontId="6" fillId="0" borderId="136" xfId="0" applyFont="1" applyBorder="1" applyAlignment="1">
      <alignment horizontal="center" vertical="top"/>
    </xf>
    <xf numFmtId="0" fontId="18" fillId="23" borderId="87" xfId="0" applyFont="1" applyFill="1" applyBorder="1" applyAlignment="1">
      <alignment horizontal="center"/>
    </xf>
    <xf numFmtId="0" fontId="18" fillId="23" borderId="152" xfId="0" applyFont="1" applyFill="1" applyBorder="1" applyAlignment="1">
      <alignment horizontal="center"/>
    </xf>
    <xf numFmtId="0" fontId="22" fillId="16" borderId="159" xfId="0" applyFont="1" applyFill="1" applyBorder="1" applyAlignment="1">
      <alignment horizontal="center"/>
    </xf>
    <xf numFmtId="0" fontId="22" fillId="16" borderId="25" xfId="0" applyFont="1" applyFill="1" applyBorder="1" applyAlignment="1">
      <alignment horizontal="center"/>
    </xf>
    <xf numFmtId="0" fontId="18" fillId="23" borderId="207" xfId="0" applyFont="1" applyFill="1" applyBorder="1" applyAlignment="1">
      <alignment horizontal="center"/>
    </xf>
    <xf numFmtId="0" fontId="18" fillId="23" borderId="208" xfId="0" applyFont="1" applyFill="1" applyBorder="1" applyAlignment="1">
      <alignment horizontal="center"/>
    </xf>
    <xf numFmtId="0" fontId="0" fillId="6" borderId="198" xfId="0" applyFill="1" applyBorder="1" applyAlignment="1">
      <alignment horizontal="center"/>
    </xf>
    <xf numFmtId="0" fontId="0" fillId="6" borderId="175" xfId="0" applyFill="1" applyBorder="1" applyAlignment="1">
      <alignment horizontal="center"/>
    </xf>
    <xf numFmtId="0" fontId="0" fillId="6" borderId="138" xfId="0" applyFill="1" applyBorder="1" applyAlignment="1">
      <alignment horizontal="center"/>
    </xf>
    <xf numFmtId="0" fontId="0" fillId="6" borderId="204" xfId="0" applyFill="1" applyBorder="1" applyAlignment="1">
      <alignment horizontal="center"/>
    </xf>
    <xf numFmtId="0" fontId="18" fillId="6" borderId="142" xfId="0" applyFont="1" applyFill="1" applyBorder="1" applyAlignment="1">
      <alignment horizontal="right"/>
    </xf>
    <xf numFmtId="0" fontId="21" fillId="0" borderId="99" xfId="0" applyFont="1" applyBorder="1" applyAlignment="1">
      <alignment horizontal="center" vertical="top"/>
    </xf>
    <xf numFmtId="0" fontId="21" fillId="0" borderId="226" xfId="0" applyFont="1" applyBorder="1" applyAlignment="1">
      <alignment horizontal="center" vertical="top"/>
    </xf>
    <xf numFmtId="0" fontId="13" fillId="6" borderId="141" xfId="0" applyFont="1" applyFill="1" applyBorder="1" applyAlignment="1">
      <alignment horizontal="center"/>
    </xf>
    <xf numFmtId="0" fontId="13" fillId="6" borderId="142" xfId="0" applyFont="1" applyFill="1" applyBorder="1" applyAlignment="1">
      <alignment horizontal="center"/>
    </xf>
    <xf numFmtId="0" fontId="13" fillId="6" borderId="235" xfId="0" applyFont="1" applyFill="1" applyBorder="1" applyAlignment="1">
      <alignment horizontal="right"/>
    </xf>
    <xf numFmtId="0" fontId="13" fillId="6" borderId="175" xfId="0" applyFont="1" applyFill="1" applyBorder="1" applyAlignment="1">
      <alignment horizontal="right"/>
    </xf>
    <xf numFmtId="21" fontId="13" fillId="6" borderId="209" xfId="0" applyNumberFormat="1" applyFont="1" applyFill="1" applyBorder="1" applyAlignment="1">
      <alignment horizontal="right"/>
    </xf>
    <xf numFmtId="21" fontId="13" fillId="6" borderId="175" xfId="0" applyNumberFormat="1" applyFont="1" applyFill="1" applyBorder="1" applyAlignment="1">
      <alignment horizontal="right"/>
    </xf>
    <xf numFmtId="206" fontId="6" fillId="16" borderId="64" xfId="0" applyNumberFormat="1" applyFont="1" applyFill="1" applyBorder="1" applyAlignment="1">
      <alignment horizontal="center"/>
    </xf>
    <xf numFmtId="206" fontId="6" fillId="16" borderId="140" xfId="0" applyNumberFormat="1" applyFont="1" applyFill="1" applyBorder="1" applyAlignment="1">
      <alignment horizontal="center"/>
    </xf>
    <xf numFmtId="179" fontId="13" fillId="20" borderId="236" xfId="0" applyNumberFormat="1" applyFont="1" applyFill="1" applyBorder="1" applyAlignment="1">
      <alignment horizontal="center" vertical="center"/>
    </xf>
    <xf numFmtId="179" fontId="13" fillId="20" borderId="231" xfId="0" applyNumberFormat="1" applyFont="1" applyFill="1" applyBorder="1" applyAlignment="1">
      <alignment horizontal="center" vertical="center"/>
    </xf>
    <xf numFmtId="179" fontId="13" fillId="20" borderId="240" xfId="0" applyNumberFormat="1" applyFont="1" applyFill="1" applyBorder="1" applyAlignment="1">
      <alignment horizontal="center" vertical="center"/>
    </xf>
    <xf numFmtId="0" fontId="24" fillId="6" borderId="33" xfId="0" applyFont="1" applyFill="1" applyBorder="1"/>
    <xf numFmtId="0" fontId="24" fillId="6" borderId="34" xfId="0" applyFont="1" applyFill="1" applyBorder="1"/>
    <xf numFmtId="0" fontId="18" fillId="6" borderId="47" xfId="0" applyFont="1" applyFill="1" applyBorder="1" applyAlignment="1">
      <alignment horizontal="center"/>
    </xf>
    <xf numFmtId="0" fontId="18" fillId="6" borderId="235" xfId="0" applyFont="1" applyFill="1" applyBorder="1" applyAlignment="1">
      <alignment horizontal="center"/>
    </xf>
    <xf numFmtId="0" fontId="18" fillId="6" borderId="34" xfId="0" applyFont="1" applyFill="1" applyBorder="1" applyAlignment="1">
      <alignment horizontal="center"/>
    </xf>
    <xf numFmtId="21" fontId="24" fillId="6" borderId="100" xfId="0" applyNumberFormat="1" applyFont="1" applyFill="1" applyBorder="1" applyAlignment="1">
      <alignment horizontal="center"/>
    </xf>
    <xf numFmtId="21" fontId="24" fillId="6" borderId="13" xfId="0" applyNumberFormat="1" applyFont="1" applyFill="1" applyBorder="1" applyAlignment="1">
      <alignment horizontal="center"/>
    </xf>
    <xf numFmtId="21" fontId="24" fillId="6" borderId="14" xfId="0" applyNumberFormat="1" applyFont="1" applyFill="1" applyBorder="1" applyAlignment="1">
      <alignment horizontal="center"/>
    </xf>
    <xf numFmtId="0" fontId="13" fillId="30" borderId="148" xfId="0" applyFont="1" applyFill="1" applyBorder="1" applyAlignment="1">
      <alignment horizontal="center"/>
    </xf>
    <xf numFmtId="0" fontId="13" fillId="30" borderId="151" xfId="0" applyFont="1" applyFill="1" applyBorder="1" applyAlignment="1">
      <alignment horizontal="center"/>
    </xf>
    <xf numFmtId="0" fontId="6" fillId="0" borderId="175" xfId="0" applyFont="1" applyBorder="1" applyAlignment="1">
      <alignment horizontal="center" vertical="top"/>
    </xf>
    <xf numFmtId="21" fontId="6" fillId="6" borderId="209" xfId="0" applyNumberFormat="1" applyFont="1" applyFill="1" applyBorder="1" applyAlignment="1">
      <alignment horizontal="center"/>
    </xf>
    <xf numFmtId="21" fontId="6" fillId="6" borderId="175" xfId="0" applyNumberFormat="1" applyFont="1" applyFill="1" applyBorder="1" applyAlignment="1">
      <alignment horizontal="center"/>
    </xf>
    <xf numFmtId="0" fontId="22" fillId="15" borderId="22" xfId="0" applyFont="1" applyFill="1" applyBorder="1" applyAlignment="1">
      <alignment horizontal="center"/>
    </xf>
    <xf numFmtId="0" fontId="22" fillId="15" borderId="23" xfId="0" applyFont="1" applyFill="1" applyBorder="1" applyAlignment="1">
      <alignment horizontal="center"/>
    </xf>
    <xf numFmtId="0" fontId="18" fillId="6" borderId="243" xfId="0" applyFont="1" applyFill="1" applyBorder="1" applyAlignment="1">
      <alignment horizontal="center"/>
    </xf>
    <xf numFmtId="0" fontId="18" fillId="6" borderId="244" xfId="0" applyFont="1" applyFill="1" applyBorder="1" applyAlignment="1">
      <alignment horizontal="center"/>
    </xf>
    <xf numFmtId="0" fontId="22" fillId="6" borderId="245" xfId="0" applyFont="1" applyFill="1" applyBorder="1" applyAlignment="1">
      <alignment horizontal="center"/>
    </xf>
    <xf numFmtId="0" fontId="22" fillId="6" borderId="244" xfId="0" applyFont="1" applyFill="1" applyBorder="1" applyAlignment="1">
      <alignment horizontal="center"/>
    </xf>
    <xf numFmtId="0" fontId="22" fillId="6" borderId="138" xfId="0" applyFont="1" applyFill="1" applyBorder="1" applyAlignment="1">
      <alignment horizontal="center"/>
    </xf>
    <xf numFmtId="0" fontId="58" fillId="16" borderId="206" xfId="0" applyFont="1" applyFill="1" applyBorder="1" applyAlignment="1" applyProtection="1">
      <alignment horizontal="center"/>
      <protection locked="0"/>
    </xf>
    <xf numFmtId="0" fontId="58" fillId="16" borderId="192" xfId="0" applyFont="1" applyFill="1" applyBorder="1" applyAlignment="1" applyProtection="1">
      <alignment horizontal="center"/>
      <protection locked="0"/>
    </xf>
    <xf numFmtId="211" fontId="14" fillId="33" borderId="160" xfId="0" applyNumberFormat="1" applyFont="1" applyFill="1" applyBorder="1" applyAlignment="1">
      <alignment horizontal="center"/>
    </xf>
    <xf numFmtId="211" fontId="14" fillId="33" borderId="172" xfId="0" applyNumberFormat="1" applyFont="1" applyFill="1" applyBorder="1" applyAlignment="1">
      <alignment horizontal="center"/>
    </xf>
    <xf numFmtId="177" fontId="6" fillId="9" borderId="86" xfId="0" applyNumberFormat="1" applyFont="1" applyFill="1" applyBorder="1" applyAlignment="1">
      <alignment horizontal="center" vertical="center"/>
    </xf>
    <xf numFmtId="177" fontId="6" fillId="9" borderId="0" xfId="0" applyNumberFormat="1" applyFont="1" applyFill="1" applyAlignment="1">
      <alignment horizontal="center" vertical="center"/>
    </xf>
    <xf numFmtId="177" fontId="6" fillId="9" borderId="105" xfId="0" applyNumberFormat="1" applyFont="1" applyFill="1" applyBorder="1" applyAlignment="1">
      <alignment horizontal="center" vertical="center"/>
    </xf>
    <xf numFmtId="0" fontId="18" fillId="20" borderId="19" xfId="0" applyFont="1" applyFill="1" applyBorder="1" applyAlignment="1">
      <alignment horizontal="right"/>
    </xf>
    <xf numFmtId="0" fontId="18" fillId="20" borderId="26" xfId="0" applyFont="1" applyFill="1" applyBorder="1" applyAlignment="1">
      <alignment horizontal="right"/>
    </xf>
    <xf numFmtId="177" fontId="13" fillId="20" borderId="65" xfId="0" applyNumberFormat="1" applyFont="1" applyFill="1" applyBorder="1" applyAlignment="1">
      <alignment horizontal="center"/>
    </xf>
    <xf numFmtId="177" fontId="13" fillId="20" borderId="165" xfId="0" applyNumberFormat="1" applyFont="1" applyFill="1" applyBorder="1" applyAlignment="1">
      <alignment horizontal="center"/>
    </xf>
    <xf numFmtId="177" fontId="13" fillId="20" borderId="193" xfId="0" applyNumberFormat="1" applyFont="1" applyFill="1" applyBorder="1" applyAlignment="1">
      <alignment horizontal="center"/>
    </xf>
    <xf numFmtId="177" fontId="13" fillId="20" borderId="192" xfId="0" applyNumberFormat="1" applyFont="1" applyFill="1" applyBorder="1" applyAlignment="1">
      <alignment horizontal="center"/>
    </xf>
    <xf numFmtId="177" fontId="13" fillId="20" borderId="20" xfId="0" applyNumberFormat="1" applyFont="1" applyFill="1" applyBorder="1" applyAlignment="1">
      <alignment horizontal="center"/>
    </xf>
    <xf numFmtId="0" fontId="58" fillId="16" borderId="186" xfId="0" applyFont="1" applyFill="1" applyBorder="1" applyAlignment="1" applyProtection="1">
      <alignment horizontal="center"/>
      <protection locked="0"/>
    </xf>
    <xf numFmtId="0" fontId="58" fillId="16" borderId="32" xfId="0" applyFont="1" applyFill="1" applyBorder="1" applyAlignment="1" applyProtection="1">
      <alignment horizontal="center"/>
      <protection locked="0"/>
    </xf>
    <xf numFmtId="0" fontId="13" fillId="30" borderId="165" xfId="0" applyFont="1" applyFill="1" applyBorder="1" applyAlignment="1">
      <alignment horizontal="center"/>
    </xf>
    <xf numFmtId="0" fontId="13" fillId="30" borderId="166" xfId="0" applyFont="1" applyFill="1" applyBorder="1" applyAlignment="1">
      <alignment horizontal="center"/>
    </xf>
    <xf numFmtId="177" fontId="6" fillId="9" borderId="22" xfId="0" applyNumberFormat="1" applyFont="1" applyFill="1" applyBorder="1" applyAlignment="1">
      <alignment horizontal="center" vertical="center"/>
    </xf>
    <xf numFmtId="177" fontId="6" fillId="9" borderId="138" xfId="0" applyNumberFormat="1" applyFont="1" applyFill="1" applyBorder="1" applyAlignment="1">
      <alignment horizontal="center" vertical="center"/>
    </xf>
    <xf numFmtId="177" fontId="6" fillId="9" borderId="23" xfId="0" applyNumberFormat="1" applyFont="1" applyFill="1" applyBorder="1" applyAlignment="1">
      <alignment horizontal="center" vertical="center"/>
    </xf>
    <xf numFmtId="0" fontId="18" fillId="20" borderId="72" xfId="0" applyFont="1" applyFill="1" applyBorder="1" applyAlignment="1">
      <alignment horizontal="right"/>
    </xf>
    <xf numFmtId="0" fontId="18" fillId="20" borderId="73" xfId="0" applyFont="1" applyFill="1" applyBorder="1" applyAlignment="1">
      <alignment horizontal="right"/>
    </xf>
    <xf numFmtId="177" fontId="13" fillId="20" borderId="191" xfId="0" applyNumberFormat="1" applyFont="1" applyFill="1" applyBorder="1" applyAlignment="1">
      <alignment horizontal="center"/>
    </xf>
    <xf numFmtId="177" fontId="13" fillId="20" borderId="160" xfId="0" applyNumberFormat="1" applyFont="1" applyFill="1" applyBorder="1" applyAlignment="1">
      <alignment horizontal="center"/>
    </xf>
    <xf numFmtId="177" fontId="13" fillId="20" borderId="190" xfId="0" applyNumberFormat="1" applyFont="1" applyFill="1" applyBorder="1" applyAlignment="1">
      <alignment horizontal="center"/>
    </xf>
    <xf numFmtId="0" fontId="58" fillId="16" borderId="207" xfId="0" applyFont="1" applyFill="1" applyBorder="1" applyAlignment="1" applyProtection="1">
      <alignment horizontal="center"/>
      <protection locked="0"/>
    </xf>
    <xf numFmtId="0" fontId="58" fillId="16" borderId="208" xfId="0" applyFont="1" applyFill="1" applyBorder="1" applyAlignment="1" applyProtection="1">
      <alignment horizontal="center"/>
      <protection locked="0"/>
    </xf>
    <xf numFmtId="211" fontId="14" fillId="33" borderId="37" xfId="0" applyNumberFormat="1" applyFont="1" applyFill="1" applyBorder="1" applyAlignment="1">
      <alignment horizontal="center"/>
    </xf>
    <xf numFmtId="211" fontId="14" fillId="33" borderId="158" xfId="0" applyNumberFormat="1" applyFont="1" applyFill="1" applyBorder="1" applyAlignment="1">
      <alignment horizontal="center"/>
    </xf>
    <xf numFmtId="0" fontId="6" fillId="6" borderId="142" xfId="0" applyFont="1" applyFill="1" applyBorder="1" applyAlignment="1">
      <alignment horizontal="center"/>
    </xf>
    <xf numFmtId="0" fontId="6" fillId="6" borderId="145" xfId="0" applyFont="1" applyFill="1" applyBorder="1" applyAlignment="1">
      <alignment horizontal="center"/>
    </xf>
    <xf numFmtId="0" fontId="22" fillId="0" borderId="57" xfId="0" applyFont="1" applyBorder="1" applyAlignment="1">
      <alignment horizontal="center"/>
    </xf>
    <xf numFmtId="0" fontId="22" fillId="0" borderId="12" xfId="0" applyFont="1" applyBorder="1" applyAlignment="1">
      <alignment horizontal="center"/>
    </xf>
    <xf numFmtId="216" fontId="13" fillId="24" borderId="148" xfId="0" applyNumberFormat="1" applyFont="1" applyFill="1" applyBorder="1" applyAlignment="1">
      <alignment horizontal="center"/>
    </xf>
    <xf numFmtId="216" fontId="13" fillId="24" borderId="151" xfId="0" applyNumberFormat="1" applyFont="1" applyFill="1" applyBorder="1" applyAlignment="1">
      <alignment horizontal="center"/>
    </xf>
    <xf numFmtId="0" fontId="24" fillId="17" borderId="186" xfId="0" applyFont="1" applyFill="1" applyBorder="1" applyAlignment="1">
      <alignment horizontal="center"/>
    </xf>
    <xf numFmtId="0" fontId="24" fillId="17" borderId="31" xfId="0" applyFont="1" applyFill="1" applyBorder="1" applyAlignment="1">
      <alignment horizontal="center"/>
    </xf>
    <xf numFmtId="0" fontId="24" fillId="17" borderId="187" xfId="0" applyFont="1" applyFill="1" applyBorder="1" applyAlignment="1">
      <alignment horizontal="center"/>
    </xf>
    <xf numFmtId="210" fontId="13" fillId="24" borderId="30" xfId="0" applyNumberFormat="1" applyFont="1" applyFill="1" applyBorder="1" applyAlignment="1">
      <alignment horizontal="center"/>
    </xf>
    <xf numFmtId="210" fontId="13" fillId="24" borderId="216" xfId="0" applyNumberFormat="1" applyFont="1" applyFill="1" applyBorder="1" applyAlignment="1">
      <alignment horizontal="center"/>
    </xf>
    <xf numFmtId="0" fontId="24" fillId="17" borderId="207" xfId="0" applyFont="1" applyFill="1" applyBorder="1" applyAlignment="1">
      <alignment horizontal="center"/>
    </xf>
    <xf numFmtId="0" fontId="24" fillId="17" borderId="74" xfId="0" applyFont="1" applyFill="1" applyBorder="1" applyAlignment="1">
      <alignment horizontal="center"/>
    </xf>
    <xf numFmtId="0" fontId="24" fillId="17" borderId="73" xfId="0" applyFont="1" applyFill="1" applyBorder="1" applyAlignment="1">
      <alignment horizontal="center"/>
    </xf>
    <xf numFmtId="219" fontId="13" fillId="24" borderId="152" xfId="0" applyNumberFormat="1" applyFont="1" applyFill="1" applyBorder="1" applyAlignment="1">
      <alignment horizontal="center"/>
    </xf>
    <xf numFmtId="219" fontId="13" fillId="24" borderId="154" xfId="0" applyNumberFormat="1" applyFont="1" applyFill="1" applyBorder="1" applyAlignment="1">
      <alignment horizontal="center"/>
    </xf>
    <xf numFmtId="0" fontId="22" fillId="16" borderId="206" xfId="0" applyFont="1" applyFill="1" applyBorder="1" applyAlignment="1">
      <alignment horizontal="center"/>
    </xf>
    <xf numFmtId="0" fontId="22" fillId="16" borderId="192" xfId="0" applyFont="1" applyFill="1" applyBorder="1" applyAlignment="1">
      <alignment horizontal="center"/>
    </xf>
    <xf numFmtId="0" fontId="6" fillId="34" borderId="210" xfId="0" applyFont="1" applyFill="1" applyBorder="1" applyAlignment="1">
      <alignment horizontal="center" vertical="center"/>
    </xf>
    <xf numFmtId="0" fontId="6" fillId="34" borderId="49" xfId="0" applyFont="1" applyFill="1" applyBorder="1" applyAlignment="1">
      <alignment horizontal="center" vertical="center"/>
    </xf>
    <xf numFmtId="0" fontId="6" fillId="34" borderId="246" xfId="0" applyFont="1" applyFill="1" applyBorder="1" applyAlignment="1">
      <alignment horizontal="center" vertical="center"/>
    </xf>
    <xf numFmtId="212" fontId="18" fillId="6" borderId="175" xfId="0" applyNumberFormat="1" applyFont="1" applyFill="1" applyBorder="1" applyAlignment="1">
      <alignment horizontal="center"/>
    </xf>
    <xf numFmtId="213" fontId="18" fillId="6" borderId="175" xfId="0" applyNumberFormat="1" applyFont="1" applyFill="1" applyBorder="1" applyAlignment="1">
      <alignment horizontal="center"/>
    </xf>
    <xf numFmtId="214" fontId="18" fillId="6" borderId="175" xfId="0" applyNumberFormat="1" applyFont="1" applyFill="1" applyBorder="1" applyAlignment="1">
      <alignment horizontal="center"/>
    </xf>
    <xf numFmtId="214" fontId="18" fillId="6" borderId="176" xfId="0" applyNumberFormat="1" applyFont="1" applyFill="1" applyBorder="1" applyAlignment="1">
      <alignment horizontal="center"/>
    </xf>
    <xf numFmtId="0" fontId="22" fillId="16" borderId="210" xfId="0" applyFont="1" applyFill="1" applyBorder="1" applyAlignment="1">
      <alignment horizontal="center"/>
    </xf>
    <xf numFmtId="0" fontId="22" fillId="16" borderId="50" xfId="0" applyFont="1" applyFill="1" applyBorder="1" applyAlignment="1">
      <alignment horizontal="center"/>
    </xf>
    <xf numFmtId="0" fontId="24" fillId="25" borderId="206" xfId="0" applyFont="1" applyFill="1" applyBorder="1" applyAlignment="1">
      <alignment horizontal="center"/>
    </xf>
    <xf numFmtId="0" fontId="24" fillId="25" borderId="20" xfId="0" applyFont="1" applyFill="1" applyBorder="1" applyAlignment="1">
      <alignment horizontal="center"/>
    </xf>
    <xf numFmtId="0" fontId="24" fillId="25" borderId="21" xfId="0" applyFont="1" applyFill="1" applyBorder="1" applyAlignment="1">
      <alignment horizontal="center"/>
    </xf>
    <xf numFmtId="209" fontId="13" fillId="24" borderId="30" xfId="0" applyNumberFormat="1" applyFont="1" applyFill="1" applyBorder="1" applyAlignment="1">
      <alignment horizontal="center"/>
    </xf>
    <xf numFmtId="209" fontId="13" fillId="24" borderId="216" xfId="0" applyNumberFormat="1" applyFont="1" applyFill="1" applyBorder="1" applyAlignment="1">
      <alignment horizontal="center"/>
    </xf>
    <xf numFmtId="21" fontId="4" fillId="6" borderId="175" xfId="2" applyNumberFormat="1" applyFont="1" applyFill="1" applyBorder="1" applyAlignment="1">
      <alignment horizontal="center"/>
    </xf>
    <xf numFmtId="21" fontId="12" fillId="6" borderId="175" xfId="1" applyNumberFormat="1" applyFill="1" applyBorder="1" applyAlignment="1" applyProtection="1">
      <alignment horizontal="center"/>
    </xf>
    <xf numFmtId="226" fontId="13" fillId="24" borderId="152" xfId="0" applyNumberFormat="1" applyFont="1" applyFill="1" applyBorder="1" applyAlignment="1">
      <alignment horizontal="center"/>
    </xf>
    <xf numFmtId="226" fontId="13" fillId="24" borderId="154" xfId="0" applyNumberFormat="1" applyFont="1" applyFill="1" applyBorder="1" applyAlignment="1">
      <alignment horizontal="center"/>
    </xf>
    <xf numFmtId="20" fontId="4" fillId="35" borderId="209" xfId="2" applyNumberFormat="1" applyFont="1" applyFill="1" applyBorder="1" applyAlignment="1">
      <alignment horizontal="center"/>
    </xf>
    <xf numFmtId="20" fontId="4" fillId="35" borderId="175" xfId="2" applyNumberFormat="1" applyFont="1" applyFill="1" applyBorder="1" applyAlignment="1">
      <alignment horizontal="center"/>
    </xf>
    <xf numFmtId="20" fontId="4" fillId="35" borderId="176" xfId="2" applyNumberFormat="1" applyFont="1" applyFill="1" applyBorder="1" applyAlignment="1">
      <alignment horizontal="center"/>
    </xf>
    <xf numFmtId="229" fontId="13" fillId="24" borderId="37" xfId="0" applyNumberFormat="1" applyFont="1" applyFill="1" applyBorder="1" applyAlignment="1">
      <alignment horizontal="center"/>
    </xf>
    <xf numFmtId="229" fontId="13" fillId="24" borderId="158" xfId="0" applyNumberFormat="1" applyFont="1" applyFill="1" applyBorder="1" applyAlignment="1">
      <alignment horizontal="center"/>
    </xf>
    <xf numFmtId="0" fontId="18" fillId="35" borderId="193" xfId="0" applyFont="1" applyFill="1" applyBorder="1" applyAlignment="1">
      <alignment horizontal="center"/>
    </xf>
    <xf numFmtId="0" fontId="18" fillId="35" borderId="26" xfId="0" applyFont="1" applyFill="1" applyBorder="1" applyAlignment="1">
      <alignment horizontal="center"/>
    </xf>
    <xf numFmtId="221" fontId="13" fillId="24" borderId="160" xfId="0" applyNumberFormat="1" applyFont="1" applyFill="1" applyBorder="1" applyAlignment="1">
      <alignment horizontal="center"/>
    </xf>
    <xf numFmtId="221" fontId="13" fillId="24" borderId="172" xfId="0" applyNumberFormat="1" applyFont="1" applyFill="1" applyBorder="1" applyAlignment="1">
      <alignment horizontal="center"/>
    </xf>
    <xf numFmtId="0" fontId="18" fillId="35" borderId="245" xfId="0" applyFont="1" applyFill="1" applyBorder="1" applyAlignment="1">
      <alignment horizontal="center"/>
    </xf>
    <xf numFmtId="0" fontId="18" fillId="35" borderId="23" xfId="0" applyFont="1" applyFill="1" applyBorder="1" applyAlignment="1">
      <alignment horizontal="center"/>
    </xf>
    <xf numFmtId="0" fontId="24" fillId="17" borderId="93" xfId="0" applyFont="1" applyFill="1" applyBorder="1" applyAlignment="1">
      <alignment horizontal="center"/>
    </xf>
    <xf numFmtId="0" fontId="24" fillId="17" borderId="94" xfId="0" applyFont="1" applyFill="1" applyBorder="1" applyAlignment="1">
      <alignment horizontal="center"/>
    </xf>
    <xf numFmtId="223" fontId="13" fillId="24" borderId="148" xfId="0" applyNumberFormat="1" applyFont="1" applyFill="1" applyBorder="1" applyAlignment="1">
      <alignment horizontal="center"/>
    </xf>
    <xf numFmtId="223" fontId="13" fillId="24" borderId="151" xfId="0" applyNumberFormat="1" applyFont="1" applyFill="1" applyBorder="1" applyAlignment="1">
      <alignment horizontal="center"/>
    </xf>
    <xf numFmtId="0" fontId="18" fillId="6" borderId="206" xfId="0" applyFont="1" applyFill="1" applyBorder="1" applyAlignment="1">
      <alignment horizontal="center"/>
    </xf>
    <xf numFmtId="0" fontId="18" fillId="6" borderId="26" xfId="0" applyFont="1" applyFill="1" applyBorder="1" applyAlignment="1">
      <alignment horizontal="center"/>
    </xf>
    <xf numFmtId="0" fontId="18" fillId="6" borderId="186" xfId="0" applyFont="1" applyFill="1" applyBorder="1" applyAlignment="1">
      <alignment horizontal="center"/>
    </xf>
    <xf numFmtId="0" fontId="18" fillId="6" borderId="187" xfId="0" applyFont="1" applyFill="1" applyBorder="1" applyAlignment="1">
      <alignment horizontal="center"/>
    </xf>
    <xf numFmtId="0" fontId="18" fillId="6" borderId="64" xfId="0" applyFont="1" applyFill="1" applyBorder="1" applyAlignment="1">
      <alignment horizontal="center"/>
    </xf>
    <xf numFmtId="0" fontId="18" fillId="6" borderId="28" xfId="0" applyFont="1" applyFill="1" applyBorder="1" applyAlignment="1">
      <alignment horizontal="center"/>
    </xf>
    <xf numFmtId="0" fontId="18" fillId="6" borderId="71" xfId="0" applyFont="1" applyFill="1" applyBorder="1" applyAlignment="1">
      <alignment horizontal="center"/>
    </xf>
    <xf numFmtId="0" fontId="24" fillId="25" borderId="19" xfId="0" applyFont="1" applyFill="1" applyBorder="1" applyAlignment="1">
      <alignment horizontal="center"/>
    </xf>
    <xf numFmtId="0" fontId="4" fillId="6" borderId="12" xfId="0" applyFont="1" applyFill="1" applyBorder="1" applyAlignment="1">
      <alignment horizontal="center"/>
    </xf>
    <xf numFmtId="0" fontId="24" fillId="6" borderId="22" xfId="0" applyFont="1" applyFill="1" applyBorder="1" applyAlignment="1">
      <alignment horizontal="center"/>
    </xf>
    <xf numFmtId="0" fontId="24" fillId="6" borderId="138" xfId="0" applyFont="1" applyFill="1" applyBorder="1" applyAlignment="1">
      <alignment horizontal="center"/>
    </xf>
    <xf numFmtId="0" fontId="18" fillId="0" borderId="35" xfId="0" applyFont="1" applyBorder="1" applyAlignment="1">
      <alignment horizontal="center"/>
    </xf>
    <xf numFmtId="0" fontId="18" fillId="0" borderId="204" xfId="0" applyFont="1" applyBorder="1" applyAlignment="1">
      <alignment horizontal="center"/>
    </xf>
    <xf numFmtId="49" fontId="18" fillId="0" borderId="144" xfId="0" applyNumberFormat="1" applyFont="1" applyBorder="1" applyAlignment="1">
      <alignment horizontal="center"/>
    </xf>
    <xf numFmtId="0" fontId="18" fillId="0" borderId="142" xfId="0" applyFont="1" applyBorder="1" applyAlignment="1">
      <alignment horizontal="center"/>
    </xf>
    <xf numFmtId="21" fontId="4" fillId="0" borderId="35" xfId="0" applyNumberFormat="1" applyFont="1" applyBorder="1" applyAlignment="1">
      <alignment horizontal="center"/>
    </xf>
    <xf numFmtId="21" fontId="4" fillId="0" borderId="175" xfId="0" applyNumberFormat="1" applyFont="1" applyBorder="1" applyAlignment="1">
      <alignment horizontal="center"/>
    </xf>
    <xf numFmtId="21" fontId="4" fillId="0" borderId="36" xfId="0" applyNumberFormat="1" applyFont="1" applyBorder="1" applyAlignment="1">
      <alignment horizontal="center"/>
    </xf>
    <xf numFmtId="21" fontId="12" fillId="0" borderId="175" xfId="1" applyNumberFormat="1" applyFill="1" applyBorder="1" applyAlignment="1" applyProtection="1">
      <alignment horizontal="center"/>
    </xf>
    <xf numFmtId="21" fontId="12" fillId="0" borderId="204" xfId="1" applyNumberFormat="1" applyFill="1" applyBorder="1" applyAlignment="1" applyProtection="1">
      <alignment horizontal="center"/>
    </xf>
    <xf numFmtId="0" fontId="18" fillId="6" borderId="74" xfId="0" applyFont="1" applyFill="1" applyBorder="1" applyAlignment="1">
      <alignment horizontal="center"/>
    </xf>
    <xf numFmtId="0" fontId="4" fillId="0" borderId="30" xfId="0" applyFont="1" applyBorder="1" applyAlignment="1">
      <alignment horizontal="center"/>
    </xf>
    <xf numFmtId="0" fontId="4" fillId="0" borderId="31" xfId="0" applyFont="1" applyBorder="1" applyAlignment="1">
      <alignment horizontal="center"/>
    </xf>
    <xf numFmtId="0" fontId="4" fillId="0" borderId="32" xfId="0" applyFont="1" applyBorder="1" applyAlignment="1">
      <alignment horizontal="center"/>
    </xf>
    <xf numFmtId="0" fontId="12" fillId="0" borderId="134" xfId="1" applyNumberFormat="1" applyBorder="1" applyAlignment="1" applyProtection="1">
      <alignment horizontal="center"/>
    </xf>
    <xf numFmtId="0" fontId="12" fillId="0" borderId="135" xfId="1" applyNumberFormat="1" applyBorder="1" applyAlignment="1" applyProtection="1">
      <alignment horizontal="center"/>
    </xf>
    <xf numFmtId="0" fontId="12" fillId="0" borderId="41" xfId="1" applyNumberFormat="1" applyBorder="1" applyAlignment="1" applyProtection="1">
      <alignment horizontal="center"/>
    </xf>
    <xf numFmtId="0" fontId="0" fillId="0" borderId="39" xfId="0" applyBorder="1" applyAlignment="1">
      <alignment horizontal="center"/>
    </xf>
    <xf numFmtId="0" fontId="12" fillId="0" borderId="175" xfId="1" applyBorder="1" applyAlignment="1" applyProtection="1">
      <alignment horizontal="center"/>
    </xf>
    <xf numFmtId="0" fontId="12" fillId="0" borderId="204" xfId="1" applyBorder="1" applyAlignment="1" applyProtection="1">
      <alignment horizontal="center"/>
    </xf>
    <xf numFmtId="0" fontId="0" fillId="0" borderId="37" xfId="0" applyBorder="1" applyAlignment="1">
      <alignment horizontal="center" vertical="center"/>
    </xf>
    <xf numFmtId="0" fontId="0" fillId="0" borderId="155" xfId="0" applyBorder="1" applyAlignment="1">
      <alignment horizontal="center" vertical="center"/>
    </xf>
    <xf numFmtId="0" fontId="0" fillId="0" borderId="148" xfId="0" applyBorder="1" applyAlignment="1">
      <alignment horizontal="center" vertical="center"/>
    </xf>
    <xf numFmtId="0" fontId="1" fillId="2" borderId="2" xfId="0" applyFont="1" applyFill="1" applyBorder="1" applyAlignment="1">
      <alignment horizontal="center" vertical="center" wrapText="1"/>
    </xf>
    <xf numFmtId="0" fontId="1" fillId="4" borderId="0" xfId="0" applyFont="1" applyFill="1" applyAlignment="1">
      <alignment horizontal="center" vertical="center" wrapText="1"/>
    </xf>
    <xf numFmtId="0" fontId="1" fillId="4" borderId="0" xfId="0" applyFont="1" applyFill="1" applyAlignment="1">
      <alignment horizontal="center" vertical="center"/>
    </xf>
    <xf numFmtId="0" fontId="73" fillId="0" borderId="0" xfId="0" quotePrefix="1" applyFont="1" applyFill="1"/>
    <xf numFmtId="0" fontId="73" fillId="0" borderId="0" xfId="0" applyFont="1" applyFill="1"/>
    <xf numFmtId="0" fontId="74" fillId="0" borderId="0" xfId="0" applyFont="1" applyFill="1" applyAlignment="1">
      <alignment wrapText="1"/>
    </xf>
    <xf numFmtId="0" fontId="0" fillId="0" borderId="0" xfId="0" applyFill="1"/>
    <xf numFmtId="21" fontId="0" fillId="0" borderId="0" xfId="0" applyNumberFormat="1" applyFill="1"/>
    <xf numFmtId="21" fontId="7" fillId="0" borderId="0" xfId="0" applyNumberFormat="1" applyFont="1"/>
    <xf numFmtId="18" fontId="0" fillId="0" borderId="0" xfId="0" applyNumberFormat="1"/>
    <xf numFmtId="0" fontId="74" fillId="0" borderId="0" xfId="0" quotePrefix="1" applyFont="1" applyFill="1" applyAlignment="1">
      <alignment wrapText="1"/>
    </xf>
  </cellXfs>
  <cellStyles count="3">
    <cellStyle name="Hyperlink" xfId="1" builtinId="8"/>
    <cellStyle name="Normal" xfId="0" builtinId="0"/>
    <cellStyle name="Normal 2" xfId="2" xr:uid="{D38811EA-FD54-49FD-9D7D-493FF3F2592B}"/>
  </cellStyles>
  <dxfs count="86">
    <dxf>
      <font>
        <color rgb="FF006100"/>
      </font>
      <fill>
        <patternFill>
          <bgColor rgb="FFC6EFCE"/>
        </patternFill>
      </fill>
    </dxf>
    <dxf>
      <font>
        <color rgb="FF9C0006"/>
      </font>
      <fill>
        <patternFill>
          <bgColor rgb="FFFFC7CE"/>
        </patternFill>
      </fill>
    </dxf>
    <dxf>
      <numFmt numFmtId="2" formatCode="0.00"/>
    </dxf>
    <dxf>
      <font>
        <b/>
        <i val="0"/>
        <color rgb="FFC00000"/>
      </font>
      <fill>
        <patternFill>
          <bgColor rgb="FFFFFF00"/>
        </patternFill>
      </fill>
    </dxf>
    <dxf>
      <font>
        <condense val="0"/>
        <extend val="0"/>
        <color indexed="10"/>
      </font>
    </dxf>
    <dxf>
      <font>
        <color rgb="FFFF0000"/>
      </font>
    </dxf>
    <dxf>
      <font>
        <condense val="0"/>
        <extend val="0"/>
        <color indexed="55"/>
      </font>
    </dxf>
    <dxf>
      <font>
        <condense val="0"/>
        <extend val="0"/>
        <color indexed="10"/>
      </font>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lor indexed="55"/>
      </font>
      <fill>
        <patternFill>
          <bgColor indexed="55"/>
        </patternFill>
      </fill>
    </dxf>
    <dxf>
      <font>
        <color indexed="55"/>
      </font>
      <fill>
        <patternFill>
          <bgColor indexed="55"/>
        </patternFill>
      </fill>
    </dxf>
    <dxf>
      <font>
        <condense val="0"/>
        <extend val="0"/>
        <color indexed="10"/>
      </font>
    </dxf>
    <dxf>
      <font>
        <b/>
        <i val="0"/>
        <color rgb="FFC00000"/>
      </font>
      <fill>
        <patternFill>
          <bgColor rgb="FFFFFF00"/>
        </patternFill>
      </fill>
    </dxf>
    <dxf>
      <font>
        <b/>
        <i val="0"/>
        <condense val="0"/>
        <extend val="0"/>
        <color indexed="10"/>
      </font>
      <fill>
        <patternFill>
          <bgColor indexed="13"/>
        </patternFill>
      </fill>
    </dxf>
    <dxf>
      <font>
        <color indexed="55"/>
      </font>
      <fill>
        <patternFill>
          <bgColor indexed="55"/>
        </patternFill>
      </fill>
    </dxf>
    <dxf>
      <font>
        <color indexed="55"/>
      </font>
      <fill>
        <patternFill>
          <bgColor indexed="55"/>
        </patternFill>
      </fill>
    </dxf>
    <dxf>
      <font>
        <condense val="0"/>
        <extend val="0"/>
        <color indexed="22"/>
      </font>
    </dxf>
    <dxf>
      <font>
        <b/>
        <i val="0"/>
        <condense val="0"/>
        <extend val="0"/>
      </font>
    </dxf>
    <dxf>
      <font>
        <b/>
        <i val="0"/>
        <color rgb="FFC00000"/>
      </font>
      <fill>
        <patternFill>
          <bgColor rgb="FFFFFF00"/>
        </patternFill>
      </fill>
    </dxf>
    <dxf>
      <font>
        <b/>
        <i val="0"/>
        <color rgb="FFC00000"/>
      </font>
      <fill>
        <patternFill>
          <bgColor rgb="FFFFFF00"/>
        </patternFill>
      </fill>
    </dxf>
    <dxf>
      <font>
        <condense val="0"/>
        <extend val="0"/>
        <color indexed="10"/>
      </font>
    </dxf>
    <dxf>
      <font>
        <b/>
        <i val="0"/>
        <condense val="0"/>
        <extend val="0"/>
      </font>
    </dxf>
    <dxf>
      <font>
        <b val="0"/>
        <i val="0"/>
        <strike val="0"/>
        <condense val="0"/>
        <extend val="0"/>
        <color indexed="10"/>
      </font>
      <fill>
        <patternFill patternType="solid">
          <fgColor indexed="64"/>
          <bgColor indexed="26"/>
        </patternFill>
      </fill>
    </dxf>
    <dxf>
      <font>
        <b/>
        <i val="0"/>
        <color auto="1"/>
      </font>
      <fill>
        <patternFill>
          <bgColor theme="2" tint="-9.9948118533890809E-2"/>
        </patternFill>
      </fill>
    </dxf>
    <dxf>
      <fill>
        <patternFill>
          <bgColor theme="8" tint="0.79998168889431442"/>
        </patternFill>
      </fill>
    </dxf>
    <dxf>
      <font>
        <b/>
        <i val="0"/>
        <color rgb="FF660033"/>
      </font>
      <fill>
        <patternFill patternType="none">
          <bgColor auto="1"/>
        </patternFill>
      </fill>
    </dxf>
    <dxf>
      <fill>
        <patternFill>
          <bgColor theme="8" tint="0.39994506668294322"/>
        </patternFill>
      </fill>
    </dxf>
    <dxf>
      <font>
        <condense val="0"/>
        <extend val="0"/>
        <color indexed="22"/>
      </font>
    </dxf>
    <dxf>
      <font>
        <color rgb="FFFF0000"/>
      </font>
    </dxf>
    <dxf>
      <font>
        <condense val="0"/>
        <extend val="0"/>
        <color indexed="10"/>
      </font>
    </dxf>
    <dxf>
      <font>
        <condense val="0"/>
        <extend val="0"/>
        <color indexed="10"/>
      </font>
    </dxf>
    <dxf>
      <numFmt numFmtId="2" formatCode="0.00"/>
    </dxf>
    <dxf>
      <font>
        <b/>
        <i val="0"/>
        <color rgb="FFC00000"/>
      </font>
      <fill>
        <patternFill>
          <bgColor rgb="FFFFFF00"/>
        </patternFill>
      </fill>
    </dxf>
    <dxf>
      <font>
        <b val="0"/>
        <i val="0"/>
        <color rgb="FFC00000"/>
      </font>
      <fill>
        <patternFill patternType="solid">
          <bgColor rgb="FFCCECFF"/>
        </patternFill>
      </fill>
    </dxf>
    <dxf>
      <font>
        <b/>
        <i val="0"/>
      </font>
      <fill>
        <patternFill>
          <bgColor theme="2" tint="-9.9948118533890809E-2"/>
        </patternFill>
      </fill>
    </dxf>
    <dxf>
      <font>
        <b/>
        <i val="0"/>
        <color rgb="FFC00000"/>
      </font>
      <fill>
        <patternFill>
          <bgColor rgb="FFFFFF00"/>
        </patternFill>
      </fill>
    </dxf>
    <dxf>
      <fill>
        <patternFill>
          <bgColor theme="8" tint="0.79998168889431442"/>
        </patternFill>
      </fill>
    </dxf>
    <dxf>
      <font>
        <b/>
        <i val="0"/>
        <color rgb="FF660033"/>
      </font>
    </dxf>
    <dxf>
      <fill>
        <patternFill>
          <bgColor theme="8" tint="0.39994506668294322"/>
        </patternFill>
      </fill>
    </dxf>
    <dxf>
      <font>
        <color theme="0"/>
      </font>
    </dxf>
    <dxf>
      <font>
        <b/>
        <i val="0"/>
        <strike val="0"/>
        <color theme="0"/>
      </font>
      <fill>
        <patternFill>
          <bgColor theme="0" tint="-0.34998626667073579"/>
        </patternFill>
      </fill>
      <border>
        <bottom style="thin">
          <color auto="1"/>
        </bottom>
      </border>
    </dxf>
    <dxf>
      <numFmt numFmtId="2" formatCode="0.00"/>
    </dxf>
    <dxf>
      <font>
        <b/>
        <i val="0"/>
        <color rgb="FFC00000"/>
      </font>
      <fill>
        <patternFill>
          <bgColor rgb="FFFFFF00"/>
        </patternFill>
      </fill>
    </dxf>
    <dxf>
      <font>
        <condense val="0"/>
        <extend val="0"/>
        <color indexed="10"/>
      </font>
    </dxf>
    <dxf>
      <font>
        <color rgb="FFFF0000"/>
      </font>
    </dxf>
    <dxf>
      <font>
        <condense val="0"/>
        <extend val="0"/>
        <color indexed="55"/>
      </font>
    </dxf>
    <dxf>
      <font>
        <condense val="0"/>
        <extend val="0"/>
        <color indexed="10"/>
      </font>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ndense val="0"/>
        <extend val="0"/>
        <color indexed="55"/>
      </font>
      <fill>
        <patternFill>
          <bgColor indexed="55"/>
        </patternFill>
      </fill>
    </dxf>
    <dxf>
      <font>
        <color indexed="55"/>
      </font>
      <fill>
        <patternFill>
          <bgColor indexed="55"/>
        </patternFill>
      </fill>
    </dxf>
    <dxf>
      <font>
        <color indexed="55"/>
      </font>
      <fill>
        <patternFill>
          <bgColor indexed="55"/>
        </patternFill>
      </fill>
    </dxf>
    <dxf>
      <font>
        <condense val="0"/>
        <extend val="0"/>
        <color indexed="10"/>
      </font>
    </dxf>
    <dxf>
      <font>
        <b/>
        <i val="0"/>
        <color rgb="FFC00000"/>
      </font>
      <fill>
        <patternFill>
          <bgColor rgb="FFFFFF00"/>
        </patternFill>
      </fill>
    </dxf>
    <dxf>
      <font>
        <b/>
        <i val="0"/>
        <condense val="0"/>
        <extend val="0"/>
        <color indexed="10"/>
      </font>
      <fill>
        <patternFill>
          <bgColor indexed="13"/>
        </patternFill>
      </fill>
    </dxf>
    <dxf>
      <font>
        <color indexed="55"/>
      </font>
      <fill>
        <patternFill>
          <bgColor indexed="55"/>
        </patternFill>
      </fill>
    </dxf>
    <dxf>
      <font>
        <color indexed="55"/>
      </font>
      <fill>
        <patternFill>
          <bgColor indexed="55"/>
        </patternFill>
      </fill>
    </dxf>
    <dxf>
      <font>
        <condense val="0"/>
        <extend val="0"/>
        <color indexed="22"/>
      </font>
    </dxf>
    <dxf>
      <font>
        <b/>
        <i val="0"/>
        <condense val="0"/>
        <extend val="0"/>
      </font>
    </dxf>
    <dxf>
      <font>
        <b/>
        <i val="0"/>
        <color rgb="FFC00000"/>
      </font>
      <fill>
        <patternFill>
          <bgColor rgb="FFFFFF00"/>
        </patternFill>
      </fill>
    </dxf>
    <dxf>
      <font>
        <b/>
        <i val="0"/>
        <color rgb="FFC00000"/>
      </font>
      <fill>
        <patternFill>
          <bgColor rgb="FFFFFF00"/>
        </patternFill>
      </fill>
    </dxf>
    <dxf>
      <font>
        <condense val="0"/>
        <extend val="0"/>
        <color indexed="10"/>
      </font>
    </dxf>
    <dxf>
      <font>
        <b/>
        <i val="0"/>
        <condense val="0"/>
        <extend val="0"/>
      </font>
    </dxf>
    <dxf>
      <font>
        <b val="0"/>
        <i val="0"/>
        <strike val="0"/>
        <condense val="0"/>
        <extend val="0"/>
        <color indexed="10"/>
      </font>
      <fill>
        <patternFill patternType="solid">
          <fgColor indexed="64"/>
          <bgColor indexed="26"/>
        </patternFill>
      </fill>
    </dxf>
    <dxf>
      <font>
        <b/>
        <i val="0"/>
        <color auto="1"/>
      </font>
      <fill>
        <patternFill>
          <bgColor theme="2" tint="-9.9948118533890809E-2"/>
        </patternFill>
      </fill>
    </dxf>
    <dxf>
      <fill>
        <patternFill>
          <bgColor theme="8" tint="0.79998168889431442"/>
        </patternFill>
      </fill>
    </dxf>
    <dxf>
      <font>
        <b/>
        <i val="0"/>
        <color rgb="FF660033"/>
      </font>
      <fill>
        <patternFill patternType="none">
          <bgColor auto="1"/>
        </patternFill>
      </fill>
    </dxf>
    <dxf>
      <fill>
        <patternFill>
          <bgColor theme="8" tint="0.39994506668294322"/>
        </patternFill>
      </fill>
    </dxf>
    <dxf>
      <font>
        <condense val="0"/>
        <extend val="0"/>
        <color indexed="22"/>
      </font>
    </dxf>
    <dxf>
      <font>
        <color rgb="FFFF0000"/>
      </font>
    </dxf>
    <dxf>
      <font>
        <condense val="0"/>
        <extend val="0"/>
        <color indexed="10"/>
      </font>
    </dxf>
    <dxf>
      <font>
        <condense val="0"/>
        <extend val="0"/>
        <color indexed="10"/>
      </font>
    </dxf>
    <dxf>
      <numFmt numFmtId="2" formatCode="0.00"/>
    </dxf>
    <dxf>
      <font>
        <b/>
        <i val="0"/>
        <color rgb="FFC00000"/>
      </font>
      <fill>
        <patternFill>
          <bgColor rgb="FFFFFF00"/>
        </patternFill>
      </fill>
    </dxf>
    <dxf>
      <font>
        <b val="0"/>
        <i val="0"/>
        <color rgb="FFC00000"/>
      </font>
      <fill>
        <patternFill patternType="solid">
          <bgColor rgb="FFCCECFF"/>
        </patternFill>
      </fill>
    </dxf>
    <dxf>
      <font>
        <b/>
        <i val="0"/>
      </font>
      <fill>
        <patternFill>
          <bgColor theme="2" tint="-9.9948118533890809E-2"/>
        </patternFill>
      </fill>
    </dxf>
    <dxf>
      <font>
        <b/>
        <i val="0"/>
        <color rgb="FFC00000"/>
      </font>
      <fill>
        <patternFill>
          <bgColor rgb="FFFFFF00"/>
        </patternFill>
      </fill>
    </dxf>
    <dxf>
      <fill>
        <patternFill>
          <bgColor theme="8" tint="0.79998168889431442"/>
        </patternFill>
      </fill>
    </dxf>
    <dxf>
      <font>
        <b/>
        <i val="0"/>
        <color rgb="FF660033"/>
      </font>
    </dxf>
    <dxf>
      <fill>
        <patternFill>
          <bgColor theme="8" tint="0.39994506668294322"/>
        </patternFill>
      </fill>
    </dxf>
    <dxf>
      <font>
        <color theme="0"/>
      </font>
    </dxf>
    <dxf>
      <font>
        <b/>
        <i val="0"/>
        <strike val="0"/>
        <color theme="0"/>
      </font>
      <fill>
        <patternFill>
          <bgColor theme="0" tint="-0.34998626667073579"/>
        </patternFill>
      </fill>
      <border>
        <bottom style="thin">
          <color auto="1"/>
        </bottom>
      </border>
    </dxf>
  </dxfs>
  <tableStyles count="0" defaultTableStyle="TableStyleMedium2" defaultPivotStyle="PivotStyleLight16"/>
  <colors>
    <mruColors>
      <color rgb="FF960000"/>
      <color rgb="FFFFCCCC"/>
      <color rgb="FFFF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'Daniel''s Metrics'!$G$2</c:f>
              <c:strCache>
                <c:ptCount val="1"/>
                <c:pt idx="0">
                  <c:v>40-55</c:v>
                </c:pt>
              </c:strCache>
            </c:strRef>
          </c:tx>
          <c:spPr>
            <a:ln w="19050" cap="rnd">
              <a:solidFill>
                <a:srgbClr val="00B050"/>
              </a:solidFill>
              <a:prstDash val="dash"/>
              <a:round/>
            </a:ln>
            <a:effectLst/>
          </c:spPr>
          <c:marker>
            <c:symbol val="none"/>
          </c:marker>
          <c:xVal>
            <c:numRef>
              <c:f>'Daniel''s Metrics'!$A$3:$A$19</c:f>
              <c:numCache>
                <c:formatCode>General</c:formatCode>
                <c:ptCount val="17"/>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numCache>
            </c:numRef>
          </c:xVal>
          <c:yVal>
            <c:numRef>
              <c:f>'Daniel''s Metrics'!$H$3:$H$20</c:f>
              <c:numCache>
                <c:formatCode>General</c:formatCode>
                <c:ptCount val="18"/>
                <c:pt idx="0">
                  <c:v>56</c:v>
                </c:pt>
                <c:pt idx="1">
                  <c:v>56</c:v>
                </c:pt>
                <c:pt idx="2">
                  <c:v>63</c:v>
                </c:pt>
                <c:pt idx="3">
                  <c:v>63</c:v>
                </c:pt>
                <c:pt idx="4">
                  <c:v>63</c:v>
                </c:pt>
                <c:pt idx="5">
                  <c:v>56</c:v>
                </c:pt>
                <c:pt idx="6">
                  <c:v>70</c:v>
                </c:pt>
                <c:pt idx="7">
                  <c:v>63</c:v>
                </c:pt>
                <c:pt idx="8">
                  <c:v>63</c:v>
                </c:pt>
                <c:pt idx="9">
                  <c:v>70</c:v>
                </c:pt>
                <c:pt idx="10">
                  <c:v>70</c:v>
                </c:pt>
                <c:pt idx="11">
                  <c:v>63</c:v>
                </c:pt>
                <c:pt idx="12">
                  <c:v>70</c:v>
                </c:pt>
                <c:pt idx="13">
                  <c:v>63</c:v>
                </c:pt>
                <c:pt idx="14">
                  <c:v>63</c:v>
                </c:pt>
                <c:pt idx="15">
                  <c:v>56</c:v>
                </c:pt>
                <c:pt idx="16">
                  <c:v>56</c:v>
                </c:pt>
                <c:pt idx="17">
                  <c:v>47</c:v>
                </c:pt>
              </c:numCache>
            </c:numRef>
          </c:yVal>
          <c:smooth val="0"/>
          <c:extLst>
            <c:ext xmlns:c16="http://schemas.microsoft.com/office/drawing/2014/chart" uri="{C3380CC4-5D6E-409C-BE32-E72D297353CC}">
              <c16:uniqueId val="{00000001-B852-4805-AFD9-28949230A06F}"/>
            </c:ext>
          </c:extLst>
        </c:ser>
        <c:ser>
          <c:idx val="2"/>
          <c:order val="1"/>
          <c:tx>
            <c:strRef>
              <c:f>'Daniel''s Metrics'!$H$2</c:f>
              <c:strCache>
                <c:ptCount val="1"/>
                <c:pt idx="0">
                  <c:v>56 - 70</c:v>
                </c:pt>
              </c:strCache>
            </c:strRef>
          </c:tx>
          <c:spPr>
            <a:ln w="19050" cap="rnd">
              <a:solidFill>
                <a:srgbClr val="FF0000"/>
              </a:solidFill>
              <a:round/>
            </a:ln>
            <a:effectLst/>
          </c:spPr>
          <c:marker>
            <c:symbol val="none"/>
          </c:marker>
          <c:xVal>
            <c:numRef>
              <c:f>'Daniel''s Metrics'!$A$3:$A$20</c:f>
              <c:numCache>
                <c:formatCode>General</c:formatCode>
                <c:ptCount val="1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numCache>
            </c:numRef>
          </c:xVal>
          <c:yVal>
            <c:numRef>
              <c:f>'Daniel''s Mileage'!#REF!</c:f>
              <c:numCache>
                <c:formatCode>General</c:formatCode>
                <c:ptCount val="1"/>
                <c:pt idx="0">
                  <c:v>1</c:v>
                </c:pt>
              </c:numCache>
            </c:numRef>
          </c:yVal>
          <c:smooth val="0"/>
          <c:extLst>
            <c:ext xmlns:c16="http://schemas.microsoft.com/office/drawing/2014/chart" uri="{C3380CC4-5D6E-409C-BE32-E72D297353CC}">
              <c16:uniqueId val="{00000000-5BC9-458D-9593-781F71C6AD13}"/>
            </c:ext>
          </c:extLst>
        </c:ser>
        <c:ser>
          <c:idx val="3"/>
          <c:order val="2"/>
          <c:tx>
            <c:strRef>
              <c:f>'Daniel''s Metrics'!$J$2</c:f>
              <c:strCache>
                <c:ptCount val="1"/>
                <c:pt idx="0">
                  <c:v>85</c:v>
                </c:pt>
              </c:strCache>
            </c:strRef>
          </c:tx>
          <c:spPr>
            <a:ln w="19050" cap="rnd">
              <a:solidFill>
                <a:srgbClr val="C00000"/>
              </a:solidFill>
              <a:prstDash val="dash"/>
              <a:round/>
            </a:ln>
            <a:effectLst/>
          </c:spPr>
          <c:marker>
            <c:symbol val="none"/>
          </c:marker>
          <c:xVal>
            <c:numRef>
              <c:f>'Daniel''s Metrics'!$A$3:$A$20</c:f>
              <c:numCache>
                <c:formatCode>General</c:formatCode>
                <c:ptCount val="1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numCache>
            </c:numRef>
          </c:xVal>
          <c:yVal>
            <c:numRef>
              <c:f>'Daniel''s Metrics'!$J$3:$J$20</c:f>
              <c:numCache>
                <c:formatCode>General</c:formatCode>
                <c:ptCount val="18"/>
                <c:pt idx="0">
                  <c:v>68</c:v>
                </c:pt>
                <c:pt idx="1">
                  <c:v>68</c:v>
                </c:pt>
                <c:pt idx="2">
                  <c:v>76.5</c:v>
                </c:pt>
                <c:pt idx="3">
                  <c:v>76.5</c:v>
                </c:pt>
                <c:pt idx="4">
                  <c:v>76.5</c:v>
                </c:pt>
                <c:pt idx="5">
                  <c:v>68</c:v>
                </c:pt>
                <c:pt idx="6">
                  <c:v>85</c:v>
                </c:pt>
                <c:pt idx="7">
                  <c:v>76.5</c:v>
                </c:pt>
                <c:pt idx="8">
                  <c:v>68</c:v>
                </c:pt>
                <c:pt idx="9">
                  <c:v>85</c:v>
                </c:pt>
                <c:pt idx="10">
                  <c:v>76.5</c:v>
                </c:pt>
                <c:pt idx="11">
                  <c:v>76.5</c:v>
                </c:pt>
                <c:pt idx="12">
                  <c:v>85</c:v>
                </c:pt>
                <c:pt idx="13">
                  <c:v>76.5</c:v>
                </c:pt>
                <c:pt idx="14">
                  <c:v>68</c:v>
                </c:pt>
                <c:pt idx="15">
                  <c:v>68</c:v>
                </c:pt>
                <c:pt idx="16">
                  <c:v>59.499999999999993</c:v>
                </c:pt>
                <c:pt idx="17">
                  <c:v>0</c:v>
                </c:pt>
              </c:numCache>
            </c:numRef>
          </c:yVal>
          <c:smooth val="0"/>
          <c:extLst>
            <c:ext xmlns:c16="http://schemas.microsoft.com/office/drawing/2014/chart" uri="{C3380CC4-5D6E-409C-BE32-E72D297353CC}">
              <c16:uniqueId val="{00000001-5BC9-458D-9593-781F71C6AD13}"/>
            </c:ext>
          </c:extLst>
        </c:ser>
        <c:ser>
          <c:idx val="4"/>
          <c:order val="3"/>
          <c:tx>
            <c:strRef>
              <c:f>'Daniel''s Metrics'!$K$2</c:f>
              <c:strCache>
                <c:ptCount val="1"/>
                <c:pt idx="0">
                  <c:v>Actual</c:v>
                </c:pt>
              </c:strCache>
            </c:strRef>
          </c:tx>
          <c:spPr>
            <a:ln w="19050" cap="rnd">
              <a:solidFill>
                <a:schemeClr val="accent1"/>
              </a:solidFill>
              <a:round/>
            </a:ln>
            <a:effectLst/>
          </c:spPr>
          <c:marker>
            <c:symbol val="circle"/>
            <c:size val="5"/>
            <c:spPr>
              <a:solidFill>
                <a:schemeClr val="accent5"/>
              </a:solidFill>
              <a:ln w="9525">
                <a:solidFill>
                  <a:schemeClr val="accent5"/>
                </a:solidFill>
              </a:ln>
              <a:effectLst/>
            </c:spPr>
          </c:marker>
          <c:xVal>
            <c:numRef>
              <c:f>'Daniel''s Metrics'!$A$3:$A$20</c:f>
              <c:numCache>
                <c:formatCode>General</c:formatCode>
                <c:ptCount val="1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numCache>
            </c:numRef>
          </c:xVal>
          <c:yVal>
            <c:numRef>
              <c:f>'Daniel''s Metrics'!$K$3:$K$20</c:f>
              <c:numCache>
                <c:formatCode>General</c:formatCode>
                <c:ptCount val="18"/>
                <c:pt idx="0">
                  <c:v>58.79</c:v>
                </c:pt>
                <c:pt idx="1">
                  <c:v>40.81</c:v>
                </c:pt>
                <c:pt idx="2">
                  <c:v>74.44</c:v>
                </c:pt>
                <c:pt idx="3">
                  <c:v>73.25</c:v>
                </c:pt>
                <c:pt idx="4">
                  <c:v>72.11999999999999</c:v>
                </c:pt>
                <c:pt idx="5">
                  <c:v>68.59</c:v>
                </c:pt>
                <c:pt idx="6">
                  <c:v>82.31</c:v>
                </c:pt>
                <c:pt idx="7">
                  <c:v>75.77</c:v>
                </c:pt>
                <c:pt idx="8">
                  <c:v>69.55</c:v>
                </c:pt>
                <c:pt idx="9">
                  <c:v>63.179999999999993</c:v>
                </c:pt>
                <c:pt idx="10">
                  <c:v>73.789999999999992</c:v>
                </c:pt>
                <c:pt idx="11">
                  <c:v>74.830000000000013</c:v>
                </c:pt>
                <c:pt idx="12">
                  <c:v>80.349999999999994</c:v>
                </c:pt>
                <c:pt idx="13">
                  <c:v>77.430000000000007</c:v>
                </c:pt>
                <c:pt idx="14">
                  <c:v>67.069999999999993</c:v>
                </c:pt>
                <c:pt idx="15">
                  <c:v>65.13</c:v>
                </c:pt>
                <c:pt idx="16">
                  <c:v>60.839999999999996</c:v>
                </c:pt>
                <c:pt idx="17">
                  <c:v>40.88000000000001</c:v>
                </c:pt>
              </c:numCache>
            </c:numRef>
          </c:yVal>
          <c:smooth val="0"/>
          <c:extLst>
            <c:ext xmlns:c16="http://schemas.microsoft.com/office/drawing/2014/chart" uri="{C3380CC4-5D6E-409C-BE32-E72D297353CC}">
              <c16:uniqueId val="{00000002-5BC9-458D-9593-781F71C6AD13}"/>
            </c:ext>
          </c:extLst>
        </c:ser>
        <c:ser>
          <c:idx val="1"/>
          <c:order val="4"/>
          <c:tx>
            <c:strRef>
              <c:f>'Daniel''s Metrics'!$I$2</c:f>
              <c:strCache>
                <c:ptCount val="1"/>
                <c:pt idx="0">
                  <c:v>71-85</c:v>
                </c:pt>
              </c:strCache>
            </c:strRef>
          </c:tx>
          <c:spPr>
            <a:ln w="19050" cap="rnd">
              <a:solidFill>
                <a:schemeClr val="tx1"/>
              </a:solidFill>
              <a:round/>
            </a:ln>
            <a:effectLst/>
          </c:spPr>
          <c:marker>
            <c:symbol val="none"/>
          </c:marker>
          <c:xVal>
            <c:numRef>
              <c:f>'Daniel''s Metrics'!$A$3:$A$21</c:f>
              <c:numCache>
                <c:formatCode>General</c:formatCode>
                <c:ptCount val="19"/>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numCache>
            </c:numRef>
          </c:xVal>
          <c:yVal>
            <c:numRef>
              <c:f>'Daniel''s Metrics'!$I$3:$I$20</c:f>
              <c:numCache>
                <c:formatCode>General</c:formatCode>
                <c:ptCount val="18"/>
                <c:pt idx="0">
                  <c:v>64</c:v>
                </c:pt>
                <c:pt idx="1">
                  <c:v>64</c:v>
                </c:pt>
                <c:pt idx="2">
                  <c:v>72</c:v>
                </c:pt>
                <c:pt idx="3">
                  <c:v>72</c:v>
                </c:pt>
                <c:pt idx="4">
                  <c:v>72</c:v>
                </c:pt>
                <c:pt idx="5">
                  <c:v>64</c:v>
                </c:pt>
                <c:pt idx="6">
                  <c:v>80</c:v>
                </c:pt>
                <c:pt idx="7">
                  <c:v>72</c:v>
                </c:pt>
                <c:pt idx="8">
                  <c:v>64</c:v>
                </c:pt>
                <c:pt idx="9">
                  <c:v>80</c:v>
                </c:pt>
                <c:pt idx="10">
                  <c:v>72</c:v>
                </c:pt>
                <c:pt idx="11">
                  <c:v>72</c:v>
                </c:pt>
                <c:pt idx="12">
                  <c:v>80</c:v>
                </c:pt>
                <c:pt idx="13">
                  <c:v>72</c:v>
                </c:pt>
                <c:pt idx="14">
                  <c:v>64</c:v>
                </c:pt>
                <c:pt idx="15">
                  <c:v>64</c:v>
                </c:pt>
                <c:pt idx="16">
                  <c:v>56</c:v>
                </c:pt>
                <c:pt idx="17">
                  <c:v>48</c:v>
                </c:pt>
              </c:numCache>
            </c:numRef>
          </c:yVal>
          <c:smooth val="0"/>
          <c:extLst>
            <c:ext xmlns:c16="http://schemas.microsoft.com/office/drawing/2014/chart" uri="{C3380CC4-5D6E-409C-BE32-E72D297353CC}">
              <c16:uniqueId val="{00000000-7E4A-4FF5-8B37-74C83B1EB781}"/>
            </c:ext>
          </c:extLst>
        </c:ser>
        <c:dLbls>
          <c:showLegendKey val="0"/>
          <c:showVal val="0"/>
          <c:showCatName val="0"/>
          <c:showSerName val="0"/>
          <c:showPercent val="0"/>
          <c:showBubbleSize val="0"/>
        </c:dLbls>
        <c:axId val="1930836928"/>
        <c:axId val="569272832"/>
      </c:scatterChart>
      <c:valAx>
        <c:axId val="1930836928"/>
        <c:scaling>
          <c:orientation val="minMax"/>
          <c:max val="19"/>
          <c:min val="1"/>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9272832"/>
        <c:crosses val="autoZero"/>
        <c:crossBetween val="midCat"/>
        <c:majorUnit val="1"/>
        <c:minorUnit val="0.5"/>
      </c:valAx>
      <c:valAx>
        <c:axId val="569272832"/>
        <c:scaling>
          <c:orientation val="minMax"/>
          <c:max val="85"/>
          <c:min val="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0836928"/>
        <c:crosses val="autoZero"/>
        <c:crossBetween val="midCat"/>
        <c:majorUnit val="5"/>
        <c:min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7-Day</a:t>
            </a:r>
            <a:r>
              <a:rPr lang="en-US" baseline="0"/>
              <a:t> Total Milage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'2Q - 80'!$T$7</c:f>
              <c:strCache>
                <c:ptCount val="1"/>
                <c:pt idx="0">
                  <c:v>7-day total</c:v>
                </c:pt>
              </c:strCache>
            </c:strRef>
          </c:tx>
          <c:spPr>
            <a:ln w="19050" cap="rnd">
              <a:solidFill>
                <a:schemeClr val="accent1"/>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- 80'!$T$8:$T$135</c:f>
              <c:numCache>
                <c:formatCode>General</c:formatCode>
                <c:ptCount val="128"/>
                <c:pt idx="0">
                  <c:v>12.43</c:v>
                </c:pt>
                <c:pt idx="1">
                  <c:v>15.55</c:v>
                </c:pt>
                <c:pt idx="2">
                  <c:v>21.580000000000002</c:v>
                </c:pt>
                <c:pt idx="3">
                  <c:v>34.42</c:v>
                </c:pt>
                <c:pt idx="4">
                  <c:v>43.120000000000005</c:v>
                </c:pt>
                <c:pt idx="5">
                  <c:v>49.17</c:v>
                </c:pt>
                <c:pt idx="6">
                  <c:v>55.18</c:v>
                </c:pt>
                <c:pt idx="7">
                  <c:v>58.79</c:v>
                </c:pt>
                <c:pt idx="8">
                  <c:v>61.699999999999996</c:v>
                </c:pt>
                <c:pt idx="9">
                  <c:v>62.92</c:v>
                </c:pt>
                <c:pt idx="10">
                  <c:v>61.11</c:v>
                </c:pt>
                <c:pt idx="11">
                  <c:v>57.76</c:v>
                </c:pt>
                <c:pt idx="12">
                  <c:v>62.86</c:v>
                </c:pt>
                <c:pt idx="13">
                  <c:v>56.85</c:v>
                </c:pt>
                <c:pt idx="14">
                  <c:v>40.81</c:v>
                </c:pt>
                <c:pt idx="15">
                  <c:v>42.93</c:v>
                </c:pt>
                <c:pt idx="16">
                  <c:v>43.91</c:v>
                </c:pt>
                <c:pt idx="17">
                  <c:v>44.999999999999993</c:v>
                </c:pt>
                <c:pt idx="18">
                  <c:v>48.26</c:v>
                </c:pt>
                <c:pt idx="19">
                  <c:v>51.58</c:v>
                </c:pt>
                <c:pt idx="20">
                  <c:v>56.41</c:v>
                </c:pt>
                <c:pt idx="21">
                  <c:v>74.44</c:v>
                </c:pt>
                <c:pt idx="22">
                  <c:v>72.309999999999988</c:v>
                </c:pt>
                <c:pt idx="23">
                  <c:v>72.16</c:v>
                </c:pt>
                <c:pt idx="24">
                  <c:v>73.059999999999988</c:v>
                </c:pt>
                <c:pt idx="25">
                  <c:v>73.059999999999988</c:v>
                </c:pt>
                <c:pt idx="26">
                  <c:v>68.78</c:v>
                </c:pt>
                <c:pt idx="27">
                  <c:v>82.27000000000001</c:v>
                </c:pt>
                <c:pt idx="28">
                  <c:v>73.25</c:v>
                </c:pt>
                <c:pt idx="29">
                  <c:v>72.820000000000007</c:v>
                </c:pt>
                <c:pt idx="30">
                  <c:v>72.849999999999994</c:v>
                </c:pt>
                <c:pt idx="31">
                  <c:v>75.959999999999994</c:v>
                </c:pt>
                <c:pt idx="32">
                  <c:v>74.449999999999989</c:v>
                </c:pt>
                <c:pt idx="33">
                  <c:v>72.27</c:v>
                </c:pt>
                <c:pt idx="34">
                  <c:v>61.97</c:v>
                </c:pt>
                <c:pt idx="35">
                  <c:v>72.11999999999999</c:v>
                </c:pt>
                <c:pt idx="36">
                  <c:v>72.659999999999982</c:v>
                </c:pt>
                <c:pt idx="37">
                  <c:v>72.649999999999977</c:v>
                </c:pt>
                <c:pt idx="38">
                  <c:v>64.94</c:v>
                </c:pt>
                <c:pt idx="39">
                  <c:v>63.940000000000005</c:v>
                </c:pt>
                <c:pt idx="40">
                  <c:v>69.97</c:v>
                </c:pt>
                <c:pt idx="41">
                  <c:v>67.66</c:v>
                </c:pt>
                <c:pt idx="42">
                  <c:v>68.59</c:v>
                </c:pt>
                <c:pt idx="43">
                  <c:v>68.47999999999999</c:v>
                </c:pt>
                <c:pt idx="44">
                  <c:v>72.34</c:v>
                </c:pt>
                <c:pt idx="45">
                  <c:v>81.27</c:v>
                </c:pt>
                <c:pt idx="46">
                  <c:v>83.210000000000008</c:v>
                </c:pt>
                <c:pt idx="47">
                  <c:v>80.510000000000005</c:v>
                </c:pt>
                <c:pt idx="48">
                  <c:v>82.3</c:v>
                </c:pt>
                <c:pt idx="49">
                  <c:v>82.31</c:v>
                </c:pt>
                <c:pt idx="50">
                  <c:v>83.309999999999988</c:v>
                </c:pt>
                <c:pt idx="51">
                  <c:v>78.95</c:v>
                </c:pt>
                <c:pt idx="52">
                  <c:v>79.14</c:v>
                </c:pt>
                <c:pt idx="53">
                  <c:v>78.11</c:v>
                </c:pt>
                <c:pt idx="54">
                  <c:v>77.790000000000006</c:v>
                </c:pt>
                <c:pt idx="55">
                  <c:v>75.69</c:v>
                </c:pt>
                <c:pt idx="56">
                  <c:v>75.77</c:v>
                </c:pt>
                <c:pt idx="57">
                  <c:v>73.77</c:v>
                </c:pt>
                <c:pt idx="58">
                  <c:v>71.179999999999993</c:v>
                </c:pt>
                <c:pt idx="59">
                  <c:v>64.949999999999989</c:v>
                </c:pt>
                <c:pt idx="60">
                  <c:v>63.010000000000005</c:v>
                </c:pt>
                <c:pt idx="61">
                  <c:v>70.02000000000001</c:v>
                </c:pt>
                <c:pt idx="62">
                  <c:v>69.63000000000001</c:v>
                </c:pt>
                <c:pt idx="63">
                  <c:v>69.55</c:v>
                </c:pt>
                <c:pt idx="64">
                  <c:v>72.070000000000007</c:v>
                </c:pt>
                <c:pt idx="65">
                  <c:v>81.210000000000008</c:v>
                </c:pt>
                <c:pt idx="66">
                  <c:v>79.180000000000007</c:v>
                </c:pt>
                <c:pt idx="67">
                  <c:v>94.13</c:v>
                </c:pt>
                <c:pt idx="68">
                  <c:v>81.199999999999989</c:v>
                </c:pt>
                <c:pt idx="69">
                  <c:v>83.28</c:v>
                </c:pt>
                <c:pt idx="70">
                  <c:v>63.179999999999993</c:v>
                </c:pt>
                <c:pt idx="71">
                  <c:v>60.34</c:v>
                </c:pt>
                <c:pt idx="72">
                  <c:v>56.849999999999994</c:v>
                </c:pt>
                <c:pt idx="73">
                  <c:v>63.599999999999994</c:v>
                </c:pt>
                <c:pt idx="74">
                  <c:v>51.61</c:v>
                </c:pt>
                <c:pt idx="75">
                  <c:v>52.63</c:v>
                </c:pt>
                <c:pt idx="76">
                  <c:v>55.76</c:v>
                </c:pt>
                <c:pt idx="77">
                  <c:v>73.789999999999992</c:v>
                </c:pt>
                <c:pt idx="78">
                  <c:v>77.290000000000006</c:v>
                </c:pt>
                <c:pt idx="79">
                  <c:v>72.650000000000006</c:v>
                </c:pt>
                <c:pt idx="80">
                  <c:v>68.359999999999985</c:v>
                </c:pt>
                <c:pt idx="81">
                  <c:v>68.88000000000001</c:v>
                </c:pt>
                <c:pt idx="82">
                  <c:v>77.850000000000009</c:v>
                </c:pt>
                <c:pt idx="83">
                  <c:v>72.680000000000007</c:v>
                </c:pt>
                <c:pt idx="84">
                  <c:v>74.830000000000013</c:v>
                </c:pt>
                <c:pt idx="85">
                  <c:v>74.64</c:v>
                </c:pt>
                <c:pt idx="86">
                  <c:v>78.61999999999999</c:v>
                </c:pt>
                <c:pt idx="87">
                  <c:v>80.89</c:v>
                </c:pt>
                <c:pt idx="88">
                  <c:v>85.51</c:v>
                </c:pt>
                <c:pt idx="89">
                  <c:v>80.53</c:v>
                </c:pt>
                <c:pt idx="90">
                  <c:v>80.52000000000001</c:v>
                </c:pt>
                <c:pt idx="91">
                  <c:v>80.349999999999994</c:v>
                </c:pt>
                <c:pt idx="92">
                  <c:v>80.09</c:v>
                </c:pt>
                <c:pt idx="93">
                  <c:v>81.2</c:v>
                </c:pt>
                <c:pt idx="94">
                  <c:v>79.19</c:v>
                </c:pt>
                <c:pt idx="95">
                  <c:v>77.449999999999989</c:v>
                </c:pt>
                <c:pt idx="96">
                  <c:v>77.36</c:v>
                </c:pt>
                <c:pt idx="97">
                  <c:v>79.050000000000011</c:v>
                </c:pt>
                <c:pt idx="98">
                  <c:v>77.430000000000007</c:v>
                </c:pt>
                <c:pt idx="99">
                  <c:v>74.900000000000006</c:v>
                </c:pt>
                <c:pt idx="100">
                  <c:v>73.13000000000001</c:v>
                </c:pt>
                <c:pt idx="101">
                  <c:v>74.149999999999991</c:v>
                </c:pt>
                <c:pt idx="102">
                  <c:v>68.95</c:v>
                </c:pt>
                <c:pt idx="103">
                  <c:v>68.010000000000005</c:v>
                </c:pt>
                <c:pt idx="104">
                  <c:v>67.36</c:v>
                </c:pt>
                <c:pt idx="105">
                  <c:v>67.069999999999993</c:v>
                </c:pt>
                <c:pt idx="106">
                  <c:v>67.89</c:v>
                </c:pt>
                <c:pt idx="107">
                  <c:v>63.949999999999996</c:v>
                </c:pt>
                <c:pt idx="108">
                  <c:v>63.3</c:v>
                </c:pt>
                <c:pt idx="109">
                  <c:v>65.08</c:v>
                </c:pt>
                <c:pt idx="110">
                  <c:v>63.999999999999993</c:v>
                </c:pt>
                <c:pt idx="111">
                  <c:v>76.179999999999993</c:v>
                </c:pt>
                <c:pt idx="112">
                  <c:v>65.13</c:v>
                </c:pt>
                <c:pt idx="113">
                  <c:v>64.34</c:v>
                </c:pt>
                <c:pt idx="114">
                  <c:v>64.739999999999995</c:v>
                </c:pt>
                <c:pt idx="115">
                  <c:v>68.069999999999993</c:v>
                </c:pt>
                <c:pt idx="116">
                  <c:v>67.42</c:v>
                </c:pt>
                <c:pt idx="117">
                  <c:v>70.92</c:v>
                </c:pt>
                <c:pt idx="118">
                  <c:v>58.819999999999993</c:v>
                </c:pt>
                <c:pt idx="119">
                  <c:v>60.839999999999996</c:v>
                </c:pt>
                <c:pt idx="120">
                  <c:v>64.599999999999994</c:v>
                </c:pt>
                <c:pt idx="121">
                  <c:v>64.34</c:v>
                </c:pt>
                <c:pt idx="122">
                  <c:v>57.79</c:v>
                </c:pt>
                <c:pt idx="123">
                  <c:v>56.78</c:v>
                </c:pt>
                <c:pt idx="124">
                  <c:v>50.28</c:v>
                </c:pt>
                <c:pt idx="125">
                  <c:v>46.93</c:v>
                </c:pt>
                <c:pt idx="126">
                  <c:v>40.88000000000001</c:v>
                </c:pt>
                <c:pt idx="127">
                  <c:v>58.069999999999993</c:v>
                </c:pt>
              </c:numCache>
            </c:numRef>
          </c:yVal>
          <c:smooth val="0"/>
          <c:extLst>
            <c:ext xmlns:c16="http://schemas.microsoft.com/office/drawing/2014/chart" uri="{C3380CC4-5D6E-409C-BE32-E72D297353CC}">
              <c16:uniqueId val="{00000000-B70A-451B-9382-874A50DBD177}"/>
            </c:ext>
          </c:extLst>
        </c:ser>
        <c:ser>
          <c:idx val="1"/>
          <c:order val="1"/>
          <c:tx>
            <c:v>70 mpw</c:v>
          </c:tx>
          <c:spPr>
            <a:ln w="19050" cap="rnd">
              <a:solidFill>
                <a:schemeClr val="accent2"/>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- 80'!$V$8:$V$135</c:f>
              <c:numCache>
                <c:formatCode>General</c:formatCode>
                <c:ptCount val="128"/>
                <c:pt idx="0">
                  <c:v>70</c:v>
                </c:pt>
                <c:pt idx="1">
                  <c:v>70</c:v>
                </c:pt>
                <c:pt idx="2">
                  <c:v>70</c:v>
                </c:pt>
                <c:pt idx="3">
                  <c:v>70</c:v>
                </c:pt>
                <c:pt idx="4">
                  <c:v>70</c:v>
                </c:pt>
                <c:pt idx="5">
                  <c:v>70</c:v>
                </c:pt>
                <c:pt idx="6">
                  <c:v>70</c:v>
                </c:pt>
                <c:pt idx="7">
                  <c:v>70</c:v>
                </c:pt>
                <c:pt idx="8">
                  <c:v>70</c:v>
                </c:pt>
                <c:pt idx="9">
                  <c:v>70</c:v>
                </c:pt>
                <c:pt idx="10">
                  <c:v>70</c:v>
                </c:pt>
                <c:pt idx="11">
                  <c:v>70</c:v>
                </c:pt>
                <c:pt idx="12">
                  <c:v>70</c:v>
                </c:pt>
                <c:pt idx="13">
                  <c:v>70</c:v>
                </c:pt>
                <c:pt idx="14">
                  <c:v>70</c:v>
                </c:pt>
                <c:pt idx="15">
                  <c:v>70</c:v>
                </c:pt>
                <c:pt idx="16">
                  <c:v>70</c:v>
                </c:pt>
                <c:pt idx="17">
                  <c:v>70</c:v>
                </c:pt>
                <c:pt idx="18">
                  <c:v>70</c:v>
                </c:pt>
                <c:pt idx="19">
                  <c:v>70</c:v>
                </c:pt>
                <c:pt idx="20">
                  <c:v>70</c:v>
                </c:pt>
                <c:pt idx="21">
                  <c:v>70</c:v>
                </c:pt>
                <c:pt idx="22">
                  <c:v>70</c:v>
                </c:pt>
                <c:pt idx="23">
                  <c:v>70</c:v>
                </c:pt>
                <c:pt idx="24">
                  <c:v>70</c:v>
                </c:pt>
                <c:pt idx="25">
                  <c:v>70</c:v>
                </c:pt>
                <c:pt idx="26">
                  <c:v>70</c:v>
                </c:pt>
                <c:pt idx="27">
                  <c:v>70</c:v>
                </c:pt>
                <c:pt idx="28">
                  <c:v>70</c:v>
                </c:pt>
                <c:pt idx="29">
                  <c:v>70</c:v>
                </c:pt>
                <c:pt idx="30">
                  <c:v>70</c:v>
                </c:pt>
                <c:pt idx="31">
                  <c:v>70</c:v>
                </c:pt>
                <c:pt idx="32">
                  <c:v>70</c:v>
                </c:pt>
                <c:pt idx="33">
                  <c:v>70</c:v>
                </c:pt>
                <c:pt idx="34">
                  <c:v>70</c:v>
                </c:pt>
                <c:pt idx="35">
                  <c:v>70</c:v>
                </c:pt>
                <c:pt idx="36">
                  <c:v>70</c:v>
                </c:pt>
                <c:pt idx="37">
                  <c:v>70</c:v>
                </c:pt>
                <c:pt idx="38">
                  <c:v>70</c:v>
                </c:pt>
                <c:pt idx="39">
                  <c:v>70</c:v>
                </c:pt>
                <c:pt idx="40">
                  <c:v>70</c:v>
                </c:pt>
                <c:pt idx="41">
                  <c:v>70</c:v>
                </c:pt>
                <c:pt idx="42">
                  <c:v>70</c:v>
                </c:pt>
                <c:pt idx="43">
                  <c:v>70</c:v>
                </c:pt>
                <c:pt idx="44">
                  <c:v>70</c:v>
                </c:pt>
                <c:pt idx="45">
                  <c:v>70</c:v>
                </c:pt>
                <c:pt idx="46">
                  <c:v>70</c:v>
                </c:pt>
                <c:pt idx="47">
                  <c:v>70</c:v>
                </c:pt>
                <c:pt idx="48">
                  <c:v>70</c:v>
                </c:pt>
                <c:pt idx="49">
                  <c:v>70</c:v>
                </c:pt>
                <c:pt idx="50">
                  <c:v>70</c:v>
                </c:pt>
                <c:pt idx="51">
                  <c:v>70</c:v>
                </c:pt>
                <c:pt idx="52">
                  <c:v>70</c:v>
                </c:pt>
                <c:pt idx="53">
                  <c:v>70</c:v>
                </c:pt>
                <c:pt idx="54">
                  <c:v>70</c:v>
                </c:pt>
                <c:pt idx="55">
                  <c:v>70</c:v>
                </c:pt>
                <c:pt idx="56">
                  <c:v>70</c:v>
                </c:pt>
                <c:pt idx="57">
                  <c:v>70</c:v>
                </c:pt>
                <c:pt idx="58">
                  <c:v>70</c:v>
                </c:pt>
                <c:pt idx="59">
                  <c:v>70</c:v>
                </c:pt>
                <c:pt idx="60">
                  <c:v>70</c:v>
                </c:pt>
                <c:pt idx="61">
                  <c:v>70</c:v>
                </c:pt>
                <c:pt idx="62">
                  <c:v>70</c:v>
                </c:pt>
                <c:pt idx="63">
                  <c:v>70</c:v>
                </c:pt>
                <c:pt idx="64">
                  <c:v>70</c:v>
                </c:pt>
                <c:pt idx="65">
                  <c:v>70</c:v>
                </c:pt>
                <c:pt idx="66">
                  <c:v>70</c:v>
                </c:pt>
                <c:pt idx="67">
                  <c:v>70</c:v>
                </c:pt>
                <c:pt idx="68">
                  <c:v>70</c:v>
                </c:pt>
                <c:pt idx="69">
                  <c:v>70</c:v>
                </c:pt>
                <c:pt idx="70">
                  <c:v>70</c:v>
                </c:pt>
                <c:pt idx="71">
                  <c:v>70</c:v>
                </c:pt>
                <c:pt idx="72">
                  <c:v>70</c:v>
                </c:pt>
                <c:pt idx="73">
                  <c:v>70</c:v>
                </c:pt>
                <c:pt idx="74">
                  <c:v>70</c:v>
                </c:pt>
                <c:pt idx="75">
                  <c:v>70</c:v>
                </c:pt>
                <c:pt idx="76">
                  <c:v>70</c:v>
                </c:pt>
                <c:pt idx="77">
                  <c:v>70</c:v>
                </c:pt>
                <c:pt idx="78">
                  <c:v>70</c:v>
                </c:pt>
                <c:pt idx="79">
                  <c:v>70</c:v>
                </c:pt>
                <c:pt idx="80">
                  <c:v>70</c:v>
                </c:pt>
                <c:pt idx="81">
                  <c:v>70</c:v>
                </c:pt>
                <c:pt idx="82">
                  <c:v>70</c:v>
                </c:pt>
                <c:pt idx="83">
                  <c:v>70</c:v>
                </c:pt>
                <c:pt idx="84">
                  <c:v>70</c:v>
                </c:pt>
                <c:pt idx="85">
                  <c:v>70</c:v>
                </c:pt>
                <c:pt idx="86">
                  <c:v>70</c:v>
                </c:pt>
                <c:pt idx="87">
                  <c:v>70</c:v>
                </c:pt>
                <c:pt idx="88">
                  <c:v>70</c:v>
                </c:pt>
                <c:pt idx="89">
                  <c:v>70</c:v>
                </c:pt>
                <c:pt idx="90">
                  <c:v>70</c:v>
                </c:pt>
                <c:pt idx="91">
                  <c:v>70</c:v>
                </c:pt>
                <c:pt idx="92">
                  <c:v>70</c:v>
                </c:pt>
                <c:pt idx="93">
                  <c:v>70</c:v>
                </c:pt>
                <c:pt idx="94">
                  <c:v>70</c:v>
                </c:pt>
                <c:pt idx="95">
                  <c:v>70</c:v>
                </c:pt>
                <c:pt idx="96">
                  <c:v>70</c:v>
                </c:pt>
                <c:pt idx="97">
                  <c:v>70</c:v>
                </c:pt>
                <c:pt idx="98">
                  <c:v>70</c:v>
                </c:pt>
                <c:pt idx="99">
                  <c:v>70</c:v>
                </c:pt>
                <c:pt idx="100">
                  <c:v>70</c:v>
                </c:pt>
                <c:pt idx="101">
                  <c:v>70</c:v>
                </c:pt>
                <c:pt idx="102">
                  <c:v>70</c:v>
                </c:pt>
                <c:pt idx="103">
                  <c:v>70</c:v>
                </c:pt>
                <c:pt idx="104">
                  <c:v>70</c:v>
                </c:pt>
                <c:pt idx="105">
                  <c:v>70</c:v>
                </c:pt>
                <c:pt idx="106">
                  <c:v>70</c:v>
                </c:pt>
                <c:pt idx="107">
                  <c:v>70</c:v>
                </c:pt>
                <c:pt idx="108">
                  <c:v>70</c:v>
                </c:pt>
                <c:pt idx="109">
                  <c:v>70</c:v>
                </c:pt>
                <c:pt idx="110">
                  <c:v>70</c:v>
                </c:pt>
                <c:pt idx="111">
                  <c:v>70</c:v>
                </c:pt>
                <c:pt idx="112">
                  <c:v>70</c:v>
                </c:pt>
                <c:pt idx="113">
                  <c:v>70</c:v>
                </c:pt>
                <c:pt idx="114">
                  <c:v>70</c:v>
                </c:pt>
                <c:pt idx="115">
                  <c:v>70</c:v>
                </c:pt>
                <c:pt idx="116">
                  <c:v>70</c:v>
                </c:pt>
                <c:pt idx="117">
                  <c:v>70</c:v>
                </c:pt>
                <c:pt idx="118">
                  <c:v>70</c:v>
                </c:pt>
                <c:pt idx="119">
                  <c:v>70</c:v>
                </c:pt>
                <c:pt idx="120">
                  <c:v>70</c:v>
                </c:pt>
                <c:pt idx="121">
                  <c:v>70</c:v>
                </c:pt>
                <c:pt idx="122">
                  <c:v>70</c:v>
                </c:pt>
                <c:pt idx="123">
                  <c:v>70</c:v>
                </c:pt>
                <c:pt idx="124">
                  <c:v>70</c:v>
                </c:pt>
                <c:pt idx="125">
                  <c:v>70</c:v>
                </c:pt>
                <c:pt idx="126">
                  <c:v>70</c:v>
                </c:pt>
                <c:pt idx="127">
                  <c:v>70</c:v>
                </c:pt>
              </c:numCache>
            </c:numRef>
          </c:yVal>
          <c:smooth val="0"/>
          <c:extLst>
            <c:ext xmlns:c16="http://schemas.microsoft.com/office/drawing/2014/chart" uri="{C3380CC4-5D6E-409C-BE32-E72D297353CC}">
              <c16:uniqueId val="{00000001-B70A-451B-9382-874A50DBD177}"/>
            </c:ext>
          </c:extLst>
        </c:ser>
        <c:ser>
          <c:idx val="3"/>
          <c:order val="3"/>
          <c:tx>
            <c:strRef>
              <c:f>'2Q - 80'!$W$7</c:f>
              <c:strCache>
                <c:ptCount val="1"/>
                <c:pt idx="0">
                  <c:v>Planned 7-day moving total</c:v>
                </c:pt>
              </c:strCache>
            </c:strRef>
          </c:tx>
          <c:spPr>
            <a:ln w="19050" cap="rnd">
              <a:solidFill>
                <a:schemeClr val="accent4"/>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- 80'!$W$8:$W$135</c:f>
              <c:numCache>
                <c:formatCode>General</c:formatCode>
                <c:ptCount val="128"/>
                <c:pt idx="7">
                  <c:v>63</c:v>
                </c:pt>
                <c:pt idx="8">
                  <c:v>65</c:v>
                </c:pt>
                <c:pt idx="9">
                  <c:v>64</c:v>
                </c:pt>
                <c:pt idx="10">
                  <c:v>64</c:v>
                </c:pt>
                <c:pt idx="11">
                  <c:v>63</c:v>
                </c:pt>
                <c:pt idx="12">
                  <c:v>65</c:v>
                </c:pt>
                <c:pt idx="13">
                  <c:v>78</c:v>
                </c:pt>
                <c:pt idx="14">
                  <c:v>70</c:v>
                </c:pt>
                <c:pt idx="15">
                  <c:v>72</c:v>
                </c:pt>
                <c:pt idx="16">
                  <c:v>74</c:v>
                </c:pt>
                <c:pt idx="17">
                  <c:v>69</c:v>
                </c:pt>
                <c:pt idx="18">
                  <c:v>69</c:v>
                </c:pt>
                <c:pt idx="19">
                  <c:v>76</c:v>
                </c:pt>
                <c:pt idx="20">
                  <c:v>63</c:v>
                </c:pt>
                <c:pt idx="21">
                  <c:v>73</c:v>
                </c:pt>
                <c:pt idx="22">
                  <c:v>69</c:v>
                </c:pt>
                <c:pt idx="23">
                  <c:v>69</c:v>
                </c:pt>
                <c:pt idx="24">
                  <c:v>75</c:v>
                </c:pt>
                <c:pt idx="25">
                  <c:v>77</c:v>
                </c:pt>
                <c:pt idx="26">
                  <c:v>70</c:v>
                </c:pt>
                <c:pt idx="27">
                  <c:v>82</c:v>
                </c:pt>
                <c:pt idx="28">
                  <c:v>74</c:v>
                </c:pt>
                <c:pt idx="29">
                  <c:v>74</c:v>
                </c:pt>
                <c:pt idx="30">
                  <c:v>74</c:v>
                </c:pt>
                <c:pt idx="31">
                  <c:v>75</c:v>
                </c:pt>
                <c:pt idx="32">
                  <c:v>74</c:v>
                </c:pt>
                <c:pt idx="33">
                  <c:v>76</c:v>
                </c:pt>
                <c:pt idx="34">
                  <c:v>64</c:v>
                </c:pt>
                <c:pt idx="35">
                  <c:v>72</c:v>
                </c:pt>
                <c:pt idx="36">
                  <c:v>72</c:v>
                </c:pt>
                <c:pt idx="37">
                  <c:v>72</c:v>
                </c:pt>
                <c:pt idx="38">
                  <c:v>63</c:v>
                </c:pt>
                <c:pt idx="39">
                  <c:v>62</c:v>
                </c:pt>
                <c:pt idx="40">
                  <c:v>69</c:v>
                </c:pt>
                <c:pt idx="41">
                  <c:v>69</c:v>
                </c:pt>
                <c:pt idx="42">
                  <c:v>70</c:v>
                </c:pt>
                <c:pt idx="43">
                  <c:v>72</c:v>
                </c:pt>
                <c:pt idx="44">
                  <c:v>74</c:v>
                </c:pt>
                <c:pt idx="45">
                  <c:v>82</c:v>
                </c:pt>
                <c:pt idx="46">
                  <c:v>84</c:v>
                </c:pt>
                <c:pt idx="47">
                  <c:v>77</c:v>
                </c:pt>
                <c:pt idx="48">
                  <c:v>79</c:v>
                </c:pt>
                <c:pt idx="49">
                  <c:v>80</c:v>
                </c:pt>
                <c:pt idx="50">
                  <c:v>79</c:v>
                </c:pt>
                <c:pt idx="51">
                  <c:v>76</c:v>
                </c:pt>
                <c:pt idx="52">
                  <c:v>77</c:v>
                </c:pt>
                <c:pt idx="53">
                  <c:v>77</c:v>
                </c:pt>
                <c:pt idx="54">
                  <c:v>76</c:v>
                </c:pt>
                <c:pt idx="55">
                  <c:v>73</c:v>
                </c:pt>
                <c:pt idx="56">
                  <c:v>72</c:v>
                </c:pt>
                <c:pt idx="57">
                  <c:v>70</c:v>
                </c:pt>
                <c:pt idx="58">
                  <c:v>68</c:v>
                </c:pt>
                <c:pt idx="59">
                  <c:v>61</c:v>
                </c:pt>
                <c:pt idx="60">
                  <c:v>58</c:v>
                </c:pt>
                <c:pt idx="61">
                  <c:v>67</c:v>
                </c:pt>
                <c:pt idx="62">
                  <c:v>67</c:v>
                </c:pt>
                <c:pt idx="63">
                  <c:v>68</c:v>
                </c:pt>
                <c:pt idx="64">
                  <c:v>73</c:v>
                </c:pt>
                <c:pt idx="65">
                  <c:v>84</c:v>
                </c:pt>
                <c:pt idx="66">
                  <c:v>82</c:v>
                </c:pt>
                <c:pt idx="67">
                  <c:v>97</c:v>
                </c:pt>
                <c:pt idx="68">
                  <c:v>87</c:v>
                </c:pt>
                <c:pt idx="69">
                  <c:v>92</c:v>
                </c:pt>
                <c:pt idx="70">
                  <c:v>80</c:v>
                </c:pt>
                <c:pt idx="71">
                  <c:v>77</c:v>
                </c:pt>
                <c:pt idx="72">
                  <c:v>69</c:v>
                </c:pt>
                <c:pt idx="73">
                  <c:v>78</c:v>
                </c:pt>
                <c:pt idx="74">
                  <c:v>65</c:v>
                </c:pt>
                <c:pt idx="75">
                  <c:v>67</c:v>
                </c:pt>
                <c:pt idx="76">
                  <c:v>64</c:v>
                </c:pt>
                <c:pt idx="77">
                  <c:v>74</c:v>
                </c:pt>
                <c:pt idx="78">
                  <c:v>75</c:v>
                </c:pt>
                <c:pt idx="79">
                  <c:v>75</c:v>
                </c:pt>
                <c:pt idx="80">
                  <c:v>68</c:v>
                </c:pt>
                <c:pt idx="81">
                  <c:v>66</c:v>
                </c:pt>
                <c:pt idx="82">
                  <c:v>71</c:v>
                </c:pt>
                <c:pt idx="83">
                  <c:v>69</c:v>
                </c:pt>
                <c:pt idx="84">
                  <c:v>71</c:v>
                </c:pt>
                <c:pt idx="85">
                  <c:v>71</c:v>
                </c:pt>
                <c:pt idx="86">
                  <c:v>73</c:v>
                </c:pt>
                <c:pt idx="87">
                  <c:v>77</c:v>
                </c:pt>
                <c:pt idx="88">
                  <c:v>82</c:v>
                </c:pt>
                <c:pt idx="89">
                  <c:v>79</c:v>
                </c:pt>
                <c:pt idx="90">
                  <c:v>81</c:v>
                </c:pt>
                <c:pt idx="91">
                  <c:v>80</c:v>
                </c:pt>
                <c:pt idx="92">
                  <c:v>80</c:v>
                </c:pt>
                <c:pt idx="93">
                  <c:v>80</c:v>
                </c:pt>
                <c:pt idx="94">
                  <c:v>80</c:v>
                </c:pt>
                <c:pt idx="95">
                  <c:v>77</c:v>
                </c:pt>
                <c:pt idx="96">
                  <c:v>77</c:v>
                </c:pt>
                <c:pt idx="97">
                  <c:v>77</c:v>
                </c:pt>
                <c:pt idx="98">
                  <c:v>74</c:v>
                </c:pt>
                <c:pt idx="99">
                  <c:v>72</c:v>
                </c:pt>
                <c:pt idx="100">
                  <c:v>72</c:v>
                </c:pt>
                <c:pt idx="101">
                  <c:v>70</c:v>
                </c:pt>
                <c:pt idx="102">
                  <c:v>70</c:v>
                </c:pt>
                <c:pt idx="103">
                  <c:v>68</c:v>
                </c:pt>
                <c:pt idx="104">
                  <c:v>66</c:v>
                </c:pt>
                <c:pt idx="105">
                  <c:v>68</c:v>
                </c:pt>
                <c:pt idx="106">
                  <c:v>68</c:v>
                </c:pt>
                <c:pt idx="107">
                  <c:v>66</c:v>
                </c:pt>
                <c:pt idx="108">
                  <c:v>66</c:v>
                </c:pt>
                <c:pt idx="109">
                  <c:v>67</c:v>
                </c:pt>
                <c:pt idx="110">
                  <c:v>65</c:v>
                </c:pt>
                <c:pt idx="111">
                  <c:v>78</c:v>
                </c:pt>
                <c:pt idx="112">
                  <c:v>68</c:v>
                </c:pt>
                <c:pt idx="113">
                  <c:v>67</c:v>
                </c:pt>
                <c:pt idx="114">
                  <c:v>65</c:v>
                </c:pt>
                <c:pt idx="115">
                  <c:v>69</c:v>
                </c:pt>
                <c:pt idx="116">
                  <c:v>67</c:v>
                </c:pt>
                <c:pt idx="117">
                  <c:v>71</c:v>
                </c:pt>
                <c:pt idx="118">
                  <c:v>58</c:v>
                </c:pt>
                <c:pt idx="119">
                  <c:v>58</c:v>
                </c:pt>
                <c:pt idx="120">
                  <c:v>63</c:v>
                </c:pt>
                <c:pt idx="121">
                  <c:v>65</c:v>
                </c:pt>
                <c:pt idx="122">
                  <c:v>58</c:v>
                </c:pt>
                <c:pt idx="123">
                  <c:v>59</c:v>
                </c:pt>
                <c:pt idx="124">
                  <c:v>52</c:v>
                </c:pt>
                <c:pt idx="125">
                  <c:v>50</c:v>
                </c:pt>
                <c:pt idx="126">
                  <c:v>45</c:v>
                </c:pt>
                <c:pt idx="127">
                  <c:v>35</c:v>
                </c:pt>
              </c:numCache>
            </c:numRef>
          </c:yVal>
          <c:smooth val="0"/>
          <c:extLst>
            <c:ext xmlns:c16="http://schemas.microsoft.com/office/drawing/2014/chart" uri="{C3380CC4-5D6E-409C-BE32-E72D297353CC}">
              <c16:uniqueId val="{00000001-3CC8-44C3-8D4D-96AD35F5DF4C}"/>
            </c:ext>
          </c:extLst>
        </c:ser>
        <c:dLbls>
          <c:showLegendKey val="0"/>
          <c:showVal val="0"/>
          <c:showCatName val="0"/>
          <c:showSerName val="0"/>
          <c:showPercent val="0"/>
          <c:showBubbleSize val="0"/>
        </c:dLbls>
        <c:axId val="1720669791"/>
        <c:axId val="1720680831"/>
        <c:extLst>
          <c:ext xmlns:c15="http://schemas.microsoft.com/office/drawing/2012/chart" uri="{02D57815-91ED-43cb-92C2-25804820EDAC}">
            <c15:filteredScatterSeries>
              <c15:ser>
                <c:idx val="2"/>
                <c:order val="2"/>
                <c:tx>
                  <c:strRef>
                    <c:extLst>
                      <c:ext uri="{02D57815-91ED-43cb-92C2-25804820EDAC}">
                        <c15:formulaRef>
                          <c15:sqref>'2Q - 80'!$X$7</c15:sqref>
                        </c15:formulaRef>
                      </c:ext>
                    </c:extLst>
                    <c:strCache>
                      <c:ptCount val="1"/>
                      <c:pt idx="0">
                        <c:v>Planned 7-day average</c:v>
                      </c:pt>
                    </c:strCache>
                  </c:strRef>
                </c:tx>
                <c:spPr>
                  <a:ln w="19050" cap="rnd">
                    <a:solidFill>
                      <a:schemeClr val="accent3"/>
                    </a:solidFill>
                    <a:round/>
                  </a:ln>
                  <a:effectLst/>
                </c:spPr>
                <c:marker>
                  <c:symbol val="none"/>
                </c:marker>
                <c:xVal>
                  <c:numRef>
                    <c:extLst>
                      <c:ext uri="{02D57815-91ED-43cb-92C2-25804820EDAC}">
                        <c15:formulaRef>
                          <c15:sqref>'2Q - 80'!$B$8:$B$135</c15:sqref>
                        </c15:formulaRef>
                      </c:ext>
                    </c:extLst>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extLst>
                      <c:ext uri="{02D57815-91ED-43cb-92C2-25804820EDAC}">
                        <c15:formulaRef>
                          <c15:sqref>'2Q - 80'!$X$8:$X$135</c15:sqref>
                        </c15:formulaRef>
                      </c:ext>
                    </c:extLst>
                    <c:numCache>
                      <c:formatCode>General</c:formatCode>
                      <c:ptCount val="128"/>
                      <c:pt idx="7" formatCode="0">
                        <c:v>9</c:v>
                      </c:pt>
                      <c:pt idx="8" formatCode="0">
                        <c:v>18.285714285714285</c:v>
                      </c:pt>
                      <c:pt idx="9" formatCode="0">
                        <c:v>27.428571428571427</c:v>
                      </c:pt>
                      <c:pt idx="10" formatCode="0">
                        <c:v>36.571428571428569</c:v>
                      </c:pt>
                      <c:pt idx="11" formatCode="0">
                        <c:v>45.571428571428569</c:v>
                      </c:pt>
                      <c:pt idx="12" formatCode="0">
                        <c:v>54.857142857142854</c:v>
                      </c:pt>
                      <c:pt idx="13" formatCode="0">
                        <c:v>66</c:v>
                      </c:pt>
                      <c:pt idx="14" formatCode="0">
                        <c:v>67</c:v>
                      </c:pt>
                      <c:pt idx="15" formatCode="0">
                        <c:v>68</c:v>
                      </c:pt>
                      <c:pt idx="16" formatCode="0">
                        <c:v>69.428571428571431</c:v>
                      </c:pt>
                      <c:pt idx="17" formatCode="0">
                        <c:v>70.142857142857139</c:v>
                      </c:pt>
                      <c:pt idx="18" formatCode="0">
                        <c:v>71</c:v>
                      </c:pt>
                      <c:pt idx="19" formatCode="0">
                        <c:v>72.571428571428569</c:v>
                      </c:pt>
                      <c:pt idx="20" formatCode="0">
                        <c:v>70.428571428571431</c:v>
                      </c:pt>
                      <c:pt idx="21" formatCode="0">
                        <c:v>70.857142857142861</c:v>
                      </c:pt>
                      <c:pt idx="22" formatCode="0">
                        <c:v>70.428571428571431</c:v>
                      </c:pt>
                      <c:pt idx="23" formatCode="0">
                        <c:v>69.714285714285708</c:v>
                      </c:pt>
                      <c:pt idx="24" formatCode="0">
                        <c:v>70.571428571428569</c:v>
                      </c:pt>
                      <c:pt idx="25" formatCode="0">
                        <c:v>71.714285714285708</c:v>
                      </c:pt>
                      <c:pt idx="26" formatCode="0">
                        <c:v>70.857142857142861</c:v>
                      </c:pt>
                      <c:pt idx="27" formatCode="0">
                        <c:v>73.571428571428569</c:v>
                      </c:pt>
                      <c:pt idx="28" formatCode="0">
                        <c:v>73.714285714285708</c:v>
                      </c:pt>
                      <c:pt idx="29" formatCode="0">
                        <c:v>74.428571428571431</c:v>
                      </c:pt>
                      <c:pt idx="30" formatCode="0">
                        <c:v>75.142857142857139</c:v>
                      </c:pt>
                      <c:pt idx="31" formatCode="0">
                        <c:v>75.142857142857139</c:v>
                      </c:pt>
                      <c:pt idx="32" formatCode="0">
                        <c:v>74.714285714285708</c:v>
                      </c:pt>
                      <c:pt idx="33" formatCode="0">
                        <c:v>75.571428571428569</c:v>
                      </c:pt>
                      <c:pt idx="34" formatCode="0">
                        <c:v>73</c:v>
                      </c:pt>
                      <c:pt idx="35" formatCode="0">
                        <c:v>72.714285714285708</c:v>
                      </c:pt>
                      <c:pt idx="36" formatCode="0">
                        <c:v>72.428571428571431</c:v>
                      </c:pt>
                      <c:pt idx="37" formatCode="0">
                        <c:v>72.142857142857139</c:v>
                      </c:pt>
                      <c:pt idx="38" formatCode="0">
                        <c:v>70.428571428571431</c:v>
                      </c:pt>
                      <c:pt idx="39" formatCode="0">
                        <c:v>68.714285714285708</c:v>
                      </c:pt>
                      <c:pt idx="40" formatCode="0">
                        <c:v>67.714285714285708</c:v>
                      </c:pt>
                      <c:pt idx="41" formatCode="0">
                        <c:v>68.428571428571431</c:v>
                      </c:pt>
                      <c:pt idx="42" formatCode="0">
                        <c:v>68.142857142857139</c:v>
                      </c:pt>
                      <c:pt idx="43" formatCode="0">
                        <c:v>68.142857142857139</c:v>
                      </c:pt>
                      <c:pt idx="44" formatCode="0">
                        <c:v>68.428571428571431</c:v>
                      </c:pt>
                      <c:pt idx="45" formatCode="0">
                        <c:v>71.142857142857139</c:v>
                      </c:pt>
                      <c:pt idx="46" formatCode="0">
                        <c:v>74.285714285714292</c:v>
                      </c:pt>
                      <c:pt idx="47" formatCode="0">
                        <c:v>75.428571428571431</c:v>
                      </c:pt>
                      <c:pt idx="48" formatCode="0">
                        <c:v>76.857142857142861</c:v>
                      </c:pt>
                      <c:pt idx="49" formatCode="0">
                        <c:v>78.285714285714292</c:v>
                      </c:pt>
                      <c:pt idx="50" formatCode="0">
                        <c:v>79.285714285714292</c:v>
                      </c:pt>
                      <c:pt idx="51" formatCode="0">
                        <c:v>79.571428571428569</c:v>
                      </c:pt>
                      <c:pt idx="52" formatCode="0">
                        <c:v>78.857142857142861</c:v>
                      </c:pt>
                      <c:pt idx="53" formatCode="0">
                        <c:v>77.857142857142861</c:v>
                      </c:pt>
                      <c:pt idx="54" formatCode="0">
                        <c:v>77.714285714285708</c:v>
                      </c:pt>
                      <c:pt idx="55" formatCode="0">
                        <c:v>76.857142857142861</c:v>
                      </c:pt>
                      <c:pt idx="56" formatCode="0">
                        <c:v>75.714285714285708</c:v>
                      </c:pt>
                      <c:pt idx="57" formatCode="0">
                        <c:v>74.428571428571431</c:v>
                      </c:pt>
                      <c:pt idx="58" formatCode="0">
                        <c:v>73.285714285714292</c:v>
                      </c:pt>
                      <c:pt idx="59" formatCode="0">
                        <c:v>71</c:v>
                      </c:pt>
                      <c:pt idx="60" formatCode="0">
                        <c:v>68.285714285714292</c:v>
                      </c:pt>
                      <c:pt idx="61" formatCode="0">
                        <c:v>67</c:v>
                      </c:pt>
                      <c:pt idx="62" formatCode="0">
                        <c:v>66.142857142857139</c:v>
                      </c:pt>
                      <c:pt idx="63" formatCode="0">
                        <c:v>65.571428571428569</c:v>
                      </c:pt>
                      <c:pt idx="64" formatCode="0">
                        <c:v>66</c:v>
                      </c:pt>
                      <c:pt idx="65" formatCode="0">
                        <c:v>68.285714285714292</c:v>
                      </c:pt>
                      <c:pt idx="66" formatCode="0">
                        <c:v>71.285714285714292</c:v>
                      </c:pt>
                      <c:pt idx="67" formatCode="0">
                        <c:v>76.857142857142861</c:v>
                      </c:pt>
                      <c:pt idx="68" formatCode="0">
                        <c:v>79.714285714285708</c:v>
                      </c:pt>
                      <c:pt idx="69" formatCode="0">
                        <c:v>83.285714285714292</c:v>
                      </c:pt>
                      <c:pt idx="70" formatCode="0">
                        <c:v>85</c:v>
                      </c:pt>
                      <c:pt idx="71" formatCode="0">
                        <c:v>85.571428571428569</c:v>
                      </c:pt>
                      <c:pt idx="72" formatCode="0">
                        <c:v>83.428571428571431</c:v>
                      </c:pt>
                      <c:pt idx="73" formatCode="0">
                        <c:v>82.857142857142861</c:v>
                      </c:pt>
                      <c:pt idx="74" formatCode="0">
                        <c:v>78.285714285714292</c:v>
                      </c:pt>
                      <c:pt idx="75" formatCode="0">
                        <c:v>75.428571428571431</c:v>
                      </c:pt>
                      <c:pt idx="76" formatCode="0">
                        <c:v>71.428571428571431</c:v>
                      </c:pt>
                      <c:pt idx="77" formatCode="0">
                        <c:v>70.571428571428569</c:v>
                      </c:pt>
                      <c:pt idx="78" formatCode="0">
                        <c:v>70.285714285714292</c:v>
                      </c:pt>
                      <c:pt idx="79" formatCode="0">
                        <c:v>71.142857142857139</c:v>
                      </c:pt>
                      <c:pt idx="80" formatCode="0">
                        <c:v>69.714285714285708</c:v>
                      </c:pt>
                      <c:pt idx="81" formatCode="0">
                        <c:v>69.857142857142861</c:v>
                      </c:pt>
                      <c:pt idx="82" formatCode="0">
                        <c:v>70.428571428571431</c:v>
                      </c:pt>
                      <c:pt idx="83" formatCode="0">
                        <c:v>71.142857142857139</c:v>
                      </c:pt>
                      <c:pt idx="84" formatCode="0">
                        <c:v>70.714285714285708</c:v>
                      </c:pt>
                      <c:pt idx="85" formatCode="0">
                        <c:v>70.142857142857139</c:v>
                      </c:pt>
                      <c:pt idx="86" formatCode="0">
                        <c:v>69.857142857142861</c:v>
                      </c:pt>
                      <c:pt idx="87" formatCode="0">
                        <c:v>71.142857142857139</c:v>
                      </c:pt>
                      <c:pt idx="88" formatCode="0">
                        <c:v>73.428571428571431</c:v>
                      </c:pt>
                      <c:pt idx="89" formatCode="0">
                        <c:v>74.571428571428569</c:v>
                      </c:pt>
                      <c:pt idx="90" formatCode="0">
                        <c:v>76.285714285714292</c:v>
                      </c:pt>
                      <c:pt idx="91" formatCode="0">
                        <c:v>77.571428571428569</c:v>
                      </c:pt>
                      <c:pt idx="92" formatCode="0">
                        <c:v>78.857142857142861</c:v>
                      </c:pt>
                      <c:pt idx="93" formatCode="0">
                        <c:v>79.857142857142861</c:v>
                      </c:pt>
                      <c:pt idx="94" formatCode="0">
                        <c:v>80.285714285714292</c:v>
                      </c:pt>
                      <c:pt idx="95" formatCode="0">
                        <c:v>79.571428571428569</c:v>
                      </c:pt>
                      <c:pt idx="96" formatCode="0">
                        <c:v>79.285714285714292</c:v>
                      </c:pt>
                      <c:pt idx="97" formatCode="0">
                        <c:v>78.714285714285708</c:v>
                      </c:pt>
                      <c:pt idx="98" formatCode="0">
                        <c:v>77.857142857142861</c:v>
                      </c:pt>
                      <c:pt idx="99" formatCode="0">
                        <c:v>76.714285714285708</c:v>
                      </c:pt>
                      <c:pt idx="100" formatCode="0">
                        <c:v>75.571428571428569</c:v>
                      </c:pt>
                      <c:pt idx="101" formatCode="0">
                        <c:v>74.142857142857139</c:v>
                      </c:pt>
                      <c:pt idx="102" formatCode="0">
                        <c:v>73.142857142857139</c:v>
                      </c:pt>
                      <c:pt idx="103" formatCode="0">
                        <c:v>71.857142857142861</c:v>
                      </c:pt>
                      <c:pt idx="104" formatCode="0">
                        <c:v>70.285714285714292</c:v>
                      </c:pt>
                      <c:pt idx="105" formatCode="0">
                        <c:v>69.428571428571431</c:v>
                      </c:pt>
                      <c:pt idx="106" formatCode="0">
                        <c:v>68.857142857142861</c:v>
                      </c:pt>
                      <c:pt idx="107" formatCode="0">
                        <c:v>68</c:v>
                      </c:pt>
                      <c:pt idx="108" formatCode="0">
                        <c:v>67.428571428571431</c:v>
                      </c:pt>
                      <c:pt idx="109" formatCode="0">
                        <c:v>67</c:v>
                      </c:pt>
                      <c:pt idx="110" formatCode="0">
                        <c:v>66.571428571428569</c:v>
                      </c:pt>
                      <c:pt idx="111" formatCode="0">
                        <c:v>68.285714285714292</c:v>
                      </c:pt>
                      <c:pt idx="112" formatCode="0">
                        <c:v>68.285714285714292</c:v>
                      </c:pt>
                      <c:pt idx="113" formatCode="0">
                        <c:v>68.142857142857139</c:v>
                      </c:pt>
                      <c:pt idx="114" formatCode="0">
                        <c:v>68</c:v>
                      </c:pt>
                      <c:pt idx="115" formatCode="0">
                        <c:v>68.428571428571431</c:v>
                      </c:pt>
                      <c:pt idx="116" formatCode="0">
                        <c:v>68.428571428571431</c:v>
                      </c:pt>
                      <c:pt idx="117" formatCode="0">
                        <c:v>69.285714285714292</c:v>
                      </c:pt>
                      <c:pt idx="118" formatCode="0">
                        <c:v>66.428571428571431</c:v>
                      </c:pt>
                      <c:pt idx="119" formatCode="0">
                        <c:v>65</c:v>
                      </c:pt>
                      <c:pt idx="120" formatCode="0">
                        <c:v>64.428571428571431</c:v>
                      </c:pt>
                      <c:pt idx="121" formatCode="0">
                        <c:v>64.428571428571431</c:v>
                      </c:pt>
                      <c:pt idx="122" formatCode="0">
                        <c:v>62.857142857142854</c:v>
                      </c:pt>
                      <c:pt idx="123" formatCode="0">
                        <c:v>61.714285714285715</c:v>
                      </c:pt>
                      <c:pt idx="124" formatCode="0">
                        <c:v>59</c:v>
                      </c:pt>
                      <c:pt idx="125" formatCode="0">
                        <c:v>57.857142857142854</c:v>
                      </c:pt>
                      <c:pt idx="126" formatCode="0">
                        <c:v>56</c:v>
                      </c:pt>
                      <c:pt idx="127" formatCode="0">
                        <c:v>52</c:v>
                      </c:pt>
                    </c:numCache>
                  </c:numRef>
                </c:yVal>
                <c:smooth val="0"/>
                <c:extLst>
                  <c:ext xmlns:c16="http://schemas.microsoft.com/office/drawing/2014/chart" uri="{C3380CC4-5D6E-409C-BE32-E72D297353CC}">
                    <c16:uniqueId val="{00000000-3CC8-44C3-8D4D-96AD35F5DF4C}"/>
                  </c:ext>
                </c:extLst>
              </c15:ser>
            </c15:filteredScatterSeries>
            <c15:filteredScatterSeries>
              <c15:ser>
                <c:idx val="4"/>
                <c:order val="4"/>
                <c:tx>
                  <c:strRef>
                    <c:extLst xmlns:c15="http://schemas.microsoft.com/office/drawing/2012/chart">
                      <c:ext xmlns:c15="http://schemas.microsoft.com/office/drawing/2012/chart" uri="{02D57815-91ED-43cb-92C2-25804820EDAC}">
                        <c15:formulaRef>
                          <c15:sqref>'2Q - 80'!$U$7</c15:sqref>
                        </c15:formulaRef>
                      </c:ext>
                    </c:extLst>
                    <c:strCache>
                      <c:ptCount val="1"/>
                      <c:pt idx="0">
                        <c:v>7-day average</c:v>
                      </c:pt>
                    </c:strCache>
                  </c:strRef>
                </c:tx>
                <c:spPr>
                  <a:ln w="19050" cap="rnd">
                    <a:solidFill>
                      <a:schemeClr val="accent5"/>
                    </a:solidFill>
                    <a:round/>
                  </a:ln>
                  <a:effectLst/>
                </c:spPr>
                <c:marker>
                  <c:symbol val="none"/>
                </c:marker>
                <c:xVal>
                  <c:numRef>
                    <c:extLst xmlns:c15="http://schemas.microsoft.com/office/drawing/2012/chart">
                      <c:ext xmlns:c15="http://schemas.microsoft.com/office/drawing/2012/chart" uri="{02D57815-91ED-43cb-92C2-25804820EDAC}">
                        <c15:formulaRef>
                          <c15:sqref>'2Q - 80'!$B$135</c15:sqref>
                        </c15:formulaRef>
                      </c:ext>
                    </c:extLst>
                    <c:numCache>
                      <c:formatCode>General</c:formatCode>
                      <c:ptCount val="1"/>
                      <c:pt idx="0">
                        <c:v>0</c:v>
                      </c:pt>
                    </c:numCache>
                  </c:numRef>
                </c:xVal>
                <c:yVal>
                  <c:numRef>
                    <c:extLst xmlns:c15="http://schemas.microsoft.com/office/drawing/2012/chart">
                      <c:ext xmlns:c15="http://schemas.microsoft.com/office/drawing/2012/chart" uri="{02D57815-91ED-43cb-92C2-25804820EDAC}">
                        <c15:formulaRef>
                          <c15:sqref>'2Q - 80'!$V$8:$V$135</c15:sqref>
                        </c15:formulaRef>
                      </c:ext>
                    </c:extLst>
                    <c:numCache>
                      <c:formatCode>General</c:formatCode>
                      <c:ptCount val="128"/>
                      <c:pt idx="0">
                        <c:v>70</c:v>
                      </c:pt>
                      <c:pt idx="1">
                        <c:v>70</c:v>
                      </c:pt>
                      <c:pt idx="2">
                        <c:v>70</c:v>
                      </c:pt>
                      <c:pt idx="3">
                        <c:v>70</c:v>
                      </c:pt>
                      <c:pt idx="4">
                        <c:v>70</c:v>
                      </c:pt>
                      <c:pt idx="5">
                        <c:v>70</c:v>
                      </c:pt>
                      <c:pt idx="6">
                        <c:v>70</c:v>
                      </c:pt>
                      <c:pt idx="7">
                        <c:v>70</c:v>
                      </c:pt>
                      <c:pt idx="8">
                        <c:v>70</c:v>
                      </c:pt>
                      <c:pt idx="9">
                        <c:v>70</c:v>
                      </c:pt>
                      <c:pt idx="10">
                        <c:v>70</c:v>
                      </c:pt>
                      <c:pt idx="11">
                        <c:v>70</c:v>
                      </c:pt>
                      <c:pt idx="12">
                        <c:v>70</c:v>
                      </c:pt>
                      <c:pt idx="13">
                        <c:v>70</c:v>
                      </c:pt>
                      <c:pt idx="14">
                        <c:v>70</c:v>
                      </c:pt>
                      <c:pt idx="15">
                        <c:v>70</c:v>
                      </c:pt>
                      <c:pt idx="16">
                        <c:v>70</c:v>
                      </c:pt>
                      <c:pt idx="17">
                        <c:v>70</c:v>
                      </c:pt>
                      <c:pt idx="18">
                        <c:v>70</c:v>
                      </c:pt>
                      <c:pt idx="19">
                        <c:v>70</c:v>
                      </c:pt>
                      <c:pt idx="20">
                        <c:v>70</c:v>
                      </c:pt>
                      <c:pt idx="21">
                        <c:v>70</c:v>
                      </c:pt>
                      <c:pt idx="22">
                        <c:v>70</c:v>
                      </c:pt>
                      <c:pt idx="23">
                        <c:v>70</c:v>
                      </c:pt>
                      <c:pt idx="24">
                        <c:v>70</c:v>
                      </c:pt>
                      <c:pt idx="25">
                        <c:v>70</c:v>
                      </c:pt>
                      <c:pt idx="26">
                        <c:v>70</c:v>
                      </c:pt>
                      <c:pt idx="27">
                        <c:v>70</c:v>
                      </c:pt>
                      <c:pt idx="28">
                        <c:v>70</c:v>
                      </c:pt>
                      <c:pt idx="29">
                        <c:v>70</c:v>
                      </c:pt>
                      <c:pt idx="30">
                        <c:v>70</c:v>
                      </c:pt>
                      <c:pt idx="31">
                        <c:v>70</c:v>
                      </c:pt>
                      <c:pt idx="32">
                        <c:v>70</c:v>
                      </c:pt>
                      <c:pt idx="33">
                        <c:v>70</c:v>
                      </c:pt>
                      <c:pt idx="34">
                        <c:v>70</c:v>
                      </c:pt>
                      <c:pt idx="35">
                        <c:v>70</c:v>
                      </c:pt>
                      <c:pt idx="36">
                        <c:v>70</c:v>
                      </c:pt>
                      <c:pt idx="37">
                        <c:v>70</c:v>
                      </c:pt>
                      <c:pt idx="38">
                        <c:v>70</c:v>
                      </c:pt>
                      <c:pt idx="39">
                        <c:v>70</c:v>
                      </c:pt>
                      <c:pt idx="40">
                        <c:v>70</c:v>
                      </c:pt>
                      <c:pt idx="41">
                        <c:v>70</c:v>
                      </c:pt>
                      <c:pt idx="42">
                        <c:v>70</c:v>
                      </c:pt>
                      <c:pt idx="43">
                        <c:v>70</c:v>
                      </c:pt>
                      <c:pt idx="44">
                        <c:v>70</c:v>
                      </c:pt>
                      <c:pt idx="45">
                        <c:v>70</c:v>
                      </c:pt>
                      <c:pt idx="46">
                        <c:v>70</c:v>
                      </c:pt>
                      <c:pt idx="47">
                        <c:v>70</c:v>
                      </c:pt>
                      <c:pt idx="48">
                        <c:v>70</c:v>
                      </c:pt>
                      <c:pt idx="49">
                        <c:v>70</c:v>
                      </c:pt>
                      <c:pt idx="50">
                        <c:v>70</c:v>
                      </c:pt>
                      <c:pt idx="51">
                        <c:v>70</c:v>
                      </c:pt>
                      <c:pt idx="52">
                        <c:v>70</c:v>
                      </c:pt>
                      <c:pt idx="53">
                        <c:v>70</c:v>
                      </c:pt>
                      <c:pt idx="54">
                        <c:v>70</c:v>
                      </c:pt>
                      <c:pt idx="55">
                        <c:v>70</c:v>
                      </c:pt>
                      <c:pt idx="56">
                        <c:v>70</c:v>
                      </c:pt>
                      <c:pt idx="57">
                        <c:v>70</c:v>
                      </c:pt>
                      <c:pt idx="58">
                        <c:v>70</c:v>
                      </c:pt>
                      <c:pt idx="59">
                        <c:v>70</c:v>
                      </c:pt>
                      <c:pt idx="60">
                        <c:v>70</c:v>
                      </c:pt>
                      <c:pt idx="61">
                        <c:v>70</c:v>
                      </c:pt>
                      <c:pt idx="62">
                        <c:v>70</c:v>
                      </c:pt>
                      <c:pt idx="63">
                        <c:v>70</c:v>
                      </c:pt>
                      <c:pt idx="64">
                        <c:v>70</c:v>
                      </c:pt>
                      <c:pt idx="65">
                        <c:v>70</c:v>
                      </c:pt>
                      <c:pt idx="66">
                        <c:v>70</c:v>
                      </c:pt>
                      <c:pt idx="67">
                        <c:v>70</c:v>
                      </c:pt>
                      <c:pt idx="68">
                        <c:v>70</c:v>
                      </c:pt>
                      <c:pt idx="69">
                        <c:v>70</c:v>
                      </c:pt>
                      <c:pt idx="70">
                        <c:v>70</c:v>
                      </c:pt>
                      <c:pt idx="71">
                        <c:v>70</c:v>
                      </c:pt>
                      <c:pt idx="72">
                        <c:v>70</c:v>
                      </c:pt>
                      <c:pt idx="73">
                        <c:v>70</c:v>
                      </c:pt>
                      <c:pt idx="74">
                        <c:v>70</c:v>
                      </c:pt>
                      <c:pt idx="75">
                        <c:v>70</c:v>
                      </c:pt>
                      <c:pt idx="76">
                        <c:v>70</c:v>
                      </c:pt>
                      <c:pt idx="77">
                        <c:v>70</c:v>
                      </c:pt>
                      <c:pt idx="78">
                        <c:v>70</c:v>
                      </c:pt>
                      <c:pt idx="79">
                        <c:v>70</c:v>
                      </c:pt>
                      <c:pt idx="80">
                        <c:v>70</c:v>
                      </c:pt>
                      <c:pt idx="81">
                        <c:v>70</c:v>
                      </c:pt>
                      <c:pt idx="82">
                        <c:v>70</c:v>
                      </c:pt>
                      <c:pt idx="83">
                        <c:v>70</c:v>
                      </c:pt>
                      <c:pt idx="84">
                        <c:v>70</c:v>
                      </c:pt>
                      <c:pt idx="85">
                        <c:v>70</c:v>
                      </c:pt>
                      <c:pt idx="86">
                        <c:v>70</c:v>
                      </c:pt>
                      <c:pt idx="87">
                        <c:v>70</c:v>
                      </c:pt>
                      <c:pt idx="88">
                        <c:v>70</c:v>
                      </c:pt>
                      <c:pt idx="89">
                        <c:v>70</c:v>
                      </c:pt>
                      <c:pt idx="90">
                        <c:v>70</c:v>
                      </c:pt>
                      <c:pt idx="91">
                        <c:v>70</c:v>
                      </c:pt>
                      <c:pt idx="92">
                        <c:v>70</c:v>
                      </c:pt>
                      <c:pt idx="93">
                        <c:v>70</c:v>
                      </c:pt>
                      <c:pt idx="94">
                        <c:v>70</c:v>
                      </c:pt>
                      <c:pt idx="95">
                        <c:v>70</c:v>
                      </c:pt>
                      <c:pt idx="96">
                        <c:v>70</c:v>
                      </c:pt>
                      <c:pt idx="97">
                        <c:v>70</c:v>
                      </c:pt>
                      <c:pt idx="98">
                        <c:v>70</c:v>
                      </c:pt>
                      <c:pt idx="99">
                        <c:v>70</c:v>
                      </c:pt>
                      <c:pt idx="100">
                        <c:v>70</c:v>
                      </c:pt>
                      <c:pt idx="101">
                        <c:v>70</c:v>
                      </c:pt>
                      <c:pt idx="102">
                        <c:v>70</c:v>
                      </c:pt>
                      <c:pt idx="103">
                        <c:v>70</c:v>
                      </c:pt>
                      <c:pt idx="104">
                        <c:v>70</c:v>
                      </c:pt>
                      <c:pt idx="105">
                        <c:v>70</c:v>
                      </c:pt>
                      <c:pt idx="106">
                        <c:v>70</c:v>
                      </c:pt>
                      <c:pt idx="107">
                        <c:v>70</c:v>
                      </c:pt>
                      <c:pt idx="108">
                        <c:v>70</c:v>
                      </c:pt>
                      <c:pt idx="109">
                        <c:v>70</c:v>
                      </c:pt>
                      <c:pt idx="110">
                        <c:v>70</c:v>
                      </c:pt>
                      <c:pt idx="111">
                        <c:v>70</c:v>
                      </c:pt>
                      <c:pt idx="112">
                        <c:v>70</c:v>
                      </c:pt>
                      <c:pt idx="113">
                        <c:v>70</c:v>
                      </c:pt>
                      <c:pt idx="114">
                        <c:v>70</c:v>
                      </c:pt>
                      <c:pt idx="115">
                        <c:v>70</c:v>
                      </c:pt>
                      <c:pt idx="116">
                        <c:v>70</c:v>
                      </c:pt>
                      <c:pt idx="117">
                        <c:v>70</c:v>
                      </c:pt>
                      <c:pt idx="118">
                        <c:v>70</c:v>
                      </c:pt>
                      <c:pt idx="119">
                        <c:v>70</c:v>
                      </c:pt>
                      <c:pt idx="120">
                        <c:v>70</c:v>
                      </c:pt>
                      <c:pt idx="121">
                        <c:v>70</c:v>
                      </c:pt>
                      <c:pt idx="122">
                        <c:v>70</c:v>
                      </c:pt>
                      <c:pt idx="123">
                        <c:v>70</c:v>
                      </c:pt>
                      <c:pt idx="124">
                        <c:v>70</c:v>
                      </c:pt>
                      <c:pt idx="125">
                        <c:v>70</c:v>
                      </c:pt>
                      <c:pt idx="126">
                        <c:v>70</c:v>
                      </c:pt>
                      <c:pt idx="127">
                        <c:v>70</c:v>
                      </c:pt>
                    </c:numCache>
                  </c:numRef>
                </c:yVal>
                <c:smooth val="0"/>
                <c:extLst xmlns:c15="http://schemas.microsoft.com/office/drawing/2012/chart">
                  <c:ext xmlns:c16="http://schemas.microsoft.com/office/drawing/2014/chart" uri="{C3380CC4-5D6E-409C-BE32-E72D297353CC}">
                    <c16:uniqueId val="{00000002-3CC8-44C3-8D4D-96AD35F5DF4C}"/>
                  </c:ext>
                </c:extLst>
              </c15:ser>
            </c15:filteredScatterSeries>
          </c:ext>
        </c:extLst>
      </c:scatterChart>
      <c:valAx>
        <c:axId val="1720669791"/>
        <c:scaling>
          <c:orientation val="maxMin"/>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80831"/>
        <c:crosses val="autoZero"/>
        <c:crossBetween val="midCat"/>
        <c:majorUnit val="7"/>
        <c:minorUnit val="1"/>
      </c:valAx>
      <c:valAx>
        <c:axId val="1720680831"/>
        <c:scaling>
          <c:orientation val="minMax"/>
          <c:min val="0"/>
        </c:scaling>
        <c:delete val="0"/>
        <c:axPos val="r"/>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69791"/>
        <c:crosses val="autoZero"/>
        <c:crossBetween val="midCat"/>
        <c:majorUnit val="10"/>
        <c:min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7-Day</a:t>
            </a:r>
            <a:r>
              <a:rPr lang="en-US" baseline="0"/>
              <a:t> Average Milage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1"/>
          <c:order val="1"/>
          <c:tx>
            <c:v>70 mpw</c:v>
          </c:tx>
          <c:spPr>
            <a:ln w="19050" cap="rnd">
              <a:solidFill>
                <a:schemeClr val="accent2"/>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- 80'!$V$8:$V$135</c:f>
              <c:numCache>
                <c:formatCode>General</c:formatCode>
                <c:ptCount val="128"/>
                <c:pt idx="0">
                  <c:v>70</c:v>
                </c:pt>
                <c:pt idx="1">
                  <c:v>70</c:v>
                </c:pt>
                <c:pt idx="2">
                  <c:v>70</c:v>
                </c:pt>
                <c:pt idx="3">
                  <c:v>70</c:v>
                </c:pt>
                <c:pt idx="4">
                  <c:v>70</c:v>
                </c:pt>
                <c:pt idx="5">
                  <c:v>70</c:v>
                </c:pt>
                <c:pt idx="6">
                  <c:v>70</c:v>
                </c:pt>
                <c:pt idx="7">
                  <c:v>70</c:v>
                </c:pt>
                <c:pt idx="8">
                  <c:v>70</c:v>
                </c:pt>
                <c:pt idx="9">
                  <c:v>70</c:v>
                </c:pt>
                <c:pt idx="10">
                  <c:v>70</c:v>
                </c:pt>
                <c:pt idx="11">
                  <c:v>70</c:v>
                </c:pt>
                <c:pt idx="12">
                  <c:v>70</c:v>
                </c:pt>
                <c:pt idx="13">
                  <c:v>70</c:v>
                </c:pt>
                <c:pt idx="14">
                  <c:v>70</c:v>
                </c:pt>
                <c:pt idx="15">
                  <c:v>70</c:v>
                </c:pt>
                <c:pt idx="16">
                  <c:v>70</c:v>
                </c:pt>
                <c:pt idx="17">
                  <c:v>70</c:v>
                </c:pt>
                <c:pt idx="18">
                  <c:v>70</c:v>
                </c:pt>
                <c:pt idx="19">
                  <c:v>70</c:v>
                </c:pt>
                <c:pt idx="20">
                  <c:v>70</c:v>
                </c:pt>
                <c:pt idx="21">
                  <c:v>70</c:v>
                </c:pt>
                <c:pt idx="22">
                  <c:v>70</c:v>
                </c:pt>
                <c:pt idx="23">
                  <c:v>70</c:v>
                </c:pt>
                <c:pt idx="24">
                  <c:v>70</c:v>
                </c:pt>
                <c:pt idx="25">
                  <c:v>70</c:v>
                </c:pt>
                <c:pt idx="26">
                  <c:v>70</c:v>
                </c:pt>
                <c:pt idx="27">
                  <c:v>70</c:v>
                </c:pt>
                <c:pt idx="28">
                  <c:v>70</c:v>
                </c:pt>
                <c:pt idx="29">
                  <c:v>70</c:v>
                </c:pt>
                <c:pt idx="30">
                  <c:v>70</c:v>
                </c:pt>
                <c:pt idx="31">
                  <c:v>70</c:v>
                </c:pt>
                <c:pt idx="32">
                  <c:v>70</c:v>
                </c:pt>
                <c:pt idx="33">
                  <c:v>70</c:v>
                </c:pt>
                <c:pt idx="34">
                  <c:v>70</c:v>
                </c:pt>
                <c:pt idx="35">
                  <c:v>70</c:v>
                </c:pt>
                <c:pt idx="36">
                  <c:v>70</c:v>
                </c:pt>
                <c:pt idx="37">
                  <c:v>70</c:v>
                </c:pt>
                <c:pt idx="38">
                  <c:v>70</c:v>
                </c:pt>
                <c:pt idx="39">
                  <c:v>70</c:v>
                </c:pt>
                <c:pt idx="40">
                  <c:v>70</c:v>
                </c:pt>
                <c:pt idx="41">
                  <c:v>70</c:v>
                </c:pt>
                <c:pt idx="42">
                  <c:v>70</c:v>
                </c:pt>
                <c:pt idx="43">
                  <c:v>70</c:v>
                </c:pt>
                <c:pt idx="44">
                  <c:v>70</c:v>
                </c:pt>
                <c:pt idx="45">
                  <c:v>70</c:v>
                </c:pt>
                <c:pt idx="46">
                  <c:v>70</c:v>
                </c:pt>
                <c:pt idx="47">
                  <c:v>70</c:v>
                </c:pt>
                <c:pt idx="48">
                  <c:v>70</c:v>
                </c:pt>
                <c:pt idx="49">
                  <c:v>70</c:v>
                </c:pt>
                <c:pt idx="50">
                  <c:v>70</c:v>
                </c:pt>
                <c:pt idx="51">
                  <c:v>70</c:v>
                </c:pt>
                <c:pt idx="52">
                  <c:v>70</c:v>
                </c:pt>
                <c:pt idx="53">
                  <c:v>70</c:v>
                </c:pt>
                <c:pt idx="54">
                  <c:v>70</c:v>
                </c:pt>
                <c:pt idx="55">
                  <c:v>70</c:v>
                </c:pt>
                <c:pt idx="56">
                  <c:v>70</c:v>
                </c:pt>
                <c:pt idx="57">
                  <c:v>70</c:v>
                </c:pt>
                <c:pt idx="58">
                  <c:v>70</c:v>
                </c:pt>
                <c:pt idx="59">
                  <c:v>70</c:v>
                </c:pt>
                <c:pt idx="60">
                  <c:v>70</c:v>
                </c:pt>
                <c:pt idx="61">
                  <c:v>70</c:v>
                </c:pt>
                <c:pt idx="62">
                  <c:v>70</c:v>
                </c:pt>
                <c:pt idx="63">
                  <c:v>70</c:v>
                </c:pt>
                <c:pt idx="64">
                  <c:v>70</c:v>
                </c:pt>
                <c:pt idx="65">
                  <c:v>70</c:v>
                </c:pt>
                <c:pt idx="66">
                  <c:v>70</c:v>
                </c:pt>
                <c:pt idx="67">
                  <c:v>70</c:v>
                </c:pt>
                <c:pt idx="68">
                  <c:v>70</c:v>
                </c:pt>
                <c:pt idx="69">
                  <c:v>70</c:v>
                </c:pt>
                <c:pt idx="70">
                  <c:v>70</c:v>
                </c:pt>
                <c:pt idx="71">
                  <c:v>70</c:v>
                </c:pt>
                <c:pt idx="72">
                  <c:v>70</c:v>
                </c:pt>
                <c:pt idx="73">
                  <c:v>70</c:v>
                </c:pt>
                <c:pt idx="74">
                  <c:v>70</c:v>
                </c:pt>
                <c:pt idx="75">
                  <c:v>70</c:v>
                </c:pt>
                <c:pt idx="76">
                  <c:v>70</c:v>
                </c:pt>
                <c:pt idx="77">
                  <c:v>70</c:v>
                </c:pt>
                <c:pt idx="78">
                  <c:v>70</c:v>
                </c:pt>
                <c:pt idx="79">
                  <c:v>70</c:v>
                </c:pt>
                <c:pt idx="80">
                  <c:v>70</c:v>
                </c:pt>
                <c:pt idx="81">
                  <c:v>70</c:v>
                </c:pt>
                <c:pt idx="82">
                  <c:v>70</c:v>
                </c:pt>
                <c:pt idx="83">
                  <c:v>70</c:v>
                </c:pt>
                <c:pt idx="84">
                  <c:v>70</c:v>
                </c:pt>
                <c:pt idx="85">
                  <c:v>70</c:v>
                </c:pt>
                <c:pt idx="86">
                  <c:v>70</c:v>
                </c:pt>
                <c:pt idx="87">
                  <c:v>70</c:v>
                </c:pt>
                <c:pt idx="88">
                  <c:v>70</c:v>
                </c:pt>
                <c:pt idx="89">
                  <c:v>70</c:v>
                </c:pt>
                <c:pt idx="90">
                  <c:v>70</c:v>
                </c:pt>
                <c:pt idx="91">
                  <c:v>70</c:v>
                </c:pt>
                <c:pt idx="92">
                  <c:v>70</c:v>
                </c:pt>
                <c:pt idx="93">
                  <c:v>70</c:v>
                </c:pt>
                <c:pt idx="94">
                  <c:v>70</c:v>
                </c:pt>
                <c:pt idx="95">
                  <c:v>70</c:v>
                </c:pt>
                <c:pt idx="96">
                  <c:v>70</c:v>
                </c:pt>
                <c:pt idx="97">
                  <c:v>70</c:v>
                </c:pt>
                <c:pt idx="98">
                  <c:v>70</c:v>
                </c:pt>
                <c:pt idx="99">
                  <c:v>70</c:v>
                </c:pt>
                <c:pt idx="100">
                  <c:v>70</c:v>
                </c:pt>
                <c:pt idx="101">
                  <c:v>70</c:v>
                </c:pt>
                <c:pt idx="102">
                  <c:v>70</c:v>
                </c:pt>
                <c:pt idx="103">
                  <c:v>70</c:v>
                </c:pt>
                <c:pt idx="104">
                  <c:v>70</c:v>
                </c:pt>
                <c:pt idx="105">
                  <c:v>70</c:v>
                </c:pt>
                <c:pt idx="106">
                  <c:v>70</c:v>
                </c:pt>
                <c:pt idx="107">
                  <c:v>70</c:v>
                </c:pt>
                <c:pt idx="108">
                  <c:v>70</c:v>
                </c:pt>
                <c:pt idx="109">
                  <c:v>70</c:v>
                </c:pt>
                <c:pt idx="110">
                  <c:v>70</c:v>
                </c:pt>
                <c:pt idx="111">
                  <c:v>70</c:v>
                </c:pt>
                <c:pt idx="112">
                  <c:v>70</c:v>
                </c:pt>
                <c:pt idx="113">
                  <c:v>70</c:v>
                </c:pt>
                <c:pt idx="114">
                  <c:v>70</c:v>
                </c:pt>
                <c:pt idx="115">
                  <c:v>70</c:v>
                </c:pt>
                <c:pt idx="116">
                  <c:v>70</c:v>
                </c:pt>
                <c:pt idx="117">
                  <c:v>70</c:v>
                </c:pt>
                <c:pt idx="118">
                  <c:v>70</c:v>
                </c:pt>
                <c:pt idx="119">
                  <c:v>70</c:v>
                </c:pt>
                <c:pt idx="120">
                  <c:v>70</c:v>
                </c:pt>
                <c:pt idx="121">
                  <c:v>70</c:v>
                </c:pt>
                <c:pt idx="122">
                  <c:v>70</c:v>
                </c:pt>
                <c:pt idx="123">
                  <c:v>70</c:v>
                </c:pt>
                <c:pt idx="124">
                  <c:v>70</c:v>
                </c:pt>
                <c:pt idx="125">
                  <c:v>70</c:v>
                </c:pt>
                <c:pt idx="126">
                  <c:v>70</c:v>
                </c:pt>
                <c:pt idx="127">
                  <c:v>70</c:v>
                </c:pt>
              </c:numCache>
            </c:numRef>
          </c:yVal>
          <c:smooth val="0"/>
          <c:extLst>
            <c:ext xmlns:c16="http://schemas.microsoft.com/office/drawing/2014/chart" uri="{C3380CC4-5D6E-409C-BE32-E72D297353CC}">
              <c16:uniqueId val="{00000001-16A7-4384-AA93-19FD2FE2AAF9}"/>
            </c:ext>
          </c:extLst>
        </c:ser>
        <c:ser>
          <c:idx val="2"/>
          <c:order val="2"/>
          <c:tx>
            <c:strRef>
              <c:f>'2Q - 80'!$X$7</c:f>
              <c:strCache>
                <c:ptCount val="1"/>
                <c:pt idx="0">
                  <c:v>Planned 7-day average</c:v>
                </c:pt>
              </c:strCache>
            </c:strRef>
          </c:tx>
          <c:spPr>
            <a:ln w="19050" cap="rnd">
              <a:solidFill>
                <a:schemeClr val="accent3"/>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- 80'!$X$8:$X$135</c:f>
              <c:numCache>
                <c:formatCode>General</c:formatCode>
                <c:ptCount val="128"/>
                <c:pt idx="7" formatCode="0">
                  <c:v>9</c:v>
                </c:pt>
                <c:pt idx="8" formatCode="0">
                  <c:v>18.285714285714285</c:v>
                </c:pt>
                <c:pt idx="9" formatCode="0">
                  <c:v>27.428571428571427</c:v>
                </c:pt>
                <c:pt idx="10" formatCode="0">
                  <c:v>36.571428571428569</c:v>
                </c:pt>
                <c:pt idx="11" formatCode="0">
                  <c:v>45.571428571428569</c:v>
                </c:pt>
                <c:pt idx="12" formatCode="0">
                  <c:v>54.857142857142854</c:v>
                </c:pt>
                <c:pt idx="13" formatCode="0">
                  <c:v>66</c:v>
                </c:pt>
                <c:pt idx="14" formatCode="0">
                  <c:v>67</c:v>
                </c:pt>
                <c:pt idx="15" formatCode="0">
                  <c:v>68</c:v>
                </c:pt>
                <c:pt idx="16" formatCode="0">
                  <c:v>69.428571428571431</c:v>
                </c:pt>
                <c:pt idx="17" formatCode="0">
                  <c:v>70.142857142857139</c:v>
                </c:pt>
                <c:pt idx="18" formatCode="0">
                  <c:v>71</c:v>
                </c:pt>
                <c:pt idx="19" formatCode="0">
                  <c:v>72.571428571428569</c:v>
                </c:pt>
                <c:pt idx="20" formatCode="0">
                  <c:v>70.428571428571431</c:v>
                </c:pt>
                <c:pt idx="21" formatCode="0">
                  <c:v>70.857142857142861</c:v>
                </c:pt>
                <c:pt idx="22" formatCode="0">
                  <c:v>70.428571428571431</c:v>
                </c:pt>
                <c:pt idx="23" formatCode="0">
                  <c:v>69.714285714285708</c:v>
                </c:pt>
                <c:pt idx="24" formatCode="0">
                  <c:v>70.571428571428569</c:v>
                </c:pt>
                <c:pt idx="25" formatCode="0">
                  <c:v>71.714285714285708</c:v>
                </c:pt>
                <c:pt idx="26" formatCode="0">
                  <c:v>70.857142857142861</c:v>
                </c:pt>
                <c:pt idx="27" formatCode="0">
                  <c:v>73.571428571428569</c:v>
                </c:pt>
                <c:pt idx="28" formatCode="0">
                  <c:v>73.714285714285708</c:v>
                </c:pt>
                <c:pt idx="29" formatCode="0">
                  <c:v>74.428571428571431</c:v>
                </c:pt>
                <c:pt idx="30" formatCode="0">
                  <c:v>75.142857142857139</c:v>
                </c:pt>
                <c:pt idx="31" formatCode="0">
                  <c:v>75.142857142857139</c:v>
                </c:pt>
                <c:pt idx="32" formatCode="0">
                  <c:v>74.714285714285708</c:v>
                </c:pt>
                <c:pt idx="33" formatCode="0">
                  <c:v>75.571428571428569</c:v>
                </c:pt>
                <c:pt idx="34" formatCode="0">
                  <c:v>73</c:v>
                </c:pt>
                <c:pt idx="35" formatCode="0">
                  <c:v>72.714285714285708</c:v>
                </c:pt>
                <c:pt idx="36" formatCode="0">
                  <c:v>72.428571428571431</c:v>
                </c:pt>
                <c:pt idx="37" formatCode="0">
                  <c:v>72.142857142857139</c:v>
                </c:pt>
                <c:pt idx="38" formatCode="0">
                  <c:v>70.428571428571431</c:v>
                </c:pt>
                <c:pt idx="39" formatCode="0">
                  <c:v>68.714285714285708</c:v>
                </c:pt>
                <c:pt idx="40" formatCode="0">
                  <c:v>67.714285714285708</c:v>
                </c:pt>
                <c:pt idx="41" formatCode="0">
                  <c:v>68.428571428571431</c:v>
                </c:pt>
                <c:pt idx="42" formatCode="0">
                  <c:v>68.142857142857139</c:v>
                </c:pt>
                <c:pt idx="43" formatCode="0">
                  <c:v>68.142857142857139</c:v>
                </c:pt>
                <c:pt idx="44" formatCode="0">
                  <c:v>68.428571428571431</c:v>
                </c:pt>
                <c:pt idx="45" formatCode="0">
                  <c:v>71.142857142857139</c:v>
                </c:pt>
                <c:pt idx="46" formatCode="0">
                  <c:v>74.285714285714292</c:v>
                </c:pt>
                <c:pt idx="47" formatCode="0">
                  <c:v>75.428571428571431</c:v>
                </c:pt>
                <c:pt idx="48" formatCode="0">
                  <c:v>76.857142857142861</c:v>
                </c:pt>
                <c:pt idx="49" formatCode="0">
                  <c:v>78.285714285714292</c:v>
                </c:pt>
                <c:pt idx="50" formatCode="0">
                  <c:v>79.285714285714292</c:v>
                </c:pt>
                <c:pt idx="51" formatCode="0">
                  <c:v>79.571428571428569</c:v>
                </c:pt>
                <c:pt idx="52" formatCode="0">
                  <c:v>78.857142857142861</c:v>
                </c:pt>
                <c:pt idx="53" formatCode="0">
                  <c:v>77.857142857142861</c:v>
                </c:pt>
                <c:pt idx="54" formatCode="0">
                  <c:v>77.714285714285708</c:v>
                </c:pt>
                <c:pt idx="55" formatCode="0">
                  <c:v>76.857142857142861</c:v>
                </c:pt>
                <c:pt idx="56" formatCode="0">
                  <c:v>75.714285714285708</c:v>
                </c:pt>
                <c:pt idx="57" formatCode="0">
                  <c:v>74.428571428571431</c:v>
                </c:pt>
                <c:pt idx="58" formatCode="0">
                  <c:v>73.285714285714292</c:v>
                </c:pt>
                <c:pt idx="59" formatCode="0">
                  <c:v>71</c:v>
                </c:pt>
                <c:pt idx="60" formatCode="0">
                  <c:v>68.285714285714292</c:v>
                </c:pt>
                <c:pt idx="61" formatCode="0">
                  <c:v>67</c:v>
                </c:pt>
                <c:pt idx="62" formatCode="0">
                  <c:v>66.142857142857139</c:v>
                </c:pt>
                <c:pt idx="63" formatCode="0">
                  <c:v>65.571428571428569</c:v>
                </c:pt>
                <c:pt idx="64" formatCode="0">
                  <c:v>66</c:v>
                </c:pt>
                <c:pt idx="65" formatCode="0">
                  <c:v>68.285714285714292</c:v>
                </c:pt>
                <c:pt idx="66" formatCode="0">
                  <c:v>71.285714285714292</c:v>
                </c:pt>
                <c:pt idx="67" formatCode="0">
                  <c:v>76.857142857142861</c:v>
                </c:pt>
                <c:pt idx="68" formatCode="0">
                  <c:v>79.714285714285708</c:v>
                </c:pt>
                <c:pt idx="69" formatCode="0">
                  <c:v>83.285714285714292</c:v>
                </c:pt>
                <c:pt idx="70" formatCode="0">
                  <c:v>85</c:v>
                </c:pt>
                <c:pt idx="71" formatCode="0">
                  <c:v>85.571428571428569</c:v>
                </c:pt>
                <c:pt idx="72" formatCode="0">
                  <c:v>83.428571428571431</c:v>
                </c:pt>
                <c:pt idx="73" formatCode="0">
                  <c:v>82.857142857142861</c:v>
                </c:pt>
                <c:pt idx="74" formatCode="0">
                  <c:v>78.285714285714292</c:v>
                </c:pt>
                <c:pt idx="75" formatCode="0">
                  <c:v>75.428571428571431</c:v>
                </c:pt>
                <c:pt idx="76" formatCode="0">
                  <c:v>71.428571428571431</c:v>
                </c:pt>
                <c:pt idx="77" formatCode="0">
                  <c:v>70.571428571428569</c:v>
                </c:pt>
                <c:pt idx="78" formatCode="0">
                  <c:v>70.285714285714292</c:v>
                </c:pt>
                <c:pt idx="79" formatCode="0">
                  <c:v>71.142857142857139</c:v>
                </c:pt>
                <c:pt idx="80" formatCode="0">
                  <c:v>69.714285714285708</c:v>
                </c:pt>
                <c:pt idx="81" formatCode="0">
                  <c:v>69.857142857142861</c:v>
                </c:pt>
                <c:pt idx="82" formatCode="0">
                  <c:v>70.428571428571431</c:v>
                </c:pt>
                <c:pt idx="83" formatCode="0">
                  <c:v>71.142857142857139</c:v>
                </c:pt>
                <c:pt idx="84" formatCode="0">
                  <c:v>70.714285714285708</c:v>
                </c:pt>
                <c:pt idx="85" formatCode="0">
                  <c:v>70.142857142857139</c:v>
                </c:pt>
                <c:pt idx="86" formatCode="0">
                  <c:v>69.857142857142861</c:v>
                </c:pt>
                <c:pt idx="87" formatCode="0">
                  <c:v>71.142857142857139</c:v>
                </c:pt>
                <c:pt idx="88" formatCode="0">
                  <c:v>73.428571428571431</c:v>
                </c:pt>
                <c:pt idx="89" formatCode="0">
                  <c:v>74.571428571428569</c:v>
                </c:pt>
                <c:pt idx="90" formatCode="0">
                  <c:v>76.285714285714292</c:v>
                </c:pt>
                <c:pt idx="91" formatCode="0">
                  <c:v>77.571428571428569</c:v>
                </c:pt>
                <c:pt idx="92" formatCode="0">
                  <c:v>78.857142857142861</c:v>
                </c:pt>
                <c:pt idx="93" formatCode="0">
                  <c:v>79.857142857142861</c:v>
                </c:pt>
                <c:pt idx="94" formatCode="0">
                  <c:v>80.285714285714292</c:v>
                </c:pt>
                <c:pt idx="95" formatCode="0">
                  <c:v>79.571428571428569</c:v>
                </c:pt>
                <c:pt idx="96" formatCode="0">
                  <c:v>79.285714285714292</c:v>
                </c:pt>
                <c:pt idx="97" formatCode="0">
                  <c:v>78.714285714285708</c:v>
                </c:pt>
                <c:pt idx="98" formatCode="0">
                  <c:v>77.857142857142861</c:v>
                </c:pt>
                <c:pt idx="99" formatCode="0">
                  <c:v>76.714285714285708</c:v>
                </c:pt>
                <c:pt idx="100" formatCode="0">
                  <c:v>75.571428571428569</c:v>
                </c:pt>
                <c:pt idx="101" formatCode="0">
                  <c:v>74.142857142857139</c:v>
                </c:pt>
                <c:pt idx="102" formatCode="0">
                  <c:v>73.142857142857139</c:v>
                </c:pt>
                <c:pt idx="103" formatCode="0">
                  <c:v>71.857142857142861</c:v>
                </c:pt>
                <c:pt idx="104" formatCode="0">
                  <c:v>70.285714285714292</c:v>
                </c:pt>
                <c:pt idx="105" formatCode="0">
                  <c:v>69.428571428571431</c:v>
                </c:pt>
                <c:pt idx="106" formatCode="0">
                  <c:v>68.857142857142861</c:v>
                </c:pt>
                <c:pt idx="107" formatCode="0">
                  <c:v>68</c:v>
                </c:pt>
                <c:pt idx="108" formatCode="0">
                  <c:v>67.428571428571431</c:v>
                </c:pt>
                <c:pt idx="109" formatCode="0">
                  <c:v>67</c:v>
                </c:pt>
                <c:pt idx="110" formatCode="0">
                  <c:v>66.571428571428569</c:v>
                </c:pt>
                <c:pt idx="111" formatCode="0">
                  <c:v>68.285714285714292</c:v>
                </c:pt>
                <c:pt idx="112" formatCode="0">
                  <c:v>68.285714285714292</c:v>
                </c:pt>
                <c:pt idx="113" formatCode="0">
                  <c:v>68.142857142857139</c:v>
                </c:pt>
                <c:pt idx="114" formatCode="0">
                  <c:v>68</c:v>
                </c:pt>
                <c:pt idx="115" formatCode="0">
                  <c:v>68.428571428571431</c:v>
                </c:pt>
                <c:pt idx="116" formatCode="0">
                  <c:v>68.428571428571431</c:v>
                </c:pt>
                <c:pt idx="117" formatCode="0">
                  <c:v>69.285714285714292</c:v>
                </c:pt>
                <c:pt idx="118" formatCode="0">
                  <c:v>66.428571428571431</c:v>
                </c:pt>
                <c:pt idx="119" formatCode="0">
                  <c:v>65</c:v>
                </c:pt>
                <c:pt idx="120" formatCode="0">
                  <c:v>64.428571428571431</c:v>
                </c:pt>
                <c:pt idx="121" formatCode="0">
                  <c:v>64.428571428571431</c:v>
                </c:pt>
                <c:pt idx="122" formatCode="0">
                  <c:v>62.857142857142854</c:v>
                </c:pt>
                <c:pt idx="123" formatCode="0">
                  <c:v>61.714285714285715</c:v>
                </c:pt>
                <c:pt idx="124" formatCode="0">
                  <c:v>59</c:v>
                </c:pt>
                <c:pt idx="125" formatCode="0">
                  <c:v>57.857142857142854</c:v>
                </c:pt>
                <c:pt idx="126" formatCode="0">
                  <c:v>56</c:v>
                </c:pt>
                <c:pt idx="127" formatCode="0">
                  <c:v>52</c:v>
                </c:pt>
              </c:numCache>
            </c:numRef>
          </c:yVal>
          <c:smooth val="0"/>
          <c:extLst>
            <c:ext xmlns:c16="http://schemas.microsoft.com/office/drawing/2014/chart" uri="{C3380CC4-5D6E-409C-BE32-E72D297353CC}">
              <c16:uniqueId val="{00000002-16A7-4384-AA93-19FD2FE2AAF9}"/>
            </c:ext>
          </c:extLst>
        </c:ser>
        <c:ser>
          <c:idx val="4"/>
          <c:order val="4"/>
          <c:tx>
            <c:strRef>
              <c:f>'2Q - 80'!$U$7</c:f>
              <c:strCache>
                <c:ptCount val="1"/>
                <c:pt idx="0">
                  <c:v>7-day average</c:v>
                </c:pt>
              </c:strCache>
            </c:strRef>
          </c:tx>
          <c:spPr>
            <a:ln w="19050" cap="rnd">
              <a:solidFill>
                <a:schemeClr val="accent5"/>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- 80'!$U$8:$U$135</c:f>
              <c:numCache>
                <c:formatCode>General</c:formatCode>
                <c:ptCount val="128"/>
                <c:pt idx="6" formatCode="0">
                  <c:v>33.064285714285717</c:v>
                </c:pt>
                <c:pt idx="7" formatCode="0">
                  <c:v>39.687142857142867</c:v>
                </c:pt>
                <c:pt idx="8" formatCode="0">
                  <c:v>46.280000000000008</c:v>
                </c:pt>
                <c:pt idx="9" formatCode="0">
                  <c:v>52.18571428571429</c:v>
                </c:pt>
                <c:pt idx="10" formatCode="0">
                  <c:v>55.998571428571431</c:v>
                </c:pt>
                <c:pt idx="11" formatCode="0">
                  <c:v>58.089999999999996</c:v>
                </c:pt>
                <c:pt idx="12" formatCode="0">
                  <c:v>60.045714285714283</c:v>
                </c:pt>
                <c:pt idx="13" formatCode="0">
                  <c:v>60.284285714285716</c:v>
                </c:pt>
                <c:pt idx="14" formatCode="0">
                  <c:v>57.715714285714292</c:v>
                </c:pt>
                <c:pt idx="15" formatCode="0">
                  <c:v>55.034285714285716</c:v>
                </c:pt>
                <c:pt idx="16" formatCode="0">
                  <c:v>52.318571428571431</c:v>
                </c:pt>
                <c:pt idx="17" formatCode="0">
                  <c:v>50.017142857142858</c:v>
                </c:pt>
                <c:pt idx="18" formatCode="0">
                  <c:v>48.660000000000004</c:v>
                </c:pt>
                <c:pt idx="19" formatCode="0">
                  <c:v>47.048571428571428</c:v>
                </c:pt>
                <c:pt idx="20" formatCode="0">
                  <c:v>46.98571428571428</c:v>
                </c:pt>
                <c:pt idx="21" formatCode="0">
                  <c:v>51.790000000000006</c:v>
                </c:pt>
                <c:pt idx="22" formatCode="0">
                  <c:v>55.987142857142864</c:v>
                </c:pt>
                <c:pt idx="23" formatCode="0">
                  <c:v>60.022857142857141</c:v>
                </c:pt>
                <c:pt idx="24" formatCode="0">
                  <c:v>64.031428571428563</c:v>
                </c:pt>
                <c:pt idx="25" formatCode="0">
                  <c:v>67.574285714285708</c:v>
                </c:pt>
                <c:pt idx="26" formatCode="0">
                  <c:v>70.031428571428563</c:v>
                </c:pt>
                <c:pt idx="27" formatCode="0">
                  <c:v>73.725714285714275</c:v>
                </c:pt>
                <c:pt idx="28" formatCode="0">
                  <c:v>73.555714285714288</c:v>
                </c:pt>
                <c:pt idx="29" formatCode="0">
                  <c:v>73.628571428571419</c:v>
                </c:pt>
                <c:pt idx="30" formatCode="0">
                  <c:v>73.727142857142852</c:v>
                </c:pt>
                <c:pt idx="31" formatCode="0">
                  <c:v>74.141428571428577</c:v>
                </c:pt>
                <c:pt idx="32" formatCode="0">
                  <c:v>74.34</c:v>
                </c:pt>
                <c:pt idx="33" formatCode="0">
                  <c:v>74.838571428571427</c:v>
                </c:pt>
                <c:pt idx="34" formatCode="0">
                  <c:v>71.938571428571422</c:v>
                </c:pt>
                <c:pt idx="35" formatCode="0">
                  <c:v>71.777142857142849</c:v>
                </c:pt>
                <c:pt idx="36" formatCode="0">
                  <c:v>71.754285714285714</c:v>
                </c:pt>
                <c:pt idx="37" formatCode="0">
                  <c:v>71.725714285714275</c:v>
                </c:pt>
                <c:pt idx="38" formatCode="0">
                  <c:v>70.151428571428553</c:v>
                </c:pt>
                <c:pt idx="39" formatCode="0">
                  <c:v>68.649999999999991</c:v>
                </c:pt>
                <c:pt idx="40" formatCode="0">
                  <c:v>68.321428571428555</c:v>
                </c:pt>
                <c:pt idx="41" formatCode="0">
                  <c:v>69.13428571428571</c:v>
                </c:pt>
                <c:pt idx="42" formatCode="0">
                  <c:v>68.63</c:v>
                </c:pt>
                <c:pt idx="43" formatCode="0">
                  <c:v>68.032857142857139</c:v>
                </c:pt>
                <c:pt idx="44" formatCode="0">
                  <c:v>67.988571428571433</c:v>
                </c:pt>
                <c:pt idx="45" formatCode="0">
                  <c:v>70.321428571428569</c:v>
                </c:pt>
                <c:pt idx="46" formatCode="0">
                  <c:v>73.074285714285708</c:v>
                </c:pt>
                <c:pt idx="47" formatCode="0">
                  <c:v>74.58</c:v>
                </c:pt>
                <c:pt idx="48" formatCode="0">
                  <c:v>76.671428571428564</c:v>
                </c:pt>
                <c:pt idx="49" formatCode="0">
                  <c:v>78.631428571428572</c:v>
                </c:pt>
                <c:pt idx="50" formatCode="0">
                  <c:v>80.75</c:v>
                </c:pt>
                <c:pt idx="51" formatCode="0">
                  <c:v>81.694285714285712</c:v>
                </c:pt>
                <c:pt idx="52" formatCode="0">
                  <c:v>81.39</c:v>
                </c:pt>
                <c:pt idx="53" formatCode="0">
                  <c:v>80.661428571428573</c:v>
                </c:pt>
                <c:pt idx="54" formatCode="0">
                  <c:v>80.272857142857134</c:v>
                </c:pt>
                <c:pt idx="55" formatCode="0">
                  <c:v>79.328571428571422</c:v>
                </c:pt>
                <c:pt idx="56" formatCode="0">
                  <c:v>78.394285714285715</c:v>
                </c:pt>
                <c:pt idx="57" formatCode="0">
                  <c:v>77.031428571428577</c:v>
                </c:pt>
                <c:pt idx="58" formatCode="0">
                  <c:v>75.921428571428564</c:v>
                </c:pt>
                <c:pt idx="59" formatCode="0">
                  <c:v>73.894285714285715</c:v>
                </c:pt>
                <c:pt idx="60" formatCode="0">
                  <c:v>71.737142857142857</c:v>
                </c:pt>
                <c:pt idx="61" formatCode="0">
                  <c:v>70.627142857142857</c:v>
                </c:pt>
                <c:pt idx="62" formatCode="0">
                  <c:v>69.761428571428567</c:v>
                </c:pt>
                <c:pt idx="63" formatCode="0">
                  <c:v>68.872857142857143</c:v>
                </c:pt>
                <c:pt idx="64" formatCode="0">
                  <c:v>68.63</c:v>
                </c:pt>
                <c:pt idx="65" formatCode="0">
                  <c:v>70.062857142857155</c:v>
                </c:pt>
                <c:pt idx="66" formatCode="0">
                  <c:v>72.095714285714294</c:v>
                </c:pt>
                <c:pt idx="67" formatCode="0">
                  <c:v>76.541428571428568</c:v>
                </c:pt>
                <c:pt idx="68" formatCode="0">
                  <c:v>78.138571428571439</c:v>
                </c:pt>
                <c:pt idx="69" formatCode="0">
                  <c:v>80.088571428571427</c:v>
                </c:pt>
                <c:pt idx="70" formatCode="0">
                  <c:v>79.178571428571431</c:v>
                </c:pt>
                <c:pt idx="71" formatCode="0">
                  <c:v>77.502857142857138</c:v>
                </c:pt>
                <c:pt idx="72" formatCode="0">
                  <c:v>74.022857142857134</c:v>
                </c:pt>
                <c:pt idx="73" formatCode="0">
                  <c:v>71.797142857142859</c:v>
                </c:pt>
                <c:pt idx="74" formatCode="0">
                  <c:v>65.722857142857151</c:v>
                </c:pt>
                <c:pt idx="75" formatCode="0">
                  <c:v>61.64142857142857</c:v>
                </c:pt>
                <c:pt idx="76" formatCode="0">
                  <c:v>57.709999999999994</c:v>
                </c:pt>
                <c:pt idx="77" formatCode="0">
                  <c:v>59.225714285714275</c:v>
                </c:pt>
                <c:pt idx="78" formatCode="0">
                  <c:v>61.64714285714286</c:v>
                </c:pt>
                <c:pt idx="79" formatCode="0">
                  <c:v>63.90428571428572</c:v>
                </c:pt>
                <c:pt idx="80" formatCode="0">
                  <c:v>64.584285714285713</c:v>
                </c:pt>
                <c:pt idx="81" formatCode="0">
                  <c:v>67.051428571428573</c:v>
                </c:pt>
                <c:pt idx="82" formatCode="0">
                  <c:v>70.65428571428572</c:v>
                </c:pt>
                <c:pt idx="83" formatCode="0">
                  <c:v>73.071428571428569</c:v>
                </c:pt>
                <c:pt idx="84" formatCode="0">
                  <c:v>73.220000000000013</c:v>
                </c:pt>
                <c:pt idx="85" formatCode="0">
                  <c:v>72.841428571428565</c:v>
                </c:pt>
                <c:pt idx="86" formatCode="0">
                  <c:v>73.694285714285712</c:v>
                </c:pt>
                <c:pt idx="87" formatCode="0">
                  <c:v>75.484285714285718</c:v>
                </c:pt>
                <c:pt idx="88" formatCode="0">
                  <c:v>77.860000000000014</c:v>
                </c:pt>
                <c:pt idx="89" formatCode="0">
                  <c:v>78.242857142857147</c:v>
                </c:pt>
                <c:pt idx="90" formatCode="0">
                  <c:v>79.362857142857138</c:v>
                </c:pt>
                <c:pt idx="91" formatCode="0">
                  <c:v>80.151428571428568</c:v>
                </c:pt>
                <c:pt idx="92" formatCode="0">
                  <c:v>80.929999999999993</c:v>
                </c:pt>
                <c:pt idx="93" formatCode="0">
                  <c:v>81.298571428571449</c:v>
                </c:pt>
                <c:pt idx="94" formatCode="0">
                  <c:v>81.055714285714288</c:v>
                </c:pt>
                <c:pt idx="95" formatCode="0">
                  <c:v>79.904285714285706</c:v>
                </c:pt>
                <c:pt idx="96" formatCode="0">
                  <c:v>79.451428571428565</c:v>
                </c:pt>
                <c:pt idx="97" formatCode="0">
                  <c:v>79.241428571428585</c:v>
                </c:pt>
                <c:pt idx="98" formatCode="0">
                  <c:v>78.824285714285708</c:v>
                </c:pt>
                <c:pt idx="99" formatCode="0">
                  <c:v>78.082857142857151</c:v>
                </c:pt>
                <c:pt idx="100" formatCode="0">
                  <c:v>76.929999999999993</c:v>
                </c:pt>
                <c:pt idx="101" formatCode="0">
                  <c:v>76.210000000000008</c:v>
                </c:pt>
                <c:pt idx="102" formatCode="0">
                  <c:v>74.995714285714286</c:v>
                </c:pt>
                <c:pt idx="103" formatCode="0">
                  <c:v>73.66</c:v>
                </c:pt>
                <c:pt idx="104" formatCode="0">
                  <c:v>71.989999999999995</c:v>
                </c:pt>
                <c:pt idx="105" formatCode="0">
                  <c:v>70.510000000000005</c:v>
                </c:pt>
                <c:pt idx="106" formatCode="0">
                  <c:v>69.508571428571429</c:v>
                </c:pt>
                <c:pt idx="107" formatCode="0">
                  <c:v>68.19714285714285</c:v>
                </c:pt>
                <c:pt idx="108" formatCode="0">
                  <c:v>66.647142857142853</c:v>
                </c:pt>
                <c:pt idx="109" formatCode="0">
                  <c:v>66.094285714285704</c:v>
                </c:pt>
                <c:pt idx="110" formatCode="0">
                  <c:v>65.521428571428572</c:v>
                </c:pt>
                <c:pt idx="111" formatCode="0">
                  <c:v>66.781428571428563</c:v>
                </c:pt>
                <c:pt idx="112" formatCode="0">
                  <c:v>66.504285714285714</c:v>
                </c:pt>
                <c:pt idx="113" formatCode="0">
                  <c:v>65.997142857142862</c:v>
                </c:pt>
                <c:pt idx="114" formatCode="0">
                  <c:v>66.11</c:v>
                </c:pt>
                <c:pt idx="115" formatCode="0">
                  <c:v>66.791428571428568</c:v>
                </c:pt>
                <c:pt idx="116" formatCode="0">
                  <c:v>67.125714285714281</c:v>
                </c:pt>
                <c:pt idx="117" formatCode="0">
                  <c:v>68.114285714285714</c:v>
                </c:pt>
                <c:pt idx="118" formatCode="0">
                  <c:v>65.63428571428571</c:v>
                </c:pt>
                <c:pt idx="119" formatCode="0">
                  <c:v>65.021428571428572</c:v>
                </c:pt>
                <c:pt idx="120" formatCode="0">
                  <c:v>65.058571428571426</c:v>
                </c:pt>
                <c:pt idx="121" formatCode="0">
                  <c:v>65.001428571428576</c:v>
                </c:pt>
                <c:pt idx="122" formatCode="0">
                  <c:v>63.532857142857154</c:v>
                </c:pt>
                <c:pt idx="123" formatCode="0">
                  <c:v>62.01285714285715</c:v>
                </c:pt>
                <c:pt idx="124" formatCode="0">
                  <c:v>59.064285714285703</c:v>
                </c:pt>
                <c:pt idx="125" formatCode="0">
                  <c:v>57.365714285714283</c:v>
                </c:pt>
                <c:pt idx="126" formatCode="0">
                  <c:v>54.514285714285712</c:v>
                </c:pt>
                <c:pt idx="127" formatCode="0">
                  <c:v>53.581428571428567</c:v>
                </c:pt>
              </c:numCache>
            </c:numRef>
          </c:yVal>
          <c:smooth val="0"/>
          <c:extLst>
            <c:ext xmlns:c16="http://schemas.microsoft.com/office/drawing/2014/chart" uri="{C3380CC4-5D6E-409C-BE32-E72D297353CC}">
              <c16:uniqueId val="{00000004-16A7-4384-AA93-19FD2FE2AAF9}"/>
            </c:ext>
          </c:extLst>
        </c:ser>
        <c:dLbls>
          <c:showLegendKey val="0"/>
          <c:showVal val="0"/>
          <c:showCatName val="0"/>
          <c:showSerName val="0"/>
          <c:showPercent val="0"/>
          <c:showBubbleSize val="0"/>
        </c:dLbls>
        <c:axId val="1720669791"/>
        <c:axId val="1720680831"/>
        <c:extLst>
          <c:ext xmlns:c15="http://schemas.microsoft.com/office/drawing/2012/chart" uri="{02D57815-91ED-43cb-92C2-25804820EDAC}">
            <c15:filteredScatterSeries>
              <c15:ser>
                <c:idx val="0"/>
                <c:order val="0"/>
                <c:tx>
                  <c:strRef>
                    <c:extLst>
                      <c:ext uri="{02D57815-91ED-43cb-92C2-25804820EDAC}">
                        <c15:formulaRef>
                          <c15:sqref>'2Q - 80'!$T$7</c15:sqref>
                        </c15:formulaRef>
                      </c:ext>
                    </c:extLst>
                    <c:strCache>
                      <c:ptCount val="1"/>
                      <c:pt idx="0">
                        <c:v>7-day total</c:v>
                      </c:pt>
                    </c:strCache>
                  </c:strRef>
                </c:tx>
                <c:spPr>
                  <a:ln w="19050" cap="rnd">
                    <a:solidFill>
                      <a:schemeClr val="accent1"/>
                    </a:solidFill>
                    <a:round/>
                  </a:ln>
                  <a:effectLst/>
                </c:spPr>
                <c:marker>
                  <c:symbol val="none"/>
                </c:marker>
                <c:xVal>
                  <c:numRef>
                    <c:extLst>
                      <c:ext uri="{02D57815-91ED-43cb-92C2-25804820EDAC}">
                        <c15:formulaRef>
                          <c15:sqref>'2Q - 80'!$B$8:$B$135</c15:sqref>
                        </c15:formulaRef>
                      </c:ext>
                    </c:extLst>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extLst>
                      <c:ext uri="{02D57815-91ED-43cb-92C2-25804820EDAC}">
                        <c15:formulaRef>
                          <c15:sqref>'2Q - 80'!$T$8:$T$135</c15:sqref>
                        </c15:formulaRef>
                      </c:ext>
                    </c:extLst>
                    <c:numCache>
                      <c:formatCode>General</c:formatCode>
                      <c:ptCount val="128"/>
                      <c:pt idx="0">
                        <c:v>12.43</c:v>
                      </c:pt>
                      <c:pt idx="1">
                        <c:v>15.55</c:v>
                      </c:pt>
                      <c:pt idx="2">
                        <c:v>21.580000000000002</c:v>
                      </c:pt>
                      <c:pt idx="3">
                        <c:v>34.42</c:v>
                      </c:pt>
                      <c:pt idx="4">
                        <c:v>43.120000000000005</c:v>
                      </c:pt>
                      <c:pt idx="5">
                        <c:v>49.17</c:v>
                      </c:pt>
                      <c:pt idx="6">
                        <c:v>55.18</c:v>
                      </c:pt>
                      <c:pt idx="7">
                        <c:v>58.79</c:v>
                      </c:pt>
                      <c:pt idx="8">
                        <c:v>61.699999999999996</c:v>
                      </c:pt>
                      <c:pt idx="9">
                        <c:v>62.92</c:v>
                      </c:pt>
                      <c:pt idx="10">
                        <c:v>61.11</c:v>
                      </c:pt>
                      <c:pt idx="11">
                        <c:v>57.76</c:v>
                      </c:pt>
                      <c:pt idx="12">
                        <c:v>62.86</c:v>
                      </c:pt>
                      <c:pt idx="13">
                        <c:v>56.85</c:v>
                      </c:pt>
                      <c:pt idx="14">
                        <c:v>40.81</c:v>
                      </c:pt>
                      <c:pt idx="15">
                        <c:v>42.93</c:v>
                      </c:pt>
                      <c:pt idx="16">
                        <c:v>43.91</c:v>
                      </c:pt>
                      <c:pt idx="17">
                        <c:v>44.999999999999993</c:v>
                      </c:pt>
                      <c:pt idx="18">
                        <c:v>48.26</c:v>
                      </c:pt>
                      <c:pt idx="19">
                        <c:v>51.58</c:v>
                      </c:pt>
                      <c:pt idx="20">
                        <c:v>56.41</c:v>
                      </c:pt>
                      <c:pt idx="21">
                        <c:v>74.44</c:v>
                      </c:pt>
                      <c:pt idx="22">
                        <c:v>72.309999999999988</c:v>
                      </c:pt>
                      <c:pt idx="23">
                        <c:v>72.16</c:v>
                      </c:pt>
                      <c:pt idx="24">
                        <c:v>73.059999999999988</c:v>
                      </c:pt>
                      <c:pt idx="25">
                        <c:v>73.059999999999988</c:v>
                      </c:pt>
                      <c:pt idx="26">
                        <c:v>68.78</c:v>
                      </c:pt>
                      <c:pt idx="27">
                        <c:v>82.27000000000001</c:v>
                      </c:pt>
                      <c:pt idx="28">
                        <c:v>73.25</c:v>
                      </c:pt>
                      <c:pt idx="29">
                        <c:v>72.820000000000007</c:v>
                      </c:pt>
                      <c:pt idx="30">
                        <c:v>72.849999999999994</c:v>
                      </c:pt>
                      <c:pt idx="31">
                        <c:v>75.959999999999994</c:v>
                      </c:pt>
                      <c:pt idx="32">
                        <c:v>74.449999999999989</c:v>
                      </c:pt>
                      <c:pt idx="33">
                        <c:v>72.27</c:v>
                      </c:pt>
                      <c:pt idx="34">
                        <c:v>61.97</c:v>
                      </c:pt>
                      <c:pt idx="35">
                        <c:v>72.11999999999999</c:v>
                      </c:pt>
                      <c:pt idx="36">
                        <c:v>72.659999999999982</c:v>
                      </c:pt>
                      <c:pt idx="37">
                        <c:v>72.649999999999977</c:v>
                      </c:pt>
                      <c:pt idx="38">
                        <c:v>64.94</c:v>
                      </c:pt>
                      <c:pt idx="39">
                        <c:v>63.940000000000005</c:v>
                      </c:pt>
                      <c:pt idx="40">
                        <c:v>69.97</c:v>
                      </c:pt>
                      <c:pt idx="41">
                        <c:v>67.66</c:v>
                      </c:pt>
                      <c:pt idx="42">
                        <c:v>68.59</c:v>
                      </c:pt>
                      <c:pt idx="43">
                        <c:v>68.47999999999999</c:v>
                      </c:pt>
                      <c:pt idx="44">
                        <c:v>72.34</c:v>
                      </c:pt>
                      <c:pt idx="45">
                        <c:v>81.27</c:v>
                      </c:pt>
                      <c:pt idx="46">
                        <c:v>83.210000000000008</c:v>
                      </c:pt>
                      <c:pt idx="47">
                        <c:v>80.510000000000005</c:v>
                      </c:pt>
                      <c:pt idx="48">
                        <c:v>82.3</c:v>
                      </c:pt>
                      <c:pt idx="49">
                        <c:v>82.31</c:v>
                      </c:pt>
                      <c:pt idx="50">
                        <c:v>83.309999999999988</c:v>
                      </c:pt>
                      <c:pt idx="51">
                        <c:v>78.95</c:v>
                      </c:pt>
                      <c:pt idx="52">
                        <c:v>79.14</c:v>
                      </c:pt>
                      <c:pt idx="53">
                        <c:v>78.11</c:v>
                      </c:pt>
                      <c:pt idx="54">
                        <c:v>77.790000000000006</c:v>
                      </c:pt>
                      <c:pt idx="55">
                        <c:v>75.69</c:v>
                      </c:pt>
                      <c:pt idx="56">
                        <c:v>75.77</c:v>
                      </c:pt>
                      <c:pt idx="57">
                        <c:v>73.77</c:v>
                      </c:pt>
                      <c:pt idx="58">
                        <c:v>71.179999999999993</c:v>
                      </c:pt>
                      <c:pt idx="59">
                        <c:v>64.949999999999989</c:v>
                      </c:pt>
                      <c:pt idx="60">
                        <c:v>63.010000000000005</c:v>
                      </c:pt>
                      <c:pt idx="61">
                        <c:v>70.02000000000001</c:v>
                      </c:pt>
                      <c:pt idx="62">
                        <c:v>69.63000000000001</c:v>
                      </c:pt>
                      <c:pt idx="63">
                        <c:v>69.55</c:v>
                      </c:pt>
                      <c:pt idx="64">
                        <c:v>72.070000000000007</c:v>
                      </c:pt>
                      <c:pt idx="65">
                        <c:v>81.210000000000008</c:v>
                      </c:pt>
                      <c:pt idx="66">
                        <c:v>79.180000000000007</c:v>
                      </c:pt>
                      <c:pt idx="67">
                        <c:v>94.13</c:v>
                      </c:pt>
                      <c:pt idx="68">
                        <c:v>81.199999999999989</c:v>
                      </c:pt>
                      <c:pt idx="69">
                        <c:v>83.28</c:v>
                      </c:pt>
                      <c:pt idx="70">
                        <c:v>63.179999999999993</c:v>
                      </c:pt>
                      <c:pt idx="71">
                        <c:v>60.34</c:v>
                      </c:pt>
                      <c:pt idx="72">
                        <c:v>56.849999999999994</c:v>
                      </c:pt>
                      <c:pt idx="73">
                        <c:v>63.599999999999994</c:v>
                      </c:pt>
                      <c:pt idx="74">
                        <c:v>51.61</c:v>
                      </c:pt>
                      <c:pt idx="75">
                        <c:v>52.63</c:v>
                      </c:pt>
                      <c:pt idx="76">
                        <c:v>55.76</c:v>
                      </c:pt>
                      <c:pt idx="77">
                        <c:v>73.789999999999992</c:v>
                      </c:pt>
                      <c:pt idx="78">
                        <c:v>77.290000000000006</c:v>
                      </c:pt>
                      <c:pt idx="79">
                        <c:v>72.650000000000006</c:v>
                      </c:pt>
                      <c:pt idx="80">
                        <c:v>68.359999999999985</c:v>
                      </c:pt>
                      <c:pt idx="81">
                        <c:v>68.88000000000001</c:v>
                      </c:pt>
                      <c:pt idx="82">
                        <c:v>77.850000000000009</c:v>
                      </c:pt>
                      <c:pt idx="83">
                        <c:v>72.680000000000007</c:v>
                      </c:pt>
                      <c:pt idx="84">
                        <c:v>74.830000000000013</c:v>
                      </c:pt>
                      <c:pt idx="85">
                        <c:v>74.64</c:v>
                      </c:pt>
                      <c:pt idx="86">
                        <c:v>78.61999999999999</c:v>
                      </c:pt>
                      <c:pt idx="87">
                        <c:v>80.89</c:v>
                      </c:pt>
                      <c:pt idx="88">
                        <c:v>85.51</c:v>
                      </c:pt>
                      <c:pt idx="89">
                        <c:v>80.53</c:v>
                      </c:pt>
                      <c:pt idx="90">
                        <c:v>80.52000000000001</c:v>
                      </c:pt>
                      <c:pt idx="91">
                        <c:v>80.349999999999994</c:v>
                      </c:pt>
                      <c:pt idx="92">
                        <c:v>80.09</c:v>
                      </c:pt>
                      <c:pt idx="93">
                        <c:v>81.2</c:v>
                      </c:pt>
                      <c:pt idx="94">
                        <c:v>79.19</c:v>
                      </c:pt>
                      <c:pt idx="95">
                        <c:v>77.449999999999989</c:v>
                      </c:pt>
                      <c:pt idx="96">
                        <c:v>77.36</c:v>
                      </c:pt>
                      <c:pt idx="97">
                        <c:v>79.050000000000011</c:v>
                      </c:pt>
                      <c:pt idx="98">
                        <c:v>77.430000000000007</c:v>
                      </c:pt>
                      <c:pt idx="99">
                        <c:v>74.900000000000006</c:v>
                      </c:pt>
                      <c:pt idx="100">
                        <c:v>73.13000000000001</c:v>
                      </c:pt>
                      <c:pt idx="101">
                        <c:v>74.149999999999991</c:v>
                      </c:pt>
                      <c:pt idx="102">
                        <c:v>68.95</c:v>
                      </c:pt>
                      <c:pt idx="103">
                        <c:v>68.010000000000005</c:v>
                      </c:pt>
                      <c:pt idx="104">
                        <c:v>67.36</c:v>
                      </c:pt>
                      <c:pt idx="105">
                        <c:v>67.069999999999993</c:v>
                      </c:pt>
                      <c:pt idx="106">
                        <c:v>67.89</c:v>
                      </c:pt>
                      <c:pt idx="107">
                        <c:v>63.949999999999996</c:v>
                      </c:pt>
                      <c:pt idx="108">
                        <c:v>63.3</c:v>
                      </c:pt>
                      <c:pt idx="109">
                        <c:v>65.08</c:v>
                      </c:pt>
                      <c:pt idx="110">
                        <c:v>63.999999999999993</c:v>
                      </c:pt>
                      <c:pt idx="111">
                        <c:v>76.179999999999993</c:v>
                      </c:pt>
                      <c:pt idx="112">
                        <c:v>65.13</c:v>
                      </c:pt>
                      <c:pt idx="113">
                        <c:v>64.34</c:v>
                      </c:pt>
                      <c:pt idx="114">
                        <c:v>64.739999999999995</c:v>
                      </c:pt>
                      <c:pt idx="115">
                        <c:v>68.069999999999993</c:v>
                      </c:pt>
                      <c:pt idx="116">
                        <c:v>67.42</c:v>
                      </c:pt>
                      <c:pt idx="117">
                        <c:v>70.92</c:v>
                      </c:pt>
                      <c:pt idx="118">
                        <c:v>58.819999999999993</c:v>
                      </c:pt>
                      <c:pt idx="119">
                        <c:v>60.839999999999996</c:v>
                      </c:pt>
                      <c:pt idx="120">
                        <c:v>64.599999999999994</c:v>
                      </c:pt>
                      <c:pt idx="121">
                        <c:v>64.34</c:v>
                      </c:pt>
                      <c:pt idx="122">
                        <c:v>57.79</c:v>
                      </c:pt>
                      <c:pt idx="123">
                        <c:v>56.78</c:v>
                      </c:pt>
                      <c:pt idx="124">
                        <c:v>50.28</c:v>
                      </c:pt>
                      <c:pt idx="125">
                        <c:v>46.93</c:v>
                      </c:pt>
                      <c:pt idx="126">
                        <c:v>40.88000000000001</c:v>
                      </c:pt>
                      <c:pt idx="127">
                        <c:v>58.069999999999993</c:v>
                      </c:pt>
                    </c:numCache>
                  </c:numRef>
                </c:yVal>
                <c:smooth val="0"/>
                <c:extLst>
                  <c:ext xmlns:c16="http://schemas.microsoft.com/office/drawing/2014/chart" uri="{C3380CC4-5D6E-409C-BE32-E72D297353CC}">
                    <c16:uniqueId val="{00000000-16A7-4384-AA93-19FD2FE2AAF9}"/>
                  </c:ext>
                </c:extLst>
              </c15:ser>
            </c15:filteredScatterSeries>
            <c15:filteredScatterSeries>
              <c15:ser>
                <c:idx val="3"/>
                <c:order val="3"/>
                <c:tx>
                  <c:strRef>
                    <c:extLst xmlns:c15="http://schemas.microsoft.com/office/drawing/2012/chart">
                      <c:ext xmlns:c15="http://schemas.microsoft.com/office/drawing/2012/chart" uri="{02D57815-91ED-43cb-92C2-25804820EDAC}">
                        <c15:formulaRef>
                          <c15:sqref>'2Q - 80'!$W$7</c15:sqref>
                        </c15:formulaRef>
                      </c:ext>
                    </c:extLst>
                    <c:strCache>
                      <c:ptCount val="1"/>
                      <c:pt idx="0">
                        <c:v>Planned 7-day moving total</c:v>
                      </c:pt>
                    </c:strCache>
                  </c:strRef>
                </c:tx>
                <c:spPr>
                  <a:ln w="19050" cap="rnd">
                    <a:solidFill>
                      <a:schemeClr val="accent4"/>
                    </a:solidFill>
                    <a:round/>
                  </a:ln>
                  <a:effectLst/>
                </c:spPr>
                <c:marker>
                  <c:symbol val="none"/>
                </c:marker>
                <c:xVal>
                  <c:numRef>
                    <c:extLst xmlns:c15="http://schemas.microsoft.com/office/drawing/2012/chart">
                      <c:ext xmlns:c15="http://schemas.microsoft.com/office/drawing/2012/chart" uri="{02D57815-91ED-43cb-92C2-25804820EDAC}">
                        <c15:formulaRef>
                          <c15:sqref>'2Q - 80'!$B$8:$B$135</c15:sqref>
                        </c15:formulaRef>
                      </c:ext>
                    </c:extLst>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extLst xmlns:c15="http://schemas.microsoft.com/office/drawing/2012/chart">
                      <c:ext xmlns:c15="http://schemas.microsoft.com/office/drawing/2012/chart" uri="{02D57815-91ED-43cb-92C2-25804820EDAC}">
                        <c15:formulaRef>
                          <c15:sqref>'2Q - 80'!$W$15:$W$135</c15:sqref>
                        </c15:formulaRef>
                      </c:ext>
                    </c:extLst>
                    <c:numCache>
                      <c:formatCode>General</c:formatCode>
                      <c:ptCount val="121"/>
                      <c:pt idx="0">
                        <c:v>63</c:v>
                      </c:pt>
                      <c:pt idx="1">
                        <c:v>65</c:v>
                      </c:pt>
                      <c:pt idx="2">
                        <c:v>64</c:v>
                      </c:pt>
                      <c:pt idx="3">
                        <c:v>64</c:v>
                      </c:pt>
                      <c:pt idx="4">
                        <c:v>63</c:v>
                      </c:pt>
                      <c:pt idx="5">
                        <c:v>65</c:v>
                      </c:pt>
                      <c:pt idx="6">
                        <c:v>78</c:v>
                      </c:pt>
                      <c:pt idx="7">
                        <c:v>70</c:v>
                      </c:pt>
                      <c:pt idx="8">
                        <c:v>72</c:v>
                      </c:pt>
                      <c:pt idx="9">
                        <c:v>74</c:v>
                      </c:pt>
                      <c:pt idx="10">
                        <c:v>69</c:v>
                      </c:pt>
                      <c:pt idx="11">
                        <c:v>69</c:v>
                      </c:pt>
                      <c:pt idx="12">
                        <c:v>76</c:v>
                      </c:pt>
                      <c:pt idx="13">
                        <c:v>63</c:v>
                      </c:pt>
                      <c:pt idx="14">
                        <c:v>73</c:v>
                      </c:pt>
                      <c:pt idx="15">
                        <c:v>69</c:v>
                      </c:pt>
                      <c:pt idx="16">
                        <c:v>69</c:v>
                      </c:pt>
                      <c:pt idx="17">
                        <c:v>75</c:v>
                      </c:pt>
                      <c:pt idx="18">
                        <c:v>77</c:v>
                      </c:pt>
                      <c:pt idx="19">
                        <c:v>70</c:v>
                      </c:pt>
                      <c:pt idx="20">
                        <c:v>82</c:v>
                      </c:pt>
                      <c:pt idx="21">
                        <c:v>74</c:v>
                      </c:pt>
                      <c:pt idx="22">
                        <c:v>74</c:v>
                      </c:pt>
                      <c:pt idx="23">
                        <c:v>74</c:v>
                      </c:pt>
                      <c:pt idx="24">
                        <c:v>75</c:v>
                      </c:pt>
                      <c:pt idx="25">
                        <c:v>74</c:v>
                      </c:pt>
                      <c:pt idx="26">
                        <c:v>76</c:v>
                      </c:pt>
                      <c:pt idx="27">
                        <c:v>64</c:v>
                      </c:pt>
                      <c:pt idx="28">
                        <c:v>72</c:v>
                      </c:pt>
                      <c:pt idx="29">
                        <c:v>72</c:v>
                      </c:pt>
                      <c:pt idx="30">
                        <c:v>72</c:v>
                      </c:pt>
                      <c:pt idx="31">
                        <c:v>63</c:v>
                      </c:pt>
                      <c:pt idx="32">
                        <c:v>62</c:v>
                      </c:pt>
                      <c:pt idx="33">
                        <c:v>69</c:v>
                      </c:pt>
                      <c:pt idx="34">
                        <c:v>69</c:v>
                      </c:pt>
                      <c:pt idx="35">
                        <c:v>70</c:v>
                      </c:pt>
                      <c:pt idx="36">
                        <c:v>72</c:v>
                      </c:pt>
                      <c:pt idx="37">
                        <c:v>74</c:v>
                      </c:pt>
                      <c:pt idx="38">
                        <c:v>82</c:v>
                      </c:pt>
                      <c:pt idx="39">
                        <c:v>84</c:v>
                      </c:pt>
                      <c:pt idx="40">
                        <c:v>77</c:v>
                      </c:pt>
                      <c:pt idx="41">
                        <c:v>79</c:v>
                      </c:pt>
                      <c:pt idx="42">
                        <c:v>80</c:v>
                      </c:pt>
                      <c:pt idx="43">
                        <c:v>79</c:v>
                      </c:pt>
                      <c:pt idx="44">
                        <c:v>76</c:v>
                      </c:pt>
                      <c:pt idx="45">
                        <c:v>77</c:v>
                      </c:pt>
                      <c:pt idx="46">
                        <c:v>77</c:v>
                      </c:pt>
                      <c:pt idx="47">
                        <c:v>76</c:v>
                      </c:pt>
                      <c:pt idx="48">
                        <c:v>73</c:v>
                      </c:pt>
                      <c:pt idx="49">
                        <c:v>72</c:v>
                      </c:pt>
                      <c:pt idx="50">
                        <c:v>70</c:v>
                      </c:pt>
                      <c:pt idx="51">
                        <c:v>68</c:v>
                      </c:pt>
                      <c:pt idx="52">
                        <c:v>61</c:v>
                      </c:pt>
                      <c:pt idx="53">
                        <c:v>58</c:v>
                      </c:pt>
                      <c:pt idx="54">
                        <c:v>67</c:v>
                      </c:pt>
                      <c:pt idx="55">
                        <c:v>67</c:v>
                      </c:pt>
                      <c:pt idx="56">
                        <c:v>68</c:v>
                      </c:pt>
                      <c:pt idx="57">
                        <c:v>73</c:v>
                      </c:pt>
                      <c:pt idx="58">
                        <c:v>84</c:v>
                      </c:pt>
                      <c:pt idx="59">
                        <c:v>82</c:v>
                      </c:pt>
                      <c:pt idx="60">
                        <c:v>97</c:v>
                      </c:pt>
                      <c:pt idx="61">
                        <c:v>87</c:v>
                      </c:pt>
                      <c:pt idx="62">
                        <c:v>92</c:v>
                      </c:pt>
                      <c:pt idx="63">
                        <c:v>80</c:v>
                      </c:pt>
                      <c:pt idx="64">
                        <c:v>77</c:v>
                      </c:pt>
                      <c:pt idx="65">
                        <c:v>69</c:v>
                      </c:pt>
                      <c:pt idx="66">
                        <c:v>78</c:v>
                      </c:pt>
                      <c:pt idx="67">
                        <c:v>65</c:v>
                      </c:pt>
                      <c:pt idx="68">
                        <c:v>67</c:v>
                      </c:pt>
                      <c:pt idx="69">
                        <c:v>64</c:v>
                      </c:pt>
                      <c:pt idx="70">
                        <c:v>74</c:v>
                      </c:pt>
                      <c:pt idx="71">
                        <c:v>75</c:v>
                      </c:pt>
                      <c:pt idx="72">
                        <c:v>75</c:v>
                      </c:pt>
                      <c:pt idx="73">
                        <c:v>68</c:v>
                      </c:pt>
                      <c:pt idx="74">
                        <c:v>66</c:v>
                      </c:pt>
                      <c:pt idx="75">
                        <c:v>71</c:v>
                      </c:pt>
                      <c:pt idx="76">
                        <c:v>69</c:v>
                      </c:pt>
                      <c:pt idx="77">
                        <c:v>71</c:v>
                      </c:pt>
                      <c:pt idx="78">
                        <c:v>71</c:v>
                      </c:pt>
                      <c:pt idx="79">
                        <c:v>73</c:v>
                      </c:pt>
                      <c:pt idx="80">
                        <c:v>77</c:v>
                      </c:pt>
                      <c:pt idx="81">
                        <c:v>82</c:v>
                      </c:pt>
                      <c:pt idx="82">
                        <c:v>79</c:v>
                      </c:pt>
                      <c:pt idx="83">
                        <c:v>81</c:v>
                      </c:pt>
                      <c:pt idx="84">
                        <c:v>80</c:v>
                      </c:pt>
                      <c:pt idx="85">
                        <c:v>80</c:v>
                      </c:pt>
                      <c:pt idx="86">
                        <c:v>80</c:v>
                      </c:pt>
                      <c:pt idx="87">
                        <c:v>80</c:v>
                      </c:pt>
                      <c:pt idx="88">
                        <c:v>77</c:v>
                      </c:pt>
                      <c:pt idx="89">
                        <c:v>77</c:v>
                      </c:pt>
                      <c:pt idx="90">
                        <c:v>77</c:v>
                      </c:pt>
                      <c:pt idx="91">
                        <c:v>74</c:v>
                      </c:pt>
                      <c:pt idx="92">
                        <c:v>72</c:v>
                      </c:pt>
                      <c:pt idx="93">
                        <c:v>72</c:v>
                      </c:pt>
                      <c:pt idx="94">
                        <c:v>70</c:v>
                      </c:pt>
                      <c:pt idx="95">
                        <c:v>70</c:v>
                      </c:pt>
                      <c:pt idx="96">
                        <c:v>68</c:v>
                      </c:pt>
                      <c:pt idx="97">
                        <c:v>66</c:v>
                      </c:pt>
                      <c:pt idx="98">
                        <c:v>68</c:v>
                      </c:pt>
                      <c:pt idx="99">
                        <c:v>68</c:v>
                      </c:pt>
                      <c:pt idx="100">
                        <c:v>66</c:v>
                      </c:pt>
                      <c:pt idx="101">
                        <c:v>66</c:v>
                      </c:pt>
                      <c:pt idx="102">
                        <c:v>67</c:v>
                      </c:pt>
                      <c:pt idx="103">
                        <c:v>65</c:v>
                      </c:pt>
                      <c:pt idx="104">
                        <c:v>78</c:v>
                      </c:pt>
                      <c:pt idx="105">
                        <c:v>68</c:v>
                      </c:pt>
                      <c:pt idx="106">
                        <c:v>67</c:v>
                      </c:pt>
                      <c:pt idx="107">
                        <c:v>65</c:v>
                      </c:pt>
                      <c:pt idx="108">
                        <c:v>69</c:v>
                      </c:pt>
                      <c:pt idx="109">
                        <c:v>67</c:v>
                      </c:pt>
                      <c:pt idx="110">
                        <c:v>71</c:v>
                      </c:pt>
                      <c:pt idx="111">
                        <c:v>58</c:v>
                      </c:pt>
                      <c:pt idx="112">
                        <c:v>58</c:v>
                      </c:pt>
                      <c:pt idx="113">
                        <c:v>63</c:v>
                      </c:pt>
                      <c:pt idx="114">
                        <c:v>65</c:v>
                      </c:pt>
                      <c:pt idx="115">
                        <c:v>58</c:v>
                      </c:pt>
                      <c:pt idx="116">
                        <c:v>59</c:v>
                      </c:pt>
                      <c:pt idx="117">
                        <c:v>52</c:v>
                      </c:pt>
                      <c:pt idx="118">
                        <c:v>50</c:v>
                      </c:pt>
                      <c:pt idx="119">
                        <c:v>45</c:v>
                      </c:pt>
                      <c:pt idx="120">
                        <c:v>35</c:v>
                      </c:pt>
                    </c:numCache>
                  </c:numRef>
                </c:yVal>
                <c:smooth val="0"/>
                <c:extLst xmlns:c15="http://schemas.microsoft.com/office/drawing/2012/chart">
                  <c:ext xmlns:c16="http://schemas.microsoft.com/office/drawing/2014/chart" uri="{C3380CC4-5D6E-409C-BE32-E72D297353CC}">
                    <c16:uniqueId val="{00000003-16A7-4384-AA93-19FD2FE2AAF9}"/>
                  </c:ext>
                </c:extLst>
              </c15:ser>
            </c15:filteredScatterSeries>
          </c:ext>
        </c:extLst>
      </c:scatterChart>
      <c:valAx>
        <c:axId val="1720669791"/>
        <c:scaling>
          <c:orientation val="maxMin"/>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80831"/>
        <c:crosses val="autoZero"/>
        <c:crossBetween val="midCat"/>
        <c:majorUnit val="7"/>
        <c:minorUnit val="1"/>
      </c:valAx>
      <c:valAx>
        <c:axId val="1720680831"/>
        <c:scaling>
          <c:orientation val="minMax"/>
          <c:min val="0"/>
        </c:scaling>
        <c:delete val="0"/>
        <c:axPos val="r"/>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69791"/>
        <c:crosses val="autoZero"/>
        <c:crossBetween val="midCat"/>
        <c:majorUnit val="10"/>
        <c:min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7-Day</a:t>
            </a:r>
            <a:r>
              <a:rPr lang="en-US" baseline="0"/>
              <a:t> Intensity Points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7-DayIntensity</c:v>
          </c:tx>
          <c:spPr>
            <a:ln w="19050" cap="rnd">
              <a:solidFill>
                <a:schemeClr val="tx1"/>
              </a:solidFill>
              <a:round/>
            </a:ln>
            <a:effectLst/>
          </c:spPr>
          <c:marker>
            <c:symbol val="none"/>
          </c:marker>
          <c:xVal>
            <c:numRef>
              <c:f>'2Q - 80'!$B$8:$B$135</c:f>
              <c:numCache>
                <c:formatCode>General</c:formatCode>
                <c:ptCount val="128"/>
                <c:pt idx="0">
                  <c:v>127</c:v>
                </c:pt>
                <c:pt idx="1">
                  <c:v>126</c:v>
                </c:pt>
                <c:pt idx="2">
                  <c:v>125</c:v>
                </c:pt>
                <c:pt idx="3">
                  <c:v>124</c:v>
                </c:pt>
                <c:pt idx="4">
                  <c:v>123</c:v>
                </c:pt>
                <c:pt idx="5">
                  <c:v>122</c:v>
                </c:pt>
                <c:pt idx="6">
                  <c:v>121</c:v>
                </c:pt>
                <c:pt idx="7">
                  <c:v>120</c:v>
                </c:pt>
                <c:pt idx="8">
                  <c:v>119</c:v>
                </c:pt>
                <c:pt idx="9">
                  <c:v>118</c:v>
                </c:pt>
                <c:pt idx="10">
                  <c:v>117</c:v>
                </c:pt>
                <c:pt idx="11">
                  <c:v>116</c:v>
                </c:pt>
                <c:pt idx="12">
                  <c:v>115</c:v>
                </c:pt>
                <c:pt idx="13">
                  <c:v>114</c:v>
                </c:pt>
                <c:pt idx="14">
                  <c:v>113</c:v>
                </c:pt>
                <c:pt idx="15">
                  <c:v>112</c:v>
                </c:pt>
                <c:pt idx="16">
                  <c:v>111</c:v>
                </c:pt>
                <c:pt idx="17">
                  <c:v>110</c:v>
                </c:pt>
                <c:pt idx="18">
                  <c:v>109</c:v>
                </c:pt>
                <c:pt idx="19">
                  <c:v>108</c:v>
                </c:pt>
                <c:pt idx="20">
                  <c:v>107</c:v>
                </c:pt>
                <c:pt idx="21">
                  <c:v>106</c:v>
                </c:pt>
                <c:pt idx="22">
                  <c:v>105</c:v>
                </c:pt>
                <c:pt idx="23">
                  <c:v>104</c:v>
                </c:pt>
                <c:pt idx="24">
                  <c:v>103</c:v>
                </c:pt>
                <c:pt idx="25">
                  <c:v>102</c:v>
                </c:pt>
                <c:pt idx="26">
                  <c:v>101</c:v>
                </c:pt>
                <c:pt idx="27">
                  <c:v>100</c:v>
                </c:pt>
                <c:pt idx="28">
                  <c:v>99</c:v>
                </c:pt>
                <c:pt idx="29">
                  <c:v>98</c:v>
                </c:pt>
                <c:pt idx="30">
                  <c:v>97</c:v>
                </c:pt>
                <c:pt idx="31">
                  <c:v>96</c:v>
                </c:pt>
                <c:pt idx="32">
                  <c:v>95</c:v>
                </c:pt>
                <c:pt idx="33">
                  <c:v>94</c:v>
                </c:pt>
                <c:pt idx="34">
                  <c:v>93</c:v>
                </c:pt>
                <c:pt idx="35">
                  <c:v>92</c:v>
                </c:pt>
                <c:pt idx="36">
                  <c:v>91</c:v>
                </c:pt>
                <c:pt idx="37">
                  <c:v>90</c:v>
                </c:pt>
                <c:pt idx="38">
                  <c:v>89</c:v>
                </c:pt>
                <c:pt idx="39">
                  <c:v>88</c:v>
                </c:pt>
                <c:pt idx="40">
                  <c:v>87</c:v>
                </c:pt>
                <c:pt idx="41">
                  <c:v>86</c:v>
                </c:pt>
                <c:pt idx="42">
                  <c:v>85</c:v>
                </c:pt>
                <c:pt idx="43">
                  <c:v>84</c:v>
                </c:pt>
                <c:pt idx="44">
                  <c:v>83</c:v>
                </c:pt>
                <c:pt idx="45">
                  <c:v>82</c:v>
                </c:pt>
                <c:pt idx="46">
                  <c:v>81</c:v>
                </c:pt>
                <c:pt idx="47">
                  <c:v>80</c:v>
                </c:pt>
                <c:pt idx="48">
                  <c:v>79</c:v>
                </c:pt>
                <c:pt idx="49">
                  <c:v>78</c:v>
                </c:pt>
                <c:pt idx="50">
                  <c:v>77</c:v>
                </c:pt>
                <c:pt idx="51">
                  <c:v>76</c:v>
                </c:pt>
                <c:pt idx="52">
                  <c:v>75</c:v>
                </c:pt>
                <c:pt idx="53">
                  <c:v>74</c:v>
                </c:pt>
                <c:pt idx="54">
                  <c:v>73</c:v>
                </c:pt>
                <c:pt idx="55">
                  <c:v>72</c:v>
                </c:pt>
                <c:pt idx="56">
                  <c:v>71</c:v>
                </c:pt>
                <c:pt idx="57">
                  <c:v>70</c:v>
                </c:pt>
                <c:pt idx="58">
                  <c:v>69</c:v>
                </c:pt>
                <c:pt idx="59">
                  <c:v>68</c:v>
                </c:pt>
                <c:pt idx="60">
                  <c:v>67</c:v>
                </c:pt>
                <c:pt idx="61">
                  <c:v>66</c:v>
                </c:pt>
                <c:pt idx="62">
                  <c:v>65</c:v>
                </c:pt>
                <c:pt idx="63">
                  <c:v>64</c:v>
                </c:pt>
                <c:pt idx="64">
                  <c:v>63</c:v>
                </c:pt>
                <c:pt idx="65">
                  <c:v>62</c:v>
                </c:pt>
                <c:pt idx="66">
                  <c:v>61</c:v>
                </c:pt>
                <c:pt idx="67">
                  <c:v>60</c:v>
                </c:pt>
                <c:pt idx="68">
                  <c:v>59</c:v>
                </c:pt>
                <c:pt idx="69">
                  <c:v>58</c:v>
                </c:pt>
                <c:pt idx="70">
                  <c:v>57</c:v>
                </c:pt>
                <c:pt idx="71">
                  <c:v>56</c:v>
                </c:pt>
                <c:pt idx="72">
                  <c:v>55</c:v>
                </c:pt>
                <c:pt idx="73">
                  <c:v>54</c:v>
                </c:pt>
                <c:pt idx="74">
                  <c:v>53</c:v>
                </c:pt>
                <c:pt idx="75">
                  <c:v>52</c:v>
                </c:pt>
                <c:pt idx="76">
                  <c:v>51</c:v>
                </c:pt>
                <c:pt idx="77">
                  <c:v>50</c:v>
                </c:pt>
                <c:pt idx="78">
                  <c:v>49</c:v>
                </c:pt>
                <c:pt idx="79">
                  <c:v>48</c:v>
                </c:pt>
                <c:pt idx="80">
                  <c:v>47</c:v>
                </c:pt>
                <c:pt idx="81">
                  <c:v>46</c:v>
                </c:pt>
                <c:pt idx="82">
                  <c:v>45</c:v>
                </c:pt>
                <c:pt idx="83">
                  <c:v>44</c:v>
                </c:pt>
                <c:pt idx="84">
                  <c:v>43</c:v>
                </c:pt>
                <c:pt idx="85">
                  <c:v>42</c:v>
                </c:pt>
                <c:pt idx="86">
                  <c:v>41</c:v>
                </c:pt>
                <c:pt idx="87">
                  <c:v>40</c:v>
                </c:pt>
                <c:pt idx="88">
                  <c:v>39</c:v>
                </c:pt>
                <c:pt idx="89">
                  <c:v>38</c:v>
                </c:pt>
                <c:pt idx="90">
                  <c:v>37</c:v>
                </c:pt>
                <c:pt idx="91">
                  <c:v>36</c:v>
                </c:pt>
                <c:pt idx="92">
                  <c:v>35</c:v>
                </c:pt>
                <c:pt idx="93">
                  <c:v>34</c:v>
                </c:pt>
                <c:pt idx="94">
                  <c:v>33</c:v>
                </c:pt>
                <c:pt idx="95">
                  <c:v>32</c:v>
                </c:pt>
                <c:pt idx="96">
                  <c:v>31</c:v>
                </c:pt>
                <c:pt idx="97">
                  <c:v>30</c:v>
                </c:pt>
                <c:pt idx="98">
                  <c:v>29</c:v>
                </c:pt>
                <c:pt idx="99">
                  <c:v>28</c:v>
                </c:pt>
                <c:pt idx="100">
                  <c:v>27</c:v>
                </c:pt>
                <c:pt idx="101">
                  <c:v>26</c:v>
                </c:pt>
                <c:pt idx="102">
                  <c:v>25</c:v>
                </c:pt>
                <c:pt idx="103">
                  <c:v>24</c:v>
                </c:pt>
                <c:pt idx="104">
                  <c:v>23</c:v>
                </c:pt>
                <c:pt idx="105">
                  <c:v>22</c:v>
                </c:pt>
                <c:pt idx="106">
                  <c:v>21</c:v>
                </c:pt>
                <c:pt idx="107">
                  <c:v>20</c:v>
                </c:pt>
                <c:pt idx="108">
                  <c:v>19</c:v>
                </c:pt>
                <c:pt idx="109">
                  <c:v>18</c:v>
                </c:pt>
                <c:pt idx="110">
                  <c:v>17</c:v>
                </c:pt>
                <c:pt idx="111">
                  <c:v>16</c:v>
                </c:pt>
                <c:pt idx="112">
                  <c:v>15</c:v>
                </c:pt>
                <c:pt idx="113">
                  <c:v>14</c:v>
                </c:pt>
                <c:pt idx="114">
                  <c:v>13</c:v>
                </c:pt>
                <c:pt idx="115">
                  <c:v>12</c:v>
                </c:pt>
                <c:pt idx="116">
                  <c:v>11</c:v>
                </c:pt>
                <c:pt idx="117">
                  <c:v>10</c:v>
                </c:pt>
                <c:pt idx="118">
                  <c:v>9</c:v>
                </c:pt>
                <c:pt idx="119">
                  <c:v>8</c:v>
                </c:pt>
                <c:pt idx="120">
                  <c:v>7</c:v>
                </c:pt>
                <c:pt idx="121">
                  <c:v>6</c:v>
                </c:pt>
                <c:pt idx="122">
                  <c:v>5</c:v>
                </c:pt>
                <c:pt idx="123">
                  <c:v>4</c:v>
                </c:pt>
                <c:pt idx="124">
                  <c:v>3</c:v>
                </c:pt>
                <c:pt idx="125">
                  <c:v>2</c:v>
                </c:pt>
                <c:pt idx="126">
                  <c:v>1</c:v>
                </c:pt>
                <c:pt idx="127">
                  <c:v>0</c:v>
                </c:pt>
              </c:numCache>
            </c:numRef>
          </c:xVal>
          <c:yVal>
            <c:numRef>
              <c:f>'2Q - 80'!$AC$14:$AC$135</c:f>
              <c:numCache>
                <c:formatCode>0.0</c:formatCode>
                <c:ptCount val="122"/>
                <c:pt idx="0">
                  <c:v>#N/A</c:v>
                </c:pt>
                <c:pt idx="1">
                  <c:v>#N/A</c:v>
                </c:pt>
                <c:pt idx="2">
                  <c:v>#N/A</c:v>
                </c:pt>
                <c:pt idx="3">
                  <c:v>#N/A</c:v>
                </c:pt>
                <c:pt idx="4">
                  <c:v>#N/A</c:v>
                </c:pt>
                <c:pt idx="5">
                  <c:v>69.846400000000003</c:v>
                </c:pt>
                <c:pt idx="6">
                  <c:v>72.770775000000015</c:v>
                </c:pt>
                <c:pt idx="7">
                  <c:v>67.217741666666669</c:v>
                </c:pt>
                <c:pt idx="8">
                  <c:v>46.908991666666672</c:v>
                </c:pt>
                <c:pt idx="9">
                  <c:v>49.029325</c:v>
                </c:pt>
                <c:pt idx="10">
                  <c:v>49.861658333333338</c:v>
                </c:pt>
                <c:pt idx="11">
                  <c:v>49.194708333333338</c:v>
                </c:pt>
                <c:pt idx="12">
                  <c:v>50.57266666666667</c:v>
                </c:pt>
                <c:pt idx="13">
                  <c:v>73.029933333333332</c:v>
                </c:pt>
                <c:pt idx="14">
                  <c:v>76.854933333333335</c:v>
                </c:pt>
                <c:pt idx="15">
                  <c:v>100.58393333333333</c:v>
                </c:pt>
                <c:pt idx="16">
                  <c:v>98.551933333333338</c:v>
                </c:pt>
                <c:pt idx="17">
                  <c:v>99.334000000000003</c:v>
                </c:pt>
                <c:pt idx="18">
                  <c:v>108.8014</c:v>
                </c:pt>
                <c:pt idx="19">
                  <c:v>109.04906666666668</c:v>
                </c:pt>
                <c:pt idx="20">
                  <c:v>88.006550000000004</c:v>
                </c:pt>
                <c:pt idx="21">
                  <c:v>126.61898333333335</c:v>
                </c:pt>
                <c:pt idx="22">
                  <c:v>110.47448333333334</c:v>
                </c:pt>
                <c:pt idx="23">
                  <c:v>110.17948333333335</c:v>
                </c:pt>
                <c:pt idx="24">
                  <c:v>110.91666666666669</c:v>
                </c:pt>
                <c:pt idx="25">
                  <c:v>93.339266666666674</c:v>
                </c:pt>
                <c:pt idx="26">
                  <c:v>92.314866666666674</c:v>
                </c:pt>
                <c:pt idx="27">
                  <c:v>90.873783333333336</c:v>
                </c:pt>
                <c:pt idx="28">
                  <c:v>54.71468333333334</c:v>
                </c:pt>
                <c:pt idx="29">
                  <c:v>81.659699999999987</c:v>
                </c:pt>
                <c:pt idx="30">
                  <c:v>84.219241666666662</c:v>
                </c:pt>
                <c:pt idx="31">
                  <c:v>82.499325000000013</c:v>
                </c:pt>
                <c:pt idx="32">
                  <c:v>77.313991666666666</c:v>
                </c:pt>
                <c:pt idx="33">
                  <c:v>78.123283333333333</c:v>
                </c:pt>
                <c:pt idx="34">
                  <c:v>96.065291666666653</c:v>
                </c:pt>
                <c:pt idx="35">
                  <c:v>101.12195833333332</c:v>
                </c:pt>
                <c:pt idx="36">
                  <c:v>92.04035833333333</c:v>
                </c:pt>
                <c:pt idx="37">
                  <c:v>90.757825000000011</c:v>
                </c:pt>
                <c:pt idx="38">
                  <c:v>93.984491666666671</c:v>
                </c:pt>
                <c:pt idx="39">
                  <c:v>123.959075</c:v>
                </c:pt>
                <c:pt idx="40">
                  <c:v>125.80568333333333</c:v>
                </c:pt>
                <c:pt idx="41">
                  <c:v>107.646675</c:v>
                </c:pt>
                <c:pt idx="42">
                  <c:v>102.23500833333333</c:v>
                </c:pt>
                <c:pt idx="43">
                  <c:v>120.98288333333333</c:v>
                </c:pt>
                <c:pt idx="44">
                  <c:v>120.98420833333333</c:v>
                </c:pt>
                <c:pt idx="45">
                  <c:v>117.33754166666667</c:v>
                </c:pt>
                <c:pt idx="46">
                  <c:v>102.119125</c:v>
                </c:pt>
                <c:pt idx="47">
                  <c:v>99.676525000000012</c:v>
                </c:pt>
                <c:pt idx="48">
                  <c:v>99.878858333333341</c:v>
                </c:pt>
                <c:pt idx="49">
                  <c:v>98.155525000000011</c:v>
                </c:pt>
                <c:pt idx="50">
                  <c:v>87.492008333333331</c:v>
                </c:pt>
                <c:pt idx="51">
                  <c:v>85.580341666666669</c:v>
                </c:pt>
                <c:pt idx="52">
                  <c:v>83.49867500000002</c:v>
                </c:pt>
                <c:pt idx="53">
                  <c:v>81.605166666666662</c:v>
                </c:pt>
                <c:pt idx="54">
                  <c:v>79.351933333333321</c:v>
                </c:pt>
                <c:pt idx="55">
                  <c:v>114.28553333333333</c:v>
                </c:pt>
                <c:pt idx="56">
                  <c:v>114.1572</c:v>
                </c:pt>
                <c:pt idx="57">
                  <c:v>100.856925</c:v>
                </c:pt>
                <c:pt idx="58">
                  <c:v>102.79025833333334</c:v>
                </c:pt>
                <c:pt idx="59">
                  <c:v>126.19558333333333</c:v>
                </c:pt>
                <c:pt idx="60">
                  <c:v>113.20659166666667</c:v>
                </c:pt>
                <c:pt idx="61">
                  <c:v>148.61992499999999</c:v>
                </c:pt>
                <c:pt idx="62">
                  <c:v>108.42565833333333</c:v>
                </c:pt>
                <c:pt idx="63">
                  <c:v>110.22732500000001</c:v>
                </c:pt>
                <c:pt idx="64">
                  <c:v>89.995325000000008</c:v>
                </c:pt>
                <c:pt idx="65">
                  <c:v>87.935325000000006</c:v>
                </c:pt>
                <c:pt idx="66">
                  <c:v>69.527833333333334</c:v>
                </c:pt>
                <c:pt idx="67">
                  <c:v>83.245699999999999</c:v>
                </c:pt>
                <c:pt idx="68">
                  <c:v>49.885699999999993</c:v>
                </c:pt>
                <c:pt idx="69">
                  <c:v>50.627366666666667</c:v>
                </c:pt>
                <c:pt idx="70">
                  <c:v>52.694033333333337</c:v>
                </c:pt>
                <c:pt idx="71">
                  <c:v>87.615733333333338</c:v>
                </c:pt>
                <c:pt idx="72">
                  <c:v>90.502399999999994</c:v>
                </c:pt>
                <c:pt idx="73">
                  <c:v>89.132066666666674</c:v>
                </c:pt>
                <c:pt idx="74">
                  <c:v>85.951566666666679</c:v>
                </c:pt>
                <c:pt idx="75">
                  <c:v>87.921991666666656</c:v>
                </c:pt>
                <c:pt idx="76">
                  <c:v>120.22059166666665</c:v>
                </c:pt>
                <c:pt idx="77">
                  <c:v>116.41225833333331</c:v>
                </c:pt>
                <c:pt idx="78">
                  <c:v>104.864025</c:v>
                </c:pt>
                <c:pt idx="79">
                  <c:v>104.88569166666667</c:v>
                </c:pt>
                <c:pt idx="80">
                  <c:v>105.05652500000001</c:v>
                </c:pt>
                <c:pt idx="81">
                  <c:v>113.67774166666668</c:v>
                </c:pt>
                <c:pt idx="82">
                  <c:v>115.88731666666668</c:v>
                </c:pt>
                <c:pt idx="83">
                  <c:v>88.583291666666653</c:v>
                </c:pt>
                <c:pt idx="84">
                  <c:v>88.553291666666667</c:v>
                </c:pt>
                <c:pt idx="85">
                  <c:v>113.00314999999999</c:v>
                </c:pt>
                <c:pt idx="86">
                  <c:v>112.31815</c:v>
                </c:pt>
                <c:pt idx="87">
                  <c:v>113.45481666666666</c:v>
                </c:pt>
                <c:pt idx="88">
                  <c:v>108.53333333333333</c:v>
                </c:pt>
                <c:pt idx="89">
                  <c:v>107.65999999999998</c:v>
                </c:pt>
                <c:pt idx="90">
                  <c:v>108.46917499999998</c:v>
                </c:pt>
                <c:pt idx="91">
                  <c:v>109.68917499999999</c:v>
                </c:pt>
                <c:pt idx="92">
                  <c:v>96.726733333333328</c:v>
                </c:pt>
                <c:pt idx="93">
                  <c:v>94.800066666666652</c:v>
                </c:pt>
                <c:pt idx="94">
                  <c:v>94.496266666666671</c:v>
                </c:pt>
                <c:pt idx="95">
                  <c:v>98.865833333333342</c:v>
                </c:pt>
                <c:pt idx="96">
                  <c:v>94.538833333333329</c:v>
                </c:pt>
                <c:pt idx="97">
                  <c:v>96.810083333333324</c:v>
                </c:pt>
                <c:pt idx="98">
                  <c:v>96.446749999999994</c:v>
                </c:pt>
                <c:pt idx="99">
                  <c:v>79.061866666666674</c:v>
                </c:pt>
                <c:pt idx="100">
                  <c:v>79.69853333333333</c:v>
                </c:pt>
                <c:pt idx="101">
                  <c:v>75.418999999999997</c:v>
                </c:pt>
                <c:pt idx="102">
                  <c:v>78.221166666666676</c:v>
                </c:pt>
                <c:pt idx="103">
                  <c:v>79.711666666666645</c:v>
                </c:pt>
                <c:pt idx="104">
                  <c:v>73.209999999999994</c:v>
                </c:pt>
                <c:pt idx="105">
                  <c:v>109.09083333333334</c:v>
                </c:pt>
                <c:pt idx="106">
                  <c:v>103.36380833333334</c:v>
                </c:pt>
                <c:pt idx="107">
                  <c:v>102.84714166666666</c:v>
                </c:pt>
                <c:pt idx="108">
                  <c:v>103.22205833333332</c:v>
                </c:pt>
                <c:pt idx="109">
                  <c:v>99.823158333333325</c:v>
                </c:pt>
                <c:pt idx="110">
                  <c:v>99.53799166666667</c:v>
                </c:pt>
                <c:pt idx="111">
                  <c:v>118.901325</c:v>
                </c:pt>
                <c:pt idx="112">
                  <c:v>83.500625000000014</c:v>
                </c:pt>
                <c:pt idx="113">
                  <c:v>84.18</c:v>
                </c:pt>
                <c:pt idx="114">
                  <c:v>87.123333333333349</c:v>
                </c:pt>
                <c:pt idx="115">
                  <c:v>90.005716666666672</c:v>
                </c:pt>
                <c:pt idx="116">
                  <c:v>79.911824999999993</c:v>
                </c:pt>
                <c:pt idx="117">
                  <c:v>78.816491666666664</c:v>
                </c:pt>
                <c:pt idx="118">
                  <c:v>57.014825000000002</c:v>
                </c:pt>
                <c:pt idx="119">
                  <c:v>53.774691666666662</c:v>
                </c:pt>
                <c:pt idx="120">
                  <c:v>43.996341666666659</c:v>
                </c:pt>
                <c:pt idx="121">
                  <c:v>115.89293333333333</c:v>
                </c:pt>
              </c:numCache>
            </c:numRef>
          </c:yVal>
          <c:smooth val="0"/>
          <c:extLst>
            <c:ext xmlns:c16="http://schemas.microsoft.com/office/drawing/2014/chart" uri="{C3380CC4-5D6E-409C-BE32-E72D297353CC}">
              <c16:uniqueId val="{00000005-8697-48AB-A19D-075DA2B01A19}"/>
            </c:ext>
          </c:extLst>
        </c:ser>
        <c:ser>
          <c:idx val="1"/>
          <c:order val="1"/>
          <c:tx>
            <c:strRef>
              <c:f>'Daniel''s Metrics'!$AA$53</c:f>
              <c:strCache>
                <c:ptCount val="1"/>
                <c:pt idx="0">
                  <c:v>Elite</c:v>
                </c:pt>
              </c:strCache>
            </c:strRef>
          </c:tx>
          <c:spPr>
            <a:ln w="19050" cap="rnd">
              <a:solidFill>
                <a:schemeClr val="accent2"/>
              </a:solidFill>
              <a:round/>
            </a:ln>
            <a:effectLst/>
          </c:spPr>
          <c:marker>
            <c:symbol val="none"/>
          </c:marker>
          <c:dPt>
            <c:idx val="1"/>
            <c:marker>
              <c:symbol val="none"/>
            </c:marker>
            <c:bubble3D val="0"/>
            <c:spPr>
              <a:ln w="9525" cap="rnd">
                <a:solidFill>
                  <a:srgbClr val="960000"/>
                </a:solidFill>
                <a:round/>
              </a:ln>
              <a:effectLst/>
            </c:spPr>
            <c:extLst>
              <c:ext xmlns:c16="http://schemas.microsoft.com/office/drawing/2014/chart" uri="{C3380CC4-5D6E-409C-BE32-E72D297353CC}">
                <c16:uniqueId val="{00000012-8697-48AB-A19D-075DA2B01A19}"/>
              </c:ext>
            </c:extLst>
          </c:dPt>
          <c:xVal>
            <c:numRef>
              <c:f>'Daniel''s Metrics'!$AB$52:$AC$52</c:f>
              <c:numCache>
                <c:formatCode>General</c:formatCode>
                <c:ptCount val="2"/>
                <c:pt idx="0">
                  <c:v>200</c:v>
                </c:pt>
                <c:pt idx="1">
                  <c:v>0</c:v>
                </c:pt>
              </c:numCache>
            </c:numRef>
          </c:xVal>
          <c:yVal>
            <c:numRef>
              <c:f>'Daniel''s Metrics'!$AB$53:$AC$53</c:f>
              <c:numCache>
                <c:formatCode>General</c:formatCode>
                <c:ptCount val="2"/>
                <c:pt idx="0">
                  <c:v>200</c:v>
                </c:pt>
                <c:pt idx="1">
                  <c:v>200</c:v>
                </c:pt>
              </c:numCache>
            </c:numRef>
          </c:yVal>
          <c:smooth val="0"/>
          <c:extLst>
            <c:ext xmlns:c16="http://schemas.microsoft.com/office/drawing/2014/chart" uri="{C3380CC4-5D6E-409C-BE32-E72D297353CC}">
              <c16:uniqueId val="{0000000B-8697-48AB-A19D-075DA2B01A19}"/>
            </c:ext>
          </c:extLst>
        </c:ser>
        <c:ser>
          <c:idx val="2"/>
          <c:order val="2"/>
          <c:tx>
            <c:strRef>
              <c:f>'Daniel''s Metrics'!$AA$55</c:f>
              <c:strCache>
                <c:ptCount val="1"/>
                <c:pt idx="0">
                  <c:v>College</c:v>
                </c:pt>
              </c:strCache>
            </c:strRef>
          </c:tx>
          <c:spPr>
            <a:ln w="19050" cap="rnd">
              <a:solidFill>
                <a:schemeClr val="accent2"/>
              </a:solidFill>
              <a:round/>
            </a:ln>
            <a:effectLst/>
          </c:spPr>
          <c:marker>
            <c:symbol val="none"/>
          </c:marker>
          <c:dPt>
            <c:idx val="1"/>
            <c:marker>
              <c:symbol val="none"/>
            </c:marker>
            <c:bubble3D val="0"/>
            <c:spPr>
              <a:ln w="9525" cap="rnd">
                <a:solidFill>
                  <a:srgbClr val="FF0000"/>
                </a:solidFill>
                <a:round/>
              </a:ln>
              <a:effectLst/>
            </c:spPr>
            <c:extLst>
              <c:ext xmlns:c16="http://schemas.microsoft.com/office/drawing/2014/chart" uri="{C3380CC4-5D6E-409C-BE32-E72D297353CC}">
                <c16:uniqueId val="{00000013-8697-48AB-A19D-075DA2B01A19}"/>
              </c:ext>
            </c:extLst>
          </c:dPt>
          <c:xVal>
            <c:numRef>
              <c:f>'Daniel''s Metrics'!$AB$52:$AC$52</c:f>
              <c:numCache>
                <c:formatCode>General</c:formatCode>
                <c:ptCount val="2"/>
                <c:pt idx="0">
                  <c:v>200</c:v>
                </c:pt>
                <c:pt idx="1">
                  <c:v>0</c:v>
                </c:pt>
              </c:numCache>
            </c:numRef>
          </c:xVal>
          <c:yVal>
            <c:numRef>
              <c:f>'Daniel''s Metrics'!$AB$55:$AC$55</c:f>
              <c:numCache>
                <c:formatCode>General</c:formatCode>
                <c:ptCount val="2"/>
                <c:pt idx="0">
                  <c:v>150</c:v>
                </c:pt>
                <c:pt idx="1">
                  <c:v>150</c:v>
                </c:pt>
              </c:numCache>
            </c:numRef>
          </c:yVal>
          <c:smooth val="0"/>
          <c:extLst>
            <c:ext xmlns:c16="http://schemas.microsoft.com/office/drawing/2014/chart" uri="{C3380CC4-5D6E-409C-BE32-E72D297353CC}">
              <c16:uniqueId val="{0000000C-8697-48AB-A19D-075DA2B01A19}"/>
            </c:ext>
          </c:extLst>
        </c:ser>
        <c:ser>
          <c:idx val="3"/>
          <c:order val="3"/>
          <c:tx>
            <c:strRef>
              <c:f>'Daniel''s Metrics'!$AA$57</c:f>
              <c:strCache>
                <c:ptCount val="1"/>
                <c:pt idx="0">
                  <c:v>Adv HS</c:v>
                </c:pt>
              </c:strCache>
            </c:strRef>
          </c:tx>
          <c:spPr>
            <a:ln w="19050" cap="rnd">
              <a:solidFill>
                <a:schemeClr val="accent2"/>
              </a:solidFill>
              <a:round/>
            </a:ln>
            <a:effectLst/>
          </c:spPr>
          <c:marker>
            <c:symbol val="none"/>
          </c:marker>
          <c:dPt>
            <c:idx val="1"/>
            <c:marker>
              <c:symbol val="none"/>
            </c:marker>
            <c:bubble3D val="0"/>
            <c:spPr>
              <a:ln w="9525" cap="rnd">
                <a:solidFill>
                  <a:srgbClr val="FFC000"/>
                </a:solidFill>
                <a:round/>
              </a:ln>
              <a:effectLst/>
            </c:spPr>
            <c:extLst>
              <c:ext xmlns:c16="http://schemas.microsoft.com/office/drawing/2014/chart" uri="{C3380CC4-5D6E-409C-BE32-E72D297353CC}">
                <c16:uniqueId val="{00000011-8697-48AB-A19D-075DA2B01A19}"/>
              </c:ext>
            </c:extLst>
          </c:dPt>
          <c:dLbls>
            <c:dLbl>
              <c:idx val="1"/>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8697-48AB-A19D-075DA2B01A1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'Daniel''s Metrics'!$AB$52:$AC$52</c:f>
              <c:numCache>
                <c:formatCode>General</c:formatCode>
                <c:ptCount val="2"/>
                <c:pt idx="0">
                  <c:v>200</c:v>
                </c:pt>
                <c:pt idx="1">
                  <c:v>0</c:v>
                </c:pt>
              </c:numCache>
            </c:numRef>
          </c:xVal>
          <c:yVal>
            <c:numRef>
              <c:f>'Daniel''s Metrics'!$AB$57:$AC$57</c:f>
              <c:numCache>
                <c:formatCode>General</c:formatCode>
                <c:ptCount val="2"/>
                <c:pt idx="0">
                  <c:v>100</c:v>
                </c:pt>
                <c:pt idx="1">
                  <c:v>100</c:v>
                </c:pt>
              </c:numCache>
            </c:numRef>
          </c:yVal>
          <c:smooth val="0"/>
          <c:extLst>
            <c:ext xmlns:c16="http://schemas.microsoft.com/office/drawing/2014/chart" uri="{C3380CC4-5D6E-409C-BE32-E72D297353CC}">
              <c16:uniqueId val="{0000000D-8697-48AB-A19D-075DA2B01A19}"/>
            </c:ext>
          </c:extLst>
        </c:ser>
        <c:ser>
          <c:idx val="4"/>
          <c:order val="4"/>
          <c:tx>
            <c:strRef>
              <c:f>'Daniel''s Metrics'!$AA$59</c:f>
              <c:strCache>
                <c:ptCount val="1"/>
                <c:pt idx="0">
                  <c:v>Novice HS</c:v>
                </c:pt>
              </c:strCache>
            </c:strRef>
          </c:tx>
          <c:spPr>
            <a:ln w="19050" cap="rnd">
              <a:solidFill>
                <a:schemeClr val="accent6"/>
              </a:solidFill>
              <a:round/>
            </a:ln>
            <a:effectLst/>
          </c:spPr>
          <c:marker>
            <c:symbol val="none"/>
          </c:marker>
          <c:dPt>
            <c:idx val="1"/>
            <c:marker>
              <c:symbol val="none"/>
            </c:marker>
            <c:bubble3D val="0"/>
            <c:spPr>
              <a:ln w="9525" cap="rnd">
                <a:solidFill>
                  <a:schemeClr val="accent6"/>
                </a:solidFill>
                <a:prstDash val="dashDot"/>
                <a:round/>
              </a:ln>
              <a:effectLst/>
            </c:spPr>
            <c:extLst>
              <c:ext xmlns:c16="http://schemas.microsoft.com/office/drawing/2014/chart" uri="{C3380CC4-5D6E-409C-BE32-E72D297353CC}">
                <c16:uniqueId val="{0000000F-8697-48AB-A19D-075DA2B01A19}"/>
              </c:ext>
            </c:extLst>
          </c:dPt>
          <c:dLbls>
            <c:dLbl>
              <c:idx val="1"/>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8697-48AB-A19D-075DA2B01A1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'Daniel''s Metrics'!$AB$52:$AC$52</c:f>
              <c:numCache>
                <c:formatCode>General</c:formatCode>
                <c:ptCount val="2"/>
                <c:pt idx="0">
                  <c:v>200</c:v>
                </c:pt>
                <c:pt idx="1">
                  <c:v>0</c:v>
                </c:pt>
              </c:numCache>
            </c:numRef>
          </c:xVal>
          <c:yVal>
            <c:numRef>
              <c:f>'Daniel''s Metrics'!$AB$59:$AC$59</c:f>
              <c:numCache>
                <c:formatCode>General</c:formatCode>
                <c:ptCount val="2"/>
                <c:pt idx="0">
                  <c:v>50</c:v>
                </c:pt>
                <c:pt idx="1">
                  <c:v>50</c:v>
                </c:pt>
              </c:numCache>
            </c:numRef>
          </c:yVal>
          <c:smooth val="0"/>
          <c:extLst>
            <c:ext xmlns:c16="http://schemas.microsoft.com/office/drawing/2014/chart" uri="{C3380CC4-5D6E-409C-BE32-E72D297353CC}">
              <c16:uniqueId val="{0000000E-8697-48AB-A19D-075DA2B01A19}"/>
            </c:ext>
          </c:extLst>
        </c:ser>
        <c:dLbls>
          <c:showLegendKey val="0"/>
          <c:showVal val="0"/>
          <c:showCatName val="0"/>
          <c:showSerName val="0"/>
          <c:showPercent val="0"/>
          <c:showBubbleSize val="0"/>
        </c:dLbls>
        <c:axId val="1720669791"/>
        <c:axId val="1720680831"/>
        <c:extLst/>
      </c:scatterChart>
      <c:valAx>
        <c:axId val="1720669791"/>
        <c:scaling>
          <c:orientation val="maxMin"/>
          <c:max val="14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80831"/>
        <c:crosses val="autoZero"/>
        <c:crossBetween val="midCat"/>
        <c:majorUnit val="7"/>
        <c:minorUnit val="1"/>
      </c:valAx>
      <c:valAx>
        <c:axId val="1720680831"/>
        <c:scaling>
          <c:orientation val="minMax"/>
          <c:max val="225"/>
          <c:min val="0"/>
        </c:scaling>
        <c:delete val="0"/>
        <c:axPos val="r"/>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69791"/>
        <c:crosses val="autoZero"/>
        <c:crossBetween val="midCat"/>
        <c:majorUnit val="25"/>
        <c:minorUnit val="5"/>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7-Day</a:t>
            </a:r>
            <a:r>
              <a:rPr lang="en-US" baseline="0"/>
              <a:t> Intensity Points vs 7-Day Milage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'2Q - 80'!$T$8:$T$135</c:f>
              <c:numCache>
                <c:formatCode>General</c:formatCode>
                <c:ptCount val="128"/>
                <c:pt idx="0">
                  <c:v>12.43</c:v>
                </c:pt>
                <c:pt idx="1">
                  <c:v>15.55</c:v>
                </c:pt>
                <c:pt idx="2">
                  <c:v>21.580000000000002</c:v>
                </c:pt>
                <c:pt idx="3">
                  <c:v>34.42</c:v>
                </c:pt>
                <c:pt idx="4">
                  <c:v>43.120000000000005</c:v>
                </c:pt>
                <c:pt idx="5">
                  <c:v>49.17</c:v>
                </c:pt>
                <c:pt idx="6">
                  <c:v>55.18</c:v>
                </c:pt>
                <c:pt idx="7">
                  <c:v>58.79</c:v>
                </c:pt>
                <c:pt idx="8">
                  <c:v>61.699999999999996</c:v>
                </c:pt>
                <c:pt idx="9">
                  <c:v>62.92</c:v>
                </c:pt>
                <c:pt idx="10">
                  <c:v>61.11</c:v>
                </c:pt>
                <c:pt idx="11">
                  <c:v>57.76</c:v>
                </c:pt>
                <c:pt idx="12">
                  <c:v>62.86</c:v>
                </c:pt>
                <c:pt idx="13">
                  <c:v>56.85</c:v>
                </c:pt>
                <c:pt idx="14">
                  <c:v>40.81</c:v>
                </c:pt>
                <c:pt idx="15">
                  <c:v>42.93</c:v>
                </c:pt>
                <c:pt idx="16">
                  <c:v>43.91</c:v>
                </c:pt>
                <c:pt idx="17">
                  <c:v>44.999999999999993</c:v>
                </c:pt>
                <c:pt idx="18">
                  <c:v>48.26</c:v>
                </c:pt>
                <c:pt idx="19">
                  <c:v>51.58</c:v>
                </c:pt>
                <c:pt idx="20">
                  <c:v>56.41</c:v>
                </c:pt>
                <c:pt idx="21">
                  <c:v>74.44</c:v>
                </c:pt>
                <c:pt idx="22">
                  <c:v>72.309999999999988</c:v>
                </c:pt>
                <c:pt idx="23">
                  <c:v>72.16</c:v>
                </c:pt>
                <c:pt idx="24">
                  <c:v>73.059999999999988</c:v>
                </c:pt>
                <c:pt idx="25">
                  <c:v>73.059999999999988</c:v>
                </c:pt>
                <c:pt idx="26">
                  <c:v>68.78</c:v>
                </c:pt>
                <c:pt idx="27">
                  <c:v>82.27000000000001</c:v>
                </c:pt>
                <c:pt idx="28">
                  <c:v>73.25</c:v>
                </c:pt>
                <c:pt idx="29">
                  <c:v>72.820000000000007</c:v>
                </c:pt>
                <c:pt idx="30">
                  <c:v>72.849999999999994</c:v>
                </c:pt>
                <c:pt idx="31">
                  <c:v>75.959999999999994</c:v>
                </c:pt>
                <c:pt idx="32">
                  <c:v>74.449999999999989</c:v>
                </c:pt>
                <c:pt idx="33">
                  <c:v>72.27</c:v>
                </c:pt>
                <c:pt idx="34">
                  <c:v>61.97</c:v>
                </c:pt>
                <c:pt idx="35">
                  <c:v>72.11999999999999</c:v>
                </c:pt>
                <c:pt idx="36">
                  <c:v>72.659999999999982</c:v>
                </c:pt>
                <c:pt idx="37">
                  <c:v>72.649999999999977</c:v>
                </c:pt>
                <c:pt idx="38">
                  <c:v>64.94</c:v>
                </c:pt>
                <c:pt idx="39">
                  <c:v>63.940000000000005</c:v>
                </c:pt>
                <c:pt idx="40">
                  <c:v>69.97</c:v>
                </c:pt>
                <c:pt idx="41">
                  <c:v>67.66</c:v>
                </c:pt>
                <c:pt idx="42">
                  <c:v>68.59</c:v>
                </c:pt>
                <c:pt idx="43">
                  <c:v>68.47999999999999</c:v>
                </c:pt>
                <c:pt idx="44">
                  <c:v>72.34</c:v>
                </c:pt>
                <c:pt idx="45">
                  <c:v>81.27</c:v>
                </c:pt>
                <c:pt idx="46">
                  <c:v>83.210000000000008</c:v>
                </c:pt>
                <c:pt idx="47">
                  <c:v>80.510000000000005</c:v>
                </c:pt>
                <c:pt idx="48">
                  <c:v>82.3</c:v>
                </c:pt>
                <c:pt idx="49">
                  <c:v>82.31</c:v>
                </c:pt>
                <c:pt idx="50">
                  <c:v>83.309999999999988</c:v>
                </c:pt>
                <c:pt idx="51">
                  <c:v>78.95</c:v>
                </c:pt>
                <c:pt idx="52">
                  <c:v>79.14</c:v>
                </c:pt>
                <c:pt idx="53">
                  <c:v>78.11</c:v>
                </c:pt>
                <c:pt idx="54">
                  <c:v>77.790000000000006</c:v>
                </c:pt>
                <c:pt idx="55">
                  <c:v>75.69</c:v>
                </c:pt>
                <c:pt idx="56">
                  <c:v>75.77</c:v>
                </c:pt>
                <c:pt idx="57">
                  <c:v>73.77</c:v>
                </c:pt>
                <c:pt idx="58">
                  <c:v>71.179999999999993</c:v>
                </c:pt>
                <c:pt idx="59">
                  <c:v>64.949999999999989</c:v>
                </c:pt>
                <c:pt idx="60">
                  <c:v>63.010000000000005</c:v>
                </c:pt>
                <c:pt idx="61">
                  <c:v>70.02000000000001</c:v>
                </c:pt>
                <c:pt idx="62">
                  <c:v>69.63000000000001</c:v>
                </c:pt>
                <c:pt idx="63">
                  <c:v>69.55</c:v>
                </c:pt>
                <c:pt idx="64">
                  <c:v>72.070000000000007</c:v>
                </c:pt>
                <c:pt idx="65">
                  <c:v>81.210000000000008</c:v>
                </c:pt>
                <c:pt idx="66">
                  <c:v>79.180000000000007</c:v>
                </c:pt>
                <c:pt idx="67">
                  <c:v>94.13</c:v>
                </c:pt>
                <c:pt idx="68">
                  <c:v>81.199999999999989</c:v>
                </c:pt>
                <c:pt idx="69">
                  <c:v>83.28</c:v>
                </c:pt>
                <c:pt idx="70">
                  <c:v>63.179999999999993</c:v>
                </c:pt>
                <c:pt idx="71">
                  <c:v>60.34</c:v>
                </c:pt>
                <c:pt idx="72">
                  <c:v>56.849999999999994</c:v>
                </c:pt>
                <c:pt idx="73">
                  <c:v>63.599999999999994</c:v>
                </c:pt>
                <c:pt idx="74">
                  <c:v>51.61</c:v>
                </c:pt>
                <c:pt idx="75">
                  <c:v>52.63</c:v>
                </c:pt>
                <c:pt idx="76">
                  <c:v>55.76</c:v>
                </c:pt>
                <c:pt idx="77">
                  <c:v>73.789999999999992</c:v>
                </c:pt>
                <c:pt idx="78">
                  <c:v>77.290000000000006</c:v>
                </c:pt>
                <c:pt idx="79">
                  <c:v>72.650000000000006</c:v>
                </c:pt>
                <c:pt idx="80">
                  <c:v>68.359999999999985</c:v>
                </c:pt>
                <c:pt idx="81">
                  <c:v>68.88000000000001</c:v>
                </c:pt>
                <c:pt idx="82">
                  <c:v>77.850000000000009</c:v>
                </c:pt>
                <c:pt idx="83">
                  <c:v>72.680000000000007</c:v>
                </c:pt>
                <c:pt idx="84">
                  <c:v>74.830000000000013</c:v>
                </c:pt>
                <c:pt idx="85">
                  <c:v>74.64</c:v>
                </c:pt>
                <c:pt idx="86">
                  <c:v>78.61999999999999</c:v>
                </c:pt>
                <c:pt idx="87">
                  <c:v>80.89</c:v>
                </c:pt>
                <c:pt idx="88">
                  <c:v>85.51</c:v>
                </c:pt>
                <c:pt idx="89">
                  <c:v>80.53</c:v>
                </c:pt>
                <c:pt idx="90">
                  <c:v>80.52000000000001</c:v>
                </c:pt>
                <c:pt idx="91">
                  <c:v>80.349999999999994</c:v>
                </c:pt>
                <c:pt idx="92">
                  <c:v>80.09</c:v>
                </c:pt>
                <c:pt idx="93">
                  <c:v>81.2</c:v>
                </c:pt>
                <c:pt idx="94">
                  <c:v>79.19</c:v>
                </c:pt>
                <c:pt idx="95">
                  <c:v>77.449999999999989</c:v>
                </c:pt>
                <c:pt idx="96">
                  <c:v>77.36</c:v>
                </c:pt>
                <c:pt idx="97">
                  <c:v>79.050000000000011</c:v>
                </c:pt>
                <c:pt idx="98">
                  <c:v>77.430000000000007</c:v>
                </c:pt>
                <c:pt idx="99">
                  <c:v>74.900000000000006</c:v>
                </c:pt>
                <c:pt idx="100">
                  <c:v>73.13000000000001</c:v>
                </c:pt>
                <c:pt idx="101">
                  <c:v>74.149999999999991</c:v>
                </c:pt>
                <c:pt idx="102">
                  <c:v>68.95</c:v>
                </c:pt>
                <c:pt idx="103">
                  <c:v>68.010000000000005</c:v>
                </c:pt>
                <c:pt idx="104">
                  <c:v>67.36</c:v>
                </c:pt>
                <c:pt idx="105">
                  <c:v>67.069999999999993</c:v>
                </c:pt>
                <c:pt idx="106">
                  <c:v>67.89</c:v>
                </c:pt>
                <c:pt idx="107">
                  <c:v>63.949999999999996</c:v>
                </c:pt>
                <c:pt idx="108">
                  <c:v>63.3</c:v>
                </c:pt>
                <c:pt idx="109">
                  <c:v>65.08</c:v>
                </c:pt>
                <c:pt idx="110">
                  <c:v>63.999999999999993</c:v>
                </c:pt>
                <c:pt idx="111">
                  <c:v>76.179999999999993</c:v>
                </c:pt>
                <c:pt idx="112">
                  <c:v>65.13</c:v>
                </c:pt>
                <c:pt idx="113">
                  <c:v>64.34</c:v>
                </c:pt>
                <c:pt idx="114">
                  <c:v>64.739999999999995</c:v>
                </c:pt>
                <c:pt idx="115">
                  <c:v>68.069999999999993</c:v>
                </c:pt>
                <c:pt idx="116">
                  <c:v>67.42</c:v>
                </c:pt>
                <c:pt idx="117">
                  <c:v>70.92</c:v>
                </c:pt>
                <c:pt idx="118">
                  <c:v>58.819999999999993</c:v>
                </c:pt>
                <c:pt idx="119">
                  <c:v>60.839999999999996</c:v>
                </c:pt>
                <c:pt idx="120">
                  <c:v>64.599999999999994</c:v>
                </c:pt>
                <c:pt idx="121">
                  <c:v>64.34</c:v>
                </c:pt>
                <c:pt idx="122">
                  <c:v>57.79</c:v>
                </c:pt>
                <c:pt idx="123">
                  <c:v>56.78</c:v>
                </c:pt>
                <c:pt idx="124">
                  <c:v>50.28</c:v>
                </c:pt>
                <c:pt idx="125">
                  <c:v>46.93</c:v>
                </c:pt>
                <c:pt idx="126">
                  <c:v>40.88000000000001</c:v>
                </c:pt>
                <c:pt idx="127">
                  <c:v>58.069999999999993</c:v>
                </c:pt>
              </c:numCache>
            </c:numRef>
          </c:xVal>
          <c:yVal>
            <c:numRef>
              <c:f>'2Q - 80'!$AC$8:$AC$135</c:f>
              <c:numCache>
                <c:formatCode>General</c:formatCode>
                <c:ptCount val="128"/>
                <c:pt idx="6" formatCode="0.0">
                  <c:v>#N/A</c:v>
                </c:pt>
                <c:pt idx="7" formatCode="0.0">
                  <c:v>#N/A</c:v>
                </c:pt>
                <c:pt idx="8" formatCode="0.0">
                  <c:v>#N/A</c:v>
                </c:pt>
                <c:pt idx="9" formatCode="0.0">
                  <c:v>#N/A</c:v>
                </c:pt>
                <c:pt idx="10" formatCode="0.0">
                  <c:v>#N/A</c:v>
                </c:pt>
                <c:pt idx="11" formatCode="0.0">
                  <c:v>69.846400000000003</c:v>
                </c:pt>
                <c:pt idx="12" formatCode="0.0">
                  <c:v>72.770775000000015</c:v>
                </c:pt>
                <c:pt idx="13" formatCode="0.0">
                  <c:v>67.217741666666669</c:v>
                </c:pt>
                <c:pt idx="14" formatCode="0.0">
                  <c:v>46.908991666666672</c:v>
                </c:pt>
                <c:pt idx="15" formatCode="0.0">
                  <c:v>49.029325</c:v>
                </c:pt>
                <c:pt idx="16" formatCode="0.0">
                  <c:v>49.861658333333338</c:v>
                </c:pt>
                <c:pt idx="17" formatCode="0.0">
                  <c:v>49.194708333333338</c:v>
                </c:pt>
                <c:pt idx="18" formatCode="0.0">
                  <c:v>50.57266666666667</c:v>
                </c:pt>
                <c:pt idx="19" formatCode="0.0">
                  <c:v>73.029933333333332</c:v>
                </c:pt>
                <c:pt idx="20" formatCode="0.0">
                  <c:v>76.854933333333335</c:v>
                </c:pt>
                <c:pt idx="21" formatCode="0.0">
                  <c:v>100.58393333333333</c:v>
                </c:pt>
                <c:pt idx="22" formatCode="0.0">
                  <c:v>98.551933333333338</c:v>
                </c:pt>
                <c:pt idx="23" formatCode="0.0">
                  <c:v>99.334000000000003</c:v>
                </c:pt>
                <c:pt idx="24" formatCode="0.0">
                  <c:v>108.8014</c:v>
                </c:pt>
                <c:pt idx="25" formatCode="0.0">
                  <c:v>109.04906666666668</c:v>
                </c:pt>
                <c:pt idx="26" formatCode="0.0">
                  <c:v>88.006550000000004</c:v>
                </c:pt>
                <c:pt idx="27" formatCode="0.0">
                  <c:v>126.61898333333335</c:v>
                </c:pt>
                <c:pt idx="28" formatCode="0.0">
                  <c:v>110.47448333333334</c:v>
                </c:pt>
                <c:pt idx="29" formatCode="0.0">
                  <c:v>110.17948333333335</c:v>
                </c:pt>
                <c:pt idx="30" formatCode="0.0">
                  <c:v>110.91666666666669</c:v>
                </c:pt>
                <c:pt idx="31" formatCode="0.0">
                  <c:v>93.339266666666674</c:v>
                </c:pt>
                <c:pt idx="32" formatCode="0.0">
                  <c:v>92.314866666666674</c:v>
                </c:pt>
                <c:pt idx="33" formatCode="0.0">
                  <c:v>90.873783333333336</c:v>
                </c:pt>
                <c:pt idx="34" formatCode="0.0">
                  <c:v>54.71468333333334</c:v>
                </c:pt>
                <c:pt idx="35" formatCode="0.0">
                  <c:v>81.659699999999987</c:v>
                </c:pt>
                <c:pt idx="36" formatCode="0.0">
                  <c:v>84.219241666666662</c:v>
                </c:pt>
                <c:pt idx="37" formatCode="0.0">
                  <c:v>82.499325000000013</c:v>
                </c:pt>
                <c:pt idx="38" formatCode="0.0">
                  <c:v>77.313991666666666</c:v>
                </c:pt>
                <c:pt idx="39" formatCode="0.0">
                  <c:v>78.123283333333333</c:v>
                </c:pt>
                <c:pt idx="40" formatCode="0.0">
                  <c:v>96.065291666666653</c:v>
                </c:pt>
                <c:pt idx="41" formatCode="0.0">
                  <c:v>101.12195833333332</c:v>
                </c:pt>
                <c:pt idx="42" formatCode="0.0">
                  <c:v>92.04035833333333</c:v>
                </c:pt>
                <c:pt idx="43" formatCode="0.0">
                  <c:v>90.757825000000011</c:v>
                </c:pt>
                <c:pt idx="44" formatCode="0.0">
                  <c:v>93.984491666666671</c:v>
                </c:pt>
                <c:pt idx="45" formatCode="0.0">
                  <c:v>123.959075</c:v>
                </c:pt>
                <c:pt idx="46" formatCode="0.0">
                  <c:v>125.80568333333333</c:v>
                </c:pt>
                <c:pt idx="47" formatCode="0.0">
                  <c:v>107.646675</c:v>
                </c:pt>
                <c:pt idx="48" formatCode="0.0">
                  <c:v>102.23500833333333</c:v>
                </c:pt>
                <c:pt idx="49" formatCode="0.0">
                  <c:v>120.98288333333333</c:v>
                </c:pt>
                <c:pt idx="50" formatCode="0.0">
                  <c:v>120.98420833333333</c:v>
                </c:pt>
                <c:pt idx="51" formatCode="0.0">
                  <c:v>117.33754166666667</c:v>
                </c:pt>
                <c:pt idx="52" formatCode="0.0">
                  <c:v>102.119125</c:v>
                </c:pt>
                <c:pt idx="53" formatCode="0.0">
                  <c:v>99.676525000000012</c:v>
                </c:pt>
                <c:pt idx="54" formatCode="0.0">
                  <c:v>99.878858333333341</c:v>
                </c:pt>
                <c:pt idx="55" formatCode="0.0">
                  <c:v>98.155525000000011</c:v>
                </c:pt>
                <c:pt idx="56" formatCode="0.0">
                  <c:v>87.492008333333331</c:v>
                </c:pt>
                <c:pt idx="57" formatCode="0.0">
                  <c:v>85.580341666666669</c:v>
                </c:pt>
                <c:pt idx="58" formatCode="0.0">
                  <c:v>83.49867500000002</c:v>
                </c:pt>
                <c:pt idx="59" formatCode="0.0">
                  <c:v>81.605166666666662</c:v>
                </c:pt>
                <c:pt idx="60" formatCode="0.0">
                  <c:v>79.351933333333321</c:v>
                </c:pt>
                <c:pt idx="61" formatCode="0.0">
                  <c:v>114.28553333333333</c:v>
                </c:pt>
                <c:pt idx="62" formatCode="0.0">
                  <c:v>114.1572</c:v>
                </c:pt>
                <c:pt idx="63" formatCode="0.0">
                  <c:v>100.856925</c:v>
                </c:pt>
                <c:pt idx="64" formatCode="0.0">
                  <c:v>102.79025833333334</c:v>
                </c:pt>
                <c:pt idx="65" formatCode="0.0">
                  <c:v>126.19558333333333</c:v>
                </c:pt>
                <c:pt idx="66" formatCode="0.0">
                  <c:v>113.20659166666667</c:v>
                </c:pt>
                <c:pt idx="67" formatCode="0.0">
                  <c:v>148.61992499999999</c:v>
                </c:pt>
                <c:pt idx="68" formatCode="0.0">
                  <c:v>108.42565833333333</c:v>
                </c:pt>
                <c:pt idx="69" formatCode="0.0">
                  <c:v>110.22732500000001</c:v>
                </c:pt>
                <c:pt idx="70" formatCode="0.0">
                  <c:v>89.995325000000008</c:v>
                </c:pt>
                <c:pt idx="71" formatCode="0.0">
                  <c:v>87.935325000000006</c:v>
                </c:pt>
                <c:pt idx="72" formatCode="0.0">
                  <c:v>69.527833333333334</c:v>
                </c:pt>
                <c:pt idx="73" formatCode="0.0">
                  <c:v>83.245699999999999</c:v>
                </c:pt>
                <c:pt idx="74" formatCode="0.0">
                  <c:v>49.885699999999993</c:v>
                </c:pt>
                <c:pt idx="75" formatCode="0.0">
                  <c:v>50.627366666666667</c:v>
                </c:pt>
                <c:pt idx="76" formatCode="0.0">
                  <c:v>52.694033333333337</c:v>
                </c:pt>
                <c:pt idx="77" formatCode="0.0">
                  <c:v>87.615733333333338</c:v>
                </c:pt>
                <c:pt idx="78" formatCode="0.0">
                  <c:v>90.502399999999994</c:v>
                </c:pt>
                <c:pt idx="79" formatCode="0.0">
                  <c:v>89.132066666666674</c:v>
                </c:pt>
                <c:pt idx="80" formatCode="0.0">
                  <c:v>85.951566666666679</c:v>
                </c:pt>
                <c:pt idx="81" formatCode="0.0">
                  <c:v>87.921991666666656</c:v>
                </c:pt>
                <c:pt idx="82" formatCode="0.0">
                  <c:v>120.22059166666665</c:v>
                </c:pt>
                <c:pt idx="83" formatCode="0.0">
                  <c:v>116.41225833333331</c:v>
                </c:pt>
                <c:pt idx="84" formatCode="0.0">
                  <c:v>104.864025</c:v>
                </c:pt>
                <c:pt idx="85" formatCode="0.0">
                  <c:v>104.88569166666667</c:v>
                </c:pt>
                <c:pt idx="86" formatCode="0.0">
                  <c:v>105.05652500000001</c:v>
                </c:pt>
                <c:pt idx="87" formatCode="0.0">
                  <c:v>113.67774166666668</c:v>
                </c:pt>
                <c:pt idx="88" formatCode="0.0">
                  <c:v>115.88731666666668</c:v>
                </c:pt>
                <c:pt idx="89" formatCode="0.0">
                  <c:v>88.583291666666653</c:v>
                </c:pt>
                <c:pt idx="90" formatCode="0.0">
                  <c:v>88.553291666666667</c:v>
                </c:pt>
                <c:pt idx="91" formatCode="0.0">
                  <c:v>113.00314999999999</c:v>
                </c:pt>
                <c:pt idx="92" formatCode="0.0">
                  <c:v>112.31815</c:v>
                </c:pt>
                <c:pt idx="93" formatCode="0.0">
                  <c:v>113.45481666666666</c:v>
                </c:pt>
                <c:pt idx="94" formatCode="0.0">
                  <c:v>108.53333333333333</c:v>
                </c:pt>
                <c:pt idx="95" formatCode="0.0">
                  <c:v>107.65999999999998</c:v>
                </c:pt>
                <c:pt idx="96" formatCode="0.0">
                  <c:v>108.46917499999998</c:v>
                </c:pt>
                <c:pt idx="97" formatCode="0.0">
                  <c:v>109.68917499999999</c:v>
                </c:pt>
                <c:pt idx="98" formatCode="0.0">
                  <c:v>96.726733333333328</c:v>
                </c:pt>
                <c:pt idx="99" formatCode="0.0">
                  <c:v>94.800066666666652</c:v>
                </c:pt>
                <c:pt idx="100" formatCode="0.0">
                  <c:v>94.496266666666671</c:v>
                </c:pt>
                <c:pt idx="101" formatCode="0.0">
                  <c:v>98.865833333333342</c:v>
                </c:pt>
                <c:pt idx="102" formatCode="0.0">
                  <c:v>94.538833333333329</c:v>
                </c:pt>
                <c:pt idx="103" formatCode="0.0">
                  <c:v>96.810083333333324</c:v>
                </c:pt>
                <c:pt idx="104" formatCode="0.0">
                  <c:v>96.446749999999994</c:v>
                </c:pt>
                <c:pt idx="105" formatCode="0.0">
                  <c:v>79.061866666666674</c:v>
                </c:pt>
                <c:pt idx="106" formatCode="0.0">
                  <c:v>79.69853333333333</c:v>
                </c:pt>
                <c:pt idx="107" formatCode="0.0">
                  <c:v>75.418999999999997</c:v>
                </c:pt>
                <c:pt idx="108" formatCode="0.0">
                  <c:v>78.221166666666676</c:v>
                </c:pt>
                <c:pt idx="109" formatCode="0.0">
                  <c:v>79.711666666666645</c:v>
                </c:pt>
                <c:pt idx="110" formatCode="0.0">
                  <c:v>73.209999999999994</c:v>
                </c:pt>
                <c:pt idx="111" formatCode="0.0">
                  <c:v>109.09083333333334</c:v>
                </c:pt>
                <c:pt idx="112" formatCode="0.0">
                  <c:v>103.36380833333334</c:v>
                </c:pt>
                <c:pt idx="113" formatCode="0.0">
                  <c:v>102.84714166666666</c:v>
                </c:pt>
                <c:pt idx="114" formatCode="0.0">
                  <c:v>103.22205833333332</c:v>
                </c:pt>
                <c:pt idx="115" formatCode="0.0">
                  <c:v>99.823158333333325</c:v>
                </c:pt>
                <c:pt idx="116" formatCode="0.0">
                  <c:v>99.53799166666667</c:v>
                </c:pt>
                <c:pt idx="117" formatCode="0.0">
                  <c:v>118.901325</c:v>
                </c:pt>
                <c:pt idx="118" formatCode="0.0">
                  <c:v>83.500625000000014</c:v>
                </c:pt>
                <c:pt idx="119" formatCode="0.0">
                  <c:v>84.18</c:v>
                </c:pt>
                <c:pt idx="120" formatCode="0.0">
                  <c:v>87.123333333333349</c:v>
                </c:pt>
                <c:pt idx="121" formatCode="0.0">
                  <c:v>90.005716666666672</c:v>
                </c:pt>
                <c:pt idx="122" formatCode="0.0">
                  <c:v>79.911824999999993</c:v>
                </c:pt>
                <c:pt idx="123" formatCode="0.0">
                  <c:v>78.816491666666664</c:v>
                </c:pt>
                <c:pt idx="124" formatCode="0.0">
                  <c:v>57.014825000000002</c:v>
                </c:pt>
                <c:pt idx="125" formatCode="0.0">
                  <c:v>53.774691666666662</c:v>
                </c:pt>
                <c:pt idx="126" formatCode="0.0">
                  <c:v>43.996341666666659</c:v>
                </c:pt>
                <c:pt idx="127" formatCode="0.0">
                  <c:v>115.89293333333333</c:v>
                </c:pt>
              </c:numCache>
            </c:numRef>
          </c:yVal>
          <c:smooth val="0"/>
          <c:extLst>
            <c:ext xmlns:c16="http://schemas.microsoft.com/office/drawing/2014/chart" uri="{C3380CC4-5D6E-409C-BE32-E72D297353CC}">
              <c16:uniqueId val="{00000005-560F-4D8F-A456-F6905F0E6039}"/>
            </c:ext>
          </c:extLst>
        </c:ser>
        <c:dLbls>
          <c:showLegendKey val="0"/>
          <c:showVal val="0"/>
          <c:showCatName val="0"/>
          <c:showSerName val="0"/>
          <c:showPercent val="0"/>
          <c:showBubbleSize val="0"/>
        </c:dLbls>
        <c:axId val="1720669791"/>
        <c:axId val="1720680831"/>
        <c:extLst/>
      </c:scatterChart>
      <c:valAx>
        <c:axId val="1720669791"/>
        <c:scaling>
          <c:orientation val="minMax"/>
          <c:max val="100"/>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80831"/>
        <c:crosses val="autoZero"/>
        <c:crossBetween val="midCat"/>
        <c:minorUnit val="1"/>
      </c:valAx>
      <c:valAx>
        <c:axId val="1720680831"/>
        <c:scaling>
          <c:orientation val="minMax"/>
          <c:max val="200"/>
          <c:min val="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669791"/>
        <c:crosses val="autoZero"/>
        <c:crossBetween val="midCat"/>
        <c:majorUnit val="25"/>
        <c:minorUnit val="5"/>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Button" lockText="1"/>
</file>

<file path=xl/ctrlProps/ctrlProp10.xml><?xml version="1.0" encoding="utf-8"?>
<formControlPr xmlns="http://schemas.microsoft.com/office/spreadsheetml/2009/9/main" objectType="CheckBox" fmlaLink="$L$52" lockText="1"/>
</file>

<file path=xl/ctrlProps/ctrlProp100.xml><?xml version="1.0" encoding="utf-8"?>
<formControlPr xmlns="http://schemas.microsoft.com/office/spreadsheetml/2009/9/main" objectType="CheckBox" checked="Checked" fmlaLink="$Q$48" lockText="1"/>
</file>

<file path=xl/ctrlProps/ctrlProp101.xml><?xml version="1.0" encoding="utf-8"?>
<formControlPr xmlns="http://schemas.microsoft.com/office/spreadsheetml/2009/9/main" objectType="Radio" checked="Checked" firstButton="1" fmlaLink="$D$85" lockText="1" noThreeD="1"/>
</file>

<file path=xl/ctrlProps/ctrlProp102.xml><?xml version="1.0" encoding="utf-8"?>
<formControlPr xmlns="http://schemas.microsoft.com/office/spreadsheetml/2009/9/main" objectType="Radio" lockText="1" noThreeD="1"/>
</file>

<file path=xl/ctrlProps/ctrlProp103.xml><?xml version="1.0" encoding="utf-8"?>
<formControlPr xmlns="http://schemas.microsoft.com/office/spreadsheetml/2009/9/main" objectType="Radio" lockText="1" noThreeD="1"/>
</file>

<file path=xl/ctrlProps/ctrlProp104.xml><?xml version="1.0" encoding="utf-8"?>
<formControlPr xmlns="http://schemas.microsoft.com/office/spreadsheetml/2009/9/main" objectType="Radio" lockText="1" noThreeD="1"/>
</file>

<file path=xl/ctrlProps/ctrlProp105.xml><?xml version="1.0" encoding="utf-8"?>
<formControlPr xmlns="http://schemas.microsoft.com/office/spreadsheetml/2009/9/main" objectType="CheckBox" checked="Checked" fmlaLink="$C$4" lockText="1"/>
</file>

<file path=xl/ctrlProps/ctrlProp106.xml><?xml version="1.0" encoding="utf-8"?>
<formControlPr xmlns="http://schemas.microsoft.com/office/spreadsheetml/2009/9/main" objectType="CheckBox" fmlaLink="$L$80" lockText="1"/>
</file>

<file path=xl/ctrlProps/ctrlProp107.xml><?xml version="1.0" encoding="utf-8"?>
<formControlPr xmlns="http://schemas.microsoft.com/office/spreadsheetml/2009/9/main" objectType="GBox" noThreeD="1"/>
</file>

<file path=xl/ctrlProps/ctrlProp108.xml><?xml version="1.0" encoding="utf-8"?>
<formControlPr xmlns="http://schemas.microsoft.com/office/spreadsheetml/2009/9/main" objectType="CheckBox" fmlaLink="$B$105" lockText="1"/>
</file>

<file path=xl/ctrlProps/ctrlProp109.xml><?xml version="1.0" encoding="utf-8"?>
<formControlPr xmlns="http://schemas.microsoft.com/office/spreadsheetml/2009/9/main" objectType="CheckBox" fmlaLink="$L$47" lockText="1"/>
</file>

<file path=xl/ctrlProps/ctrlProp11.xml><?xml version="1.0" encoding="utf-8"?>
<formControlPr xmlns="http://schemas.microsoft.com/office/spreadsheetml/2009/9/main" objectType="CheckBox" fmlaLink="$P$70" lockText="1"/>
</file>

<file path=xl/ctrlProps/ctrlProp110.xml><?xml version="1.0" encoding="utf-8"?>
<formControlPr xmlns="http://schemas.microsoft.com/office/spreadsheetml/2009/9/main" objectType="Button" lockText="1"/>
</file>

<file path=xl/ctrlProps/ctrlProp111.xml><?xml version="1.0" encoding="utf-8"?>
<formControlPr xmlns="http://schemas.microsoft.com/office/spreadsheetml/2009/9/main" objectType="Button" lockText="1"/>
</file>

<file path=xl/ctrlProps/ctrlProp112.xml><?xml version="1.0" encoding="utf-8"?>
<formControlPr xmlns="http://schemas.microsoft.com/office/spreadsheetml/2009/9/main" objectType="Button" lockText="1"/>
</file>

<file path=xl/ctrlProps/ctrlProp113.xml><?xml version="1.0" encoding="utf-8"?>
<formControlPr xmlns="http://schemas.microsoft.com/office/spreadsheetml/2009/9/main" objectType="CheckBox" fmlaLink="$B$56" lockText="1"/>
</file>

<file path=xl/ctrlProps/ctrlProp114.xml><?xml version="1.0" encoding="utf-8"?>
<formControlPr xmlns="http://schemas.microsoft.com/office/spreadsheetml/2009/9/main" objectType="GBox" noThreeD="1"/>
</file>

<file path=xl/ctrlProps/ctrlProp115.xml><?xml version="1.0" encoding="utf-8"?>
<formControlPr xmlns="http://schemas.microsoft.com/office/spreadsheetml/2009/9/main" objectType="CheckBox" fmlaLink="$O$4" lockText="1"/>
</file>

<file path=xl/ctrlProps/ctrlProp116.xml><?xml version="1.0" encoding="utf-8"?>
<formControlPr xmlns="http://schemas.microsoft.com/office/spreadsheetml/2009/9/main" objectType="CheckBox" fmlaLink="$A$14" lockText="1"/>
</file>

<file path=xl/ctrlProps/ctrlProp12.xml><?xml version="1.0" encoding="utf-8"?>
<formControlPr xmlns="http://schemas.microsoft.com/office/spreadsheetml/2009/9/main" objectType="CheckBox" checked="Checked" fmlaLink="$Q$49" lockText="1"/>
</file>

<file path=xl/ctrlProps/ctrlProp13.xml><?xml version="1.0" encoding="utf-8"?>
<formControlPr xmlns="http://schemas.microsoft.com/office/spreadsheetml/2009/9/main" objectType="CheckBox" checked="Checked" fmlaLink="$C$4" lockText="1"/>
</file>

<file path=xl/ctrlProps/ctrlProp14.xml><?xml version="1.0" encoding="utf-8"?>
<formControlPr xmlns="http://schemas.microsoft.com/office/spreadsheetml/2009/9/main" objectType="CheckBox" fmlaLink="$L$88" lockText="1"/>
</file>

<file path=xl/ctrlProps/ctrlProp15.xml><?xml version="1.0" encoding="utf-8"?>
<formControlPr xmlns="http://schemas.microsoft.com/office/spreadsheetml/2009/9/main" objectType="Button" lockText="1"/>
</file>

<file path=xl/ctrlProps/ctrlProp16.xml><?xml version="1.0" encoding="utf-8"?>
<formControlPr xmlns="http://schemas.microsoft.com/office/spreadsheetml/2009/9/main" objectType="CheckBox" fmlaLink="$R$86" lockText="1"/>
</file>

<file path=xl/ctrlProps/ctrlProp17.xml><?xml version="1.0" encoding="utf-8"?>
<formControlPr xmlns="http://schemas.microsoft.com/office/spreadsheetml/2009/9/main" objectType="CheckBox" checked="Checked" fmlaLink="$M$97" lockText="1"/>
</file>

<file path=xl/ctrlProps/ctrlProp18.xml><?xml version="1.0" encoding="utf-8"?>
<formControlPr xmlns="http://schemas.microsoft.com/office/spreadsheetml/2009/9/main" objectType="CheckBox" checked="Checked" fmlaLink="$M$100" lockText="1" noThreeD="1"/>
</file>

<file path=xl/ctrlProps/ctrlProp19.xml><?xml version="1.0" encoding="utf-8"?>
<formControlPr xmlns="http://schemas.microsoft.com/office/spreadsheetml/2009/9/main" objectType="CheckBox" checked="Checked" fmlaLink="$M$102" lockText="1" noThreeD="1"/>
</file>

<file path=xl/ctrlProps/ctrlProp2.xml><?xml version="1.0" encoding="utf-8"?>
<formControlPr xmlns="http://schemas.microsoft.com/office/spreadsheetml/2009/9/main" objectType="Button" lockText="1"/>
</file>

<file path=xl/ctrlProps/ctrlProp20.xml><?xml version="1.0" encoding="utf-8"?>
<formControlPr xmlns="http://schemas.microsoft.com/office/spreadsheetml/2009/9/main" objectType="CheckBox" checked="Checked" fmlaLink="$M$101" lockText="1" noThreeD="1"/>
</file>

<file path=xl/ctrlProps/ctrlProp21.xml><?xml version="1.0" encoding="utf-8"?>
<formControlPr xmlns="http://schemas.microsoft.com/office/spreadsheetml/2009/9/main" objectType="Button" lockText="1"/>
</file>

<file path=xl/ctrlProps/ctrlProp22.xml><?xml version="1.0" encoding="utf-8"?>
<formControlPr xmlns="http://schemas.microsoft.com/office/spreadsheetml/2009/9/main" objectType="CheckBox" fmlaLink="$L$68" lockText="1"/>
</file>

<file path=xl/ctrlProps/ctrlProp23.xml><?xml version="1.0" encoding="utf-8"?>
<formControlPr xmlns="http://schemas.microsoft.com/office/spreadsheetml/2009/9/main" objectType="CheckBox" fmlaLink="$H$72" lockText="1"/>
</file>

<file path=xl/ctrlProps/ctrlProp24.xml><?xml version="1.0" encoding="utf-8"?>
<formControlPr xmlns="http://schemas.microsoft.com/office/spreadsheetml/2009/9/main" objectType="CheckBox" fmlaLink="$L$80" lockText="1"/>
</file>

<file path=xl/ctrlProps/ctrlProp25.xml><?xml version="1.0" encoding="utf-8"?>
<formControlPr xmlns="http://schemas.microsoft.com/office/spreadsheetml/2009/9/main" objectType="CheckBox" fmlaLink="$D$78" lockText="1"/>
</file>

<file path=xl/ctrlProps/ctrlProp26.xml><?xml version="1.0" encoding="utf-8"?>
<formControlPr xmlns="http://schemas.microsoft.com/office/spreadsheetml/2009/9/main" objectType="CheckBox" fmlaLink="$J$78" lockText="1"/>
</file>

<file path=xl/ctrlProps/ctrlProp27.xml><?xml version="1.0" encoding="utf-8"?>
<formControlPr xmlns="http://schemas.microsoft.com/office/spreadsheetml/2009/9/main" objectType="CheckBox" fmlaLink="$D$16" lockText="1"/>
</file>

<file path=xl/ctrlProps/ctrlProp28.xml><?xml version="1.0" encoding="utf-8"?>
<formControlPr xmlns="http://schemas.microsoft.com/office/spreadsheetml/2009/9/main" objectType="CheckBox" fmlaLink="$E$16" lockText="1"/>
</file>

<file path=xl/ctrlProps/ctrlProp29.xml><?xml version="1.0" encoding="utf-8"?>
<formControlPr xmlns="http://schemas.microsoft.com/office/spreadsheetml/2009/9/main" objectType="CheckBox" checked="Checked" fmlaLink="$M$100" lockText="1" noThreeD="1"/>
</file>

<file path=xl/ctrlProps/ctrlProp3.xml><?xml version="1.0" encoding="utf-8"?>
<formControlPr xmlns="http://schemas.microsoft.com/office/spreadsheetml/2009/9/main" objectType="CheckBox" checked="Checked" fmlaLink="$L$58" lockText="1"/>
</file>

<file path=xl/ctrlProps/ctrlProp30.xml><?xml version="1.0" encoding="utf-8"?>
<formControlPr xmlns="http://schemas.microsoft.com/office/spreadsheetml/2009/9/main" objectType="CheckBox" checked="Checked" fmlaLink="$M$101" lockText="1" noThreeD="1"/>
</file>

<file path=xl/ctrlProps/ctrlProp31.xml><?xml version="1.0" encoding="utf-8"?>
<formControlPr xmlns="http://schemas.microsoft.com/office/spreadsheetml/2009/9/main" objectType="CheckBox" checked="Checked" fmlaLink="$M$102" lockText="1" noThreeD="1"/>
</file>

<file path=xl/ctrlProps/ctrlProp32.xml><?xml version="1.0" encoding="utf-8"?>
<formControlPr xmlns="http://schemas.microsoft.com/office/spreadsheetml/2009/9/main" objectType="Radio" checked="Checked" firstButton="1" fmlaLink="$S$6" lockText="1" noThreeD="1"/>
</file>

<file path=xl/ctrlProps/ctrlProp33.xml><?xml version="1.0" encoding="utf-8"?>
<formControlPr xmlns="http://schemas.microsoft.com/office/spreadsheetml/2009/9/main" objectType="Radio" lockText="1" noThreeD="1"/>
</file>

<file path=xl/ctrlProps/ctrlProp34.xml><?xml version="1.0" encoding="utf-8"?>
<formControlPr xmlns="http://schemas.microsoft.com/office/spreadsheetml/2009/9/main" objectType="Radio" firstButton="1" fmlaLink="$G$16" lockText="1" noThreeD="1"/>
</file>

<file path=xl/ctrlProps/ctrlProp35.xml><?xml version="1.0" encoding="utf-8"?>
<formControlPr xmlns="http://schemas.microsoft.com/office/spreadsheetml/2009/9/main" objectType="Radio" checked="Checked" lockText="1" noThreeD="1"/>
</file>

<file path=xl/ctrlProps/ctrlProp36.xml><?xml version="1.0" encoding="utf-8"?>
<formControlPr xmlns="http://schemas.microsoft.com/office/spreadsheetml/2009/9/main" objectType="GBox" noThreeD="1"/>
</file>

<file path=xl/ctrlProps/ctrlProp37.xml><?xml version="1.0" encoding="utf-8"?>
<formControlPr xmlns="http://schemas.microsoft.com/office/spreadsheetml/2009/9/main" objectType="Button" lockText="1"/>
</file>

<file path=xl/ctrlProps/ctrlProp38.xml><?xml version="1.0" encoding="utf-8"?>
<formControlPr xmlns="http://schemas.microsoft.com/office/spreadsheetml/2009/9/main" objectType="CheckBox" checked="Checked" fmlaLink="$B$110" lockText="1"/>
</file>

<file path=xl/ctrlProps/ctrlProp39.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40.xml><?xml version="1.0" encoding="utf-8"?>
<formControlPr xmlns="http://schemas.microsoft.com/office/spreadsheetml/2009/9/main" objectType="Button" lockText="1"/>
</file>

<file path=xl/ctrlProps/ctrlProp41.xml><?xml version="1.0" encoding="utf-8"?>
<formControlPr xmlns="http://schemas.microsoft.com/office/spreadsheetml/2009/9/main" objectType="CheckBox" checked="Checked" fmlaLink="$Q$47" lockText="1"/>
</file>

<file path=xl/ctrlProps/ctrlProp42.xml><?xml version="1.0" encoding="utf-8"?>
<formControlPr xmlns="http://schemas.microsoft.com/office/spreadsheetml/2009/9/main" objectType="CheckBox" checked="Checked" fmlaLink="$Q$48" lockText="1"/>
</file>

<file path=xl/ctrlProps/ctrlProp43.xml><?xml version="1.0" encoding="utf-8"?>
<formControlPr xmlns="http://schemas.microsoft.com/office/spreadsheetml/2009/9/main" objectType="Radio" checked="Checked" firstButton="1" fmlaLink="$D$85" lockText="1" noThreeD="1"/>
</file>

<file path=xl/ctrlProps/ctrlProp44.xml><?xml version="1.0" encoding="utf-8"?>
<formControlPr xmlns="http://schemas.microsoft.com/office/spreadsheetml/2009/9/main" objectType="Radio" lockText="1" noThreeD="1"/>
</file>

<file path=xl/ctrlProps/ctrlProp45.xml><?xml version="1.0" encoding="utf-8"?>
<formControlPr xmlns="http://schemas.microsoft.com/office/spreadsheetml/2009/9/main" objectType="Radio" lockText="1" noThreeD="1"/>
</file>

<file path=xl/ctrlProps/ctrlProp46.xml><?xml version="1.0" encoding="utf-8"?>
<formControlPr xmlns="http://schemas.microsoft.com/office/spreadsheetml/2009/9/main" objectType="Radio" lockText="1" noThreeD="1"/>
</file>

<file path=xl/ctrlProps/ctrlProp47.xml><?xml version="1.0" encoding="utf-8"?>
<formControlPr xmlns="http://schemas.microsoft.com/office/spreadsheetml/2009/9/main" objectType="CheckBox" checked="Checked" fmlaLink="$C$4" lockText="1"/>
</file>

<file path=xl/ctrlProps/ctrlProp48.xml><?xml version="1.0" encoding="utf-8"?>
<formControlPr xmlns="http://schemas.microsoft.com/office/spreadsheetml/2009/9/main" objectType="CheckBox" fmlaLink="$L$80" lockText="1"/>
</file>

<file path=xl/ctrlProps/ctrlProp49.xml><?xml version="1.0" encoding="utf-8"?>
<formControlPr xmlns="http://schemas.microsoft.com/office/spreadsheetml/2009/9/main" objectType="GBox" noThreeD="1"/>
</file>

<file path=xl/ctrlProps/ctrlProp5.xml><?xml version="1.0" encoding="utf-8"?>
<formControlPr xmlns="http://schemas.microsoft.com/office/spreadsheetml/2009/9/main" objectType="Button" lockText="1"/>
</file>

<file path=xl/ctrlProps/ctrlProp50.xml><?xml version="1.0" encoding="utf-8"?>
<formControlPr xmlns="http://schemas.microsoft.com/office/spreadsheetml/2009/9/main" objectType="CheckBox" fmlaLink="$B$105" lockText="1"/>
</file>

<file path=xl/ctrlProps/ctrlProp51.xml><?xml version="1.0" encoding="utf-8"?>
<formControlPr xmlns="http://schemas.microsoft.com/office/spreadsheetml/2009/9/main" objectType="CheckBox" fmlaLink="$L$47" lockText="1"/>
</file>

<file path=xl/ctrlProps/ctrlProp52.xml><?xml version="1.0" encoding="utf-8"?>
<formControlPr xmlns="http://schemas.microsoft.com/office/spreadsheetml/2009/9/main" objectType="Button" lockText="1"/>
</file>

<file path=xl/ctrlProps/ctrlProp53.xml><?xml version="1.0" encoding="utf-8"?>
<formControlPr xmlns="http://schemas.microsoft.com/office/spreadsheetml/2009/9/main" objectType="Button" lockText="1"/>
</file>

<file path=xl/ctrlProps/ctrlProp54.xml><?xml version="1.0" encoding="utf-8"?>
<formControlPr xmlns="http://schemas.microsoft.com/office/spreadsheetml/2009/9/main" objectType="Button" lockText="1"/>
</file>

<file path=xl/ctrlProps/ctrlProp55.xml><?xml version="1.0" encoding="utf-8"?>
<formControlPr xmlns="http://schemas.microsoft.com/office/spreadsheetml/2009/9/main" objectType="CheckBox" fmlaLink="$B$56" lockText="1"/>
</file>

<file path=xl/ctrlProps/ctrlProp56.xml><?xml version="1.0" encoding="utf-8"?>
<formControlPr xmlns="http://schemas.microsoft.com/office/spreadsheetml/2009/9/main" objectType="GBox" noThreeD="1"/>
</file>

<file path=xl/ctrlProps/ctrlProp57.xml><?xml version="1.0" encoding="utf-8"?>
<formControlPr xmlns="http://schemas.microsoft.com/office/spreadsheetml/2009/9/main" objectType="CheckBox" fmlaLink="$O$4" lockText="1"/>
</file>

<file path=xl/ctrlProps/ctrlProp58.xml><?xml version="1.0" encoding="utf-8"?>
<formControlPr xmlns="http://schemas.microsoft.com/office/spreadsheetml/2009/9/main" objectType="CheckBox" fmlaLink="$A$14" lockText="1"/>
</file>

<file path=xl/ctrlProps/ctrlProp59.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ctrlProps/ctrlProp60.xml><?xml version="1.0" encoding="utf-8"?>
<formControlPr xmlns="http://schemas.microsoft.com/office/spreadsheetml/2009/9/main" objectType="Button" lockText="1"/>
</file>

<file path=xl/ctrlProps/ctrlProp61.xml><?xml version="1.0" encoding="utf-8"?>
<formControlPr xmlns="http://schemas.microsoft.com/office/spreadsheetml/2009/9/main" objectType="CheckBox" checked="Checked" fmlaLink="$L$58" lockText="1"/>
</file>

<file path=xl/ctrlProps/ctrlProp62.xml><?xml version="1.0" encoding="utf-8"?>
<formControlPr xmlns="http://schemas.microsoft.com/office/spreadsheetml/2009/9/main" objectType="Button" lockText="1"/>
</file>

<file path=xl/ctrlProps/ctrlProp63.xml><?xml version="1.0" encoding="utf-8"?>
<formControlPr xmlns="http://schemas.microsoft.com/office/spreadsheetml/2009/9/main" objectType="Button" lockText="1"/>
</file>

<file path=xl/ctrlProps/ctrlProp64.xml><?xml version="1.0" encoding="utf-8"?>
<formControlPr xmlns="http://schemas.microsoft.com/office/spreadsheetml/2009/9/main" objectType="Button" lockText="1"/>
</file>

<file path=xl/ctrlProps/ctrlProp65.xml><?xml version="1.0" encoding="utf-8"?>
<formControlPr xmlns="http://schemas.microsoft.com/office/spreadsheetml/2009/9/main" objectType="CheckBox" checked="Checked" fmlaLink="$C$4" lockText="1"/>
</file>

<file path=xl/ctrlProps/ctrlProp66.xml><?xml version="1.0" encoding="utf-8"?>
<formControlPr xmlns="http://schemas.microsoft.com/office/spreadsheetml/2009/9/main" objectType="CheckBox" fmlaLink="$B$4" lockText="1"/>
</file>

<file path=xl/ctrlProps/ctrlProp67.xml><?xml version="1.0" encoding="utf-8"?>
<formControlPr xmlns="http://schemas.microsoft.com/office/spreadsheetml/2009/9/main" objectType="CheckBox" fmlaLink="$L$74" lockText="1"/>
</file>

<file path=xl/ctrlProps/ctrlProp68.xml><?xml version="1.0" encoding="utf-8"?>
<formControlPr xmlns="http://schemas.microsoft.com/office/spreadsheetml/2009/9/main" objectType="CheckBox" fmlaLink="$L$52" lockText="1"/>
</file>

<file path=xl/ctrlProps/ctrlProp69.xml><?xml version="1.0" encoding="utf-8"?>
<formControlPr xmlns="http://schemas.microsoft.com/office/spreadsheetml/2009/9/main" objectType="CheckBox" fmlaLink="$P$70" lockText="1"/>
</file>

<file path=xl/ctrlProps/ctrlProp7.xml><?xml version="1.0" encoding="utf-8"?>
<formControlPr xmlns="http://schemas.microsoft.com/office/spreadsheetml/2009/9/main" objectType="CheckBox" checked="Checked" fmlaLink="$C$4" lockText="1"/>
</file>

<file path=xl/ctrlProps/ctrlProp70.xml><?xml version="1.0" encoding="utf-8"?>
<formControlPr xmlns="http://schemas.microsoft.com/office/spreadsheetml/2009/9/main" objectType="CheckBox" checked="Checked" fmlaLink="$Q$49" lockText="1"/>
</file>

<file path=xl/ctrlProps/ctrlProp71.xml><?xml version="1.0" encoding="utf-8"?>
<formControlPr xmlns="http://schemas.microsoft.com/office/spreadsheetml/2009/9/main" objectType="CheckBox" checked="Checked" fmlaLink="$C$4" lockText="1"/>
</file>

<file path=xl/ctrlProps/ctrlProp72.xml><?xml version="1.0" encoding="utf-8"?>
<formControlPr xmlns="http://schemas.microsoft.com/office/spreadsheetml/2009/9/main" objectType="CheckBox" fmlaLink="$L$88" lockText="1"/>
</file>

<file path=xl/ctrlProps/ctrlProp73.xml><?xml version="1.0" encoding="utf-8"?>
<formControlPr xmlns="http://schemas.microsoft.com/office/spreadsheetml/2009/9/main" objectType="Button" lockText="1"/>
</file>

<file path=xl/ctrlProps/ctrlProp74.xml><?xml version="1.0" encoding="utf-8"?>
<formControlPr xmlns="http://schemas.microsoft.com/office/spreadsheetml/2009/9/main" objectType="CheckBox" fmlaLink="$R$86" lockText="1"/>
</file>

<file path=xl/ctrlProps/ctrlProp75.xml><?xml version="1.0" encoding="utf-8"?>
<formControlPr xmlns="http://schemas.microsoft.com/office/spreadsheetml/2009/9/main" objectType="CheckBox" checked="Checked" fmlaLink="$M$97" lockText="1"/>
</file>

<file path=xl/ctrlProps/ctrlProp76.xml><?xml version="1.0" encoding="utf-8"?>
<formControlPr xmlns="http://schemas.microsoft.com/office/spreadsheetml/2009/9/main" objectType="CheckBox" checked="Checked" fmlaLink="$M$100" lockText="1" noThreeD="1"/>
</file>

<file path=xl/ctrlProps/ctrlProp77.xml><?xml version="1.0" encoding="utf-8"?>
<formControlPr xmlns="http://schemas.microsoft.com/office/spreadsheetml/2009/9/main" objectType="CheckBox" checked="Checked" fmlaLink="$M$102" lockText="1" noThreeD="1"/>
</file>

<file path=xl/ctrlProps/ctrlProp78.xml><?xml version="1.0" encoding="utf-8"?>
<formControlPr xmlns="http://schemas.microsoft.com/office/spreadsheetml/2009/9/main" objectType="CheckBox" checked="Checked" fmlaLink="$M$101" lockText="1" noThreeD="1"/>
</file>

<file path=xl/ctrlProps/ctrlProp79.xml><?xml version="1.0" encoding="utf-8"?>
<formControlPr xmlns="http://schemas.microsoft.com/office/spreadsheetml/2009/9/main" objectType="Button" lockText="1"/>
</file>

<file path=xl/ctrlProps/ctrlProp8.xml><?xml version="1.0" encoding="utf-8"?>
<formControlPr xmlns="http://schemas.microsoft.com/office/spreadsheetml/2009/9/main" objectType="CheckBox" fmlaLink="$B$4" lockText="1"/>
</file>

<file path=xl/ctrlProps/ctrlProp80.xml><?xml version="1.0" encoding="utf-8"?>
<formControlPr xmlns="http://schemas.microsoft.com/office/spreadsheetml/2009/9/main" objectType="CheckBox" fmlaLink="$L$68" lockText="1"/>
</file>

<file path=xl/ctrlProps/ctrlProp81.xml><?xml version="1.0" encoding="utf-8"?>
<formControlPr xmlns="http://schemas.microsoft.com/office/spreadsheetml/2009/9/main" objectType="CheckBox" fmlaLink="$H$72" lockText="1"/>
</file>

<file path=xl/ctrlProps/ctrlProp82.xml><?xml version="1.0" encoding="utf-8"?>
<formControlPr xmlns="http://schemas.microsoft.com/office/spreadsheetml/2009/9/main" objectType="CheckBox" fmlaLink="$L$80" lockText="1"/>
</file>

<file path=xl/ctrlProps/ctrlProp83.xml><?xml version="1.0" encoding="utf-8"?>
<formControlPr xmlns="http://schemas.microsoft.com/office/spreadsheetml/2009/9/main" objectType="CheckBox" fmlaLink="$D$78" lockText="1"/>
</file>

<file path=xl/ctrlProps/ctrlProp84.xml><?xml version="1.0" encoding="utf-8"?>
<formControlPr xmlns="http://schemas.microsoft.com/office/spreadsheetml/2009/9/main" objectType="CheckBox" fmlaLink="$J$78" lockText="1"/>
</file>

<file path=xl/ctrlProps/ctrlProp85.xml><?xml version="1.0" encoding="utf-8"?>
<formControlPr xmlns="http://schemas.microsoft.com/office/spreadsheetml/2009/9/main" objectType="CheckBox" fmlaLink="$D$16" lockText="1"/>
</file>

<file path=xl/ctrlProps/ctrlProp86.xml><?xml version="1.0" encoding="utf-8"?>
<formControlPr xmlns="http://schemas.microsoft.com/office/spreadsheetml/2009/9/main" objectType="CheckBox" fmlaLink="$E$16" lockText="1"/>
</file>

<file path=xl/ctrlProps/ctrlProp87.xml><?xml version="1.0" encoding="utf-8"?>
<formControlPr xmlns="http://schemas.microsoft.com/office/spreadsheetml/2009/9/main" objectType="CheckBox" checked="Checked" fmlaLink="$M$100" lockText="1" noThreeD="1"/>
</file>

<file path=xl/ctrlProps/ctrlProp88.xml><?xml version="1.0" encoding="utf-8"?>
<formControlPr xmlns="http://schemas.microsoft.com/office/spreadsheetml/2009/9/main" objectType="CheckBox" checked="Checked" fmlaLink="$M$101" lockText="1" noThreeD="1"/>
</file>

<file path=xl/ctrlProps/ctrlProp89.xml><?xml version="1.0" encoding="utf-8"?>
<formControlPr xmlns="http://schemas.microsoft.com/office/spreadsheetml/2009/9/main" objectType="CheckBox" checked="Checked" fmlaLink="$M$102" lockText="1" noThreeD="1"/>
</file>

<file path=xl/ctrlProps/ctrlProp9.xml><?xml version="1.0" encoding="utf-8"?>
<formControlPr xmlns="http://schemas.microsoft.com/office/spreadsheetml/2009/9/main" objectType="CheckBox" fmlaLink="$L$74" lockText="1"/>
</file>

<file path=xl/ctrlProps/ctrlProp90.xml><?xml version="1.0" encoding="utf-8"?>
<formControlPr xmlns="http://schemas.microsoft.com/office/spreadsheetml/2009/9/main" objectType="Radio" checked="Checked" firstButton="1" fmlaLink="$S$6" lockText="1" noThreeD="1"/>
</file>

<file path=xl/ctrlProps/ctrlProp91.xml><?xml version="1.0" encoding="utf-8"?>
<formControlPr xmlns="http://schemas.microsoft.com/office/spreadsheetml/2009/9/main" objectType="Radio" lockText="1" noThreeD="1"/>
</file>

<file path=xl/ctrlProps/ctrlProp92.xml><?xml version="1.0" encoding="utf-8"?>
<formControlPr xmlns="http://schemas.microsoft.com/office/spreadsheetml/2009/9/main" objectType="Radio" firstButton="1" fmlaLink="$G$16" lockText="1" noThreeD="1"/>
</file>

<file path=xl/ctrlProps/ctrlProp93.xml><?xml version="1.0" encoding="utf-8"?>
<formControlPr xmlns="http://schemas.microsoft.com/office/spreadsheetml/2009/9/main" objectType="Radio" checked="Checked" lockText="1" noThreeD="1"/>
</file>

<file path=xl/ctrlProps/ctrlProp94.xml><?xml version="1.0" encoding="utf-8"?>
<formControlPr xmlns="http://schemas.microsoft.com/office/spreadsheetml/2009/9/main" objectType="GBox" noThreeD="1"/>
</file>

<file path=xl/ctrlProps/ctrlProp95.xml><?xml version="1.0" encoding="utf-8"?>
<formControlPr xmlns="http://schemas.microsoft.com/office/spreadsheetml/2009/9/main" objectType="Button" lockText="1"/>
</file>

<file path=xl/ctrlProps/ctrlProp96.xml><?xml version="1.0" encoding="utf-8"?>
<formControlPr xmlns="http://schemas.microsoft.com/office/spreadsheetml/2009/9/main" objectType="CheckBox" checked="Checked" fmlaLink="$B$110" lockText="1"/>
</file>

<file path=xl/ctrlProps/ctrlProp97.xml><?xml version="1.0" encoding="utf-8"?>
<formControlPr xmlns="http://schemas.microsoft.com/office/spreadsheetml/2009/9/main" objectType="Button" lockText="1"/>
</file>

<file path=xl/ctrlProps/ctrlProp98.xml><?xml version="1.0" encoding="utf-8"?>
<formControlPr xmlns="http://schemas.microsoft.com/office/spreadsheetml/2009/9/main" objectType="Button" lockText="1"/>
</file>

<file path=xl/ctrlProps/ctrlProp99.xml><?xml version="1.0" encoding="utf-8"?>
<formControlPr xmlns="http://schemas.microsoft.com/office/spreadsheetml/2009/9/main" objectType="CheckBox" checked="Checked" fmlaLink="$Q$47" lockText="1"/>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13</xdr:col>
      <xdr:colOff>390525</xdr:colOff>
      <xdr:row>0</xdr:row>
      <xdr:rowOff>28574</xdr:rowOff>
    </xdr:from>
    <xdr:to>
      <xdr:col>24</xdr:col>
      <xdr:colOff>238125</xdr:colOff>
      <xdr:row>24</xdr:row>
      <xdr:rowOff>9525</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371475</xdr:colOff>
      <xdr:row>25</xdr:row>
      <xdr:rowOff>47624</xdr:rowOff>
    </xdr:from>
    <xdr:to>
      <xdr:col>24</xdr:col>
      <xdr:colOff>180975</xdr:colOff>
      <xdr:row>48</xdr:row>
      <xdr:rowOff>142874</xdr:rowOff>
    </xdr:to>
    <xdr:graphicFrame macro="">
      <xdr:nvGraphicFramePr>
        <xdr:cNvPr id="3" name="Chart 2">
          <a:extLst>
            <a:ext uri="{FF2B5EF4-FFF2-40B4-BE49-F238E27FC236}">
              <a16:creationId xmlns:a16="http://schemas.microsoft.com/office/drawing/2014/main" id="{D4E81C9D-44AB-8AB6-F24C-09D30E2D5A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25</xdr:col>
      <xdr:colOff>76200</xdr:colOff>
      <xdr:row>25</xdr:row>
      <xdr:rowOff>19050</xdr:rowOff>
    </xdr:from>
    <xdr:to>
      <xdr:col>35</xdr:col>
      <xdr:colOff>495300</xdr:colOff>
      <xdr:row>48</xdr:row>
      <xdr:rowOff>114300</xdr:rowOff>
    </xdr:to>
    <xdr:graphicFrame macro="">
      <xdr:nvGraphicFramePr>
        <xdr:cNvPr id="4" name="Chart 3">
          <a:extLst>
            <a:ext uri="{FF2B5EF4-FFF2-40B4-BE49-F238E27FC236}">
              <a16:creationId xmlns:a16="http://schemas.microsoft.com/office/drawing/2014/main" id="{F9DB4CC3-FF27-4DC7-8E70-CC0E166866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371475</xdr:colOff>
      <xdr:row>50</xdr:row>
      <xdr:rowOff>104775</xdr:rowOff>
    </xdr:from>
    <xdr:to>
      <xdr:col>24</xdr:col>
      <xdr:colOff>180975</xdr:colOff>
      <xdr:row>74</xdr:row>
      <xdr:rowOff>38100</xdr:rowOff>
    </xdr:to>
    <xdr:graphicFrame macro="">
      <xdr:nvGraphicFramePr>
        <xdr:cNvPr id="5" name="Chart 4">
          <a:extLst>
            <a:ext uri="{FF2B5EF4-FFF2-40B4-BE49-F238E27FC236}">
              <a16:creationId xmlns:a16="http://schemas.microsoft.com/office/drawing/2014/main" id="{4995970D-7E69-4EE9-95D4-A792A161DB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371475</xdr:colOff>
      <xdr:row>76</xdr:row>
      <xdr:rowOff>57150</xdr:rowOff>
    </xdr:from>
    <xdr:to>
      <xdr:col>24</xdr:col>
      <xdr:colOff>180975</xdr:colOff>
      <xdr:row>99</xdr:row>
      <xdr:rowOff>152400</xdr:rowOff>
    </xdr:to>
    <xdr:graphicFrame macro="">
      <xdr:nvGraphicFramePr>
        <xdr:cNvPr id="6" name="Chart 5">
          <a:extLst>
            <a:ext uri="{FF2B5EF4-FFF2-40B4-BE49-F238E27FC236}">
              <a16:creationId xmlns:a16="http://schemas.microsoft.com/office/drawing/2014/main" id="{DD7D56E6-F97E-4250-A5B9-E70B92CE6D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209550</xdr:colOff>
          <xdr:row>15</xdr:row>
          <xdr:rowOff>19050</xdr:rowOff>
        </xdr:from>
        <xdr:to>
          <xdr:col>3</xdr:col>
          <xdr:colOff>9525</xdr:colOff>
          <xdr:row>15</xdr:row>
          <xdr:rowOff>152400</xdr:rowOff>
        </xdr:to>
        <xdr:sp macro="" textlink="">
          <xdr:nvSpPr>
            <xdr:cNvPr id="1025" name="Button 1" hidden="1">
              <a:extLst>
                <a:ext uri="{63B3BB69-23CF-44E3-9099-C40C66FF867C}">
                  <a14:compatExt spid="_x0000_s1025"/>
                </a:ext>
                <a:ext uri="{FF2B5EF4-FFF2-40B4-BE49-F238E27FC236}">
                  <a16:creationId xmlns:a16="http://schemas.microsoft.com/office/drawing/2014/main" id="{00000000-0008-0000-0300-000001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Arial"/>
                  <a:cs typeface="Arial"/>
                </a:rPr>
                <a:t>Hide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542925</xdr:colOff>
          <xdr:row>15</xdr:row>
          <xdr:rowOff>19050</xdr:rowOff>
        </xdr:from>
        <xdr:to>
          <xdr:col>2</xdr:col>
          <xdr:colOff>190500</xdr:colOff>
          <xdr:row>15</xdr:row>
          <xdr:rowOff>152400</xdr:rowOff>
        </xdr:to>
        <xdr:sp macro="" textlink="">
          <xdr:nvSpPr>
            <xdr:cNvPr id="1026" name="Button 2" hidden="1">
              <a:extLst>
                <a:ext uri="{63B3BB69-23CF-44E3-9099-C40C66FF867C}">
                  <a14:compatExt spid="_x0000_s1026"/>
                </a:ext>
                <a:ext uri="{FF2B5EF4-FFF2-40B4-BE49-F238E27FC236}">
                  <a16:creationId xmlns:a16="http://schemas.microsoft.com/office/drawing/2014/main" id="{00000000-0008-0000-0300-000002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Arial"/>
                  <a:cs typeface="Arial"/>
                </a:rPr>
                <a:t>Show 58</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9525</xdr:colOff>
          <xdr:row>56</xdr:row>
          <xdr:rowOff>133350</xdr:rowOff>
        </xdr:from>
        <xdr:to>
          <xdr:col>11</xdr:col>
          <xdr:colOff>533400</xdr:colOff>
          <xdr:row>58</xdr:row>
          <xdr:rowOff>9525</xdr:rowOff>
        </xdr:to>
        <xdr:sp macro="" textlink="">
          <xdr:nvSpPr>
            <xdr:cNvPr id="1027" name="Check Box 3" hidden="1">
              <a:extLst>
                <a:ext uri="{63B3BB69-23CF-44E3-9099-C40C66FF867C}">
                  <a14:compatExt spid="_x0000_s1027"/>
                </a:ext>
                <a:ext uri="{FF2B5EF4-FFF2-40B4-BE49-F238E27FC236}">
                  <a16:creationId xmlns:a16="http://schemas.microsoft.com/office/drawing/2014/main" id="{00000000-0008-0000-0300-00000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xdr:from>
          <xdr:col>1</xdr:col>
          <xdr:colOff>28575</xdr:colOff>
          <xdr:row>7</xdr:row>
          <xdr:rowOff>28575</xdr:rowOff>
        </xdr:from>
        <xdr:to>
          <xdr:col>1</xdr:col>
          <xdr:colOff>133350</xdr:colOff>
          <xdr:row>8</xdr:row>
          <xdr:rowOff>9525</xdr:rowOff>
        </xdr:to>
        <xdr:sp macro="" textlink="">
          <xdr:nvSpPr>
            <xdr:cNvPr id="1028" name="Button 4" hidden="1">
              <a:extLst>
                <a:ext uri="{63B3BB69-23CF-44E3-9099-C40C66FF867C}">
                  <a14:compatExt spid="_x0000_s1028"/>
                </a:ext>
                <a:ext uri="{FF2B5EF4-FFF2-40B4-BE49-F238E27FC236}">
                  <a16:creationId xmlns:a16="http://schemas.microsoft.com/office/drawing/2014/main" id="{00000000-0008-0000-0300-000004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Arial"/>
                  <a:cs typeface="Arial"/>
                </a:rPr>
                <a:t>H</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28575</xdr:colOff>
          <xdr:row>6</xdr:row>
          <xdr:rowOff>9525</xdr:rowOff>
        </xdr:from>
        <xdr:to>
          <xdr:col>1</xdr:col>
          <xdr:colOff>133350</xdr:colOff>
          <xdr:row>6</xdr:row>
          <xdr:rowOff>161925</xdr:rowOff>
        </xdr:to>
        <xdr:sp macro="" textlink="">
          <xdr:nvSpPr>
            <xdr:cNvPr id="1029" name="Button 5" hidden="1">
              <a:extLst>
                <a:ext uri="{63B3BB69-23CF-44E3-9099-C40C66FF867C}">
                  <a14:compatExt spid="_x0000_s1029"/>
                </a:ext>
                <a:ext uri="{FF2B5EF4-FFF2-40B4-BE49-F238E27FC236}">
                  <a16:creationId xmlns:a16="http://schemas.microsoft.com/office/drawing/2014/main" id="{00000000-0008-0000-0300-000005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Arial"/>
                  <a:cs typeface="Arial"/>
                </a:rPr>
                <a:t>S</a:t>
              </a:r>
            </a:p>
          </xdr:txBody>
        </xdr:sp>
        <xdr:clientData/>
      </xdr:twoCellAnchor>
    </mc:Choice>
    <mc:Fallback/>
  </mc:AlternateContent>
  <mc:AlternateContent xmlns:mc="http://schemas.openxmlformats.org/markup-compatibility/2006">
    <mc:Choice xmlns:a14="http://schemas.microsoft.com/office/drawing/2010/main" Requires="a14">
      <xdr:twoCellAnchor>
        <xdr:from>
          <xdr:col>16</xdr:col>
          <xdr:colOff>409575</xdr:colOff>
          <xdr:row>26</xdr:row>
          <xdr:rowOff>28575</xdr:rowOff>
        </xdr:from>
        <xdr:to>
          <xdr:col>17</xdr:col>
          <xdr:colOff>533400</xdr:colOff>
          <xdr:row>26</xdr:row>
          <xdr:rowOff>152400</xdr:rowOff>
        </xdr:to>
        <xdr:sp macro="" textlink="">
          <xdr:nvSpPr>
            <xdr:cNvPr id="1030" name="Button 6" hidden="1">
              <a:extLst>
                <a:ext uri="{63B3BB69-23CF-44E3-9099-C40C66FF867C}">
                  <a14:compatExt spid="_x0000_s1030"/>
                </a:ext>
                <a:ext uri="{FF2B5EF4-FFF2-40B4-BE49-F238E27FC236}">
                  <a16:creationId xmlns:a16="http://schemas.microsoft.com/office/drawing/2014/main" id="{00000000-0008-0000-0300-000006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Arial"/>
                  <a:cs typeface="Arial"/>
                </a:rPr>
                <a:t>Clear Entries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14</xdr:col>
          <xdr:colOff>47625</xdr:colOff>
          <xdr:row>46</xdr:row>
          <xdr:rowOff>142875</xdr:rowOff>
        </xdr:from>
        <xdr:to>
          <xdr:col>14</xdr:col>
          <xdr:colOff>476250</xdr:colOff>
          <xdr:row>48</xdr:row>
          <xdr:rowOff>9525</xdr:rowOff>
        </xdr:to>
        <xdr:sp macro="" textlink="">
          <xdr:nvSpPr>
            <xdr:cNvPr id="1031" name="Check Box 7" hidden="1">
              <a:extLst>
                <a:ext uri="{63B3BB69-23CF-44E3-9099-C40C66FF867C}">
                  <a14:compatExt spid="_x0000_s1031"/>
                </a:ext>
                <a:ext uri="{FF2B5EF4-FFF2-40B4-BE49-F238E27FC236}">
                  <a16:creationId xmlns:a16="http://schemas.microsoft.com/office/drawing/2014/main" id="{00000000-0008-0000-0300-00000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Male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xdr:colOff>
          <xdr:row>2</xdr:row>
          <xdr:rowOff>133350</xdr:rowOff>
        </xdr:from>
        <xdr:to>
          <xdr:col>1</xdr:col>
          <xdr:colOff>561975</xdr:colOff>
          <xdr:row>4</xdr:row>
          <xdr:rowOff>9525</xdr:rowOff>
        </xdr:to>
        <xdr:sp macro="" textlink="">
          <xdr:nvSpPr>
            <xdr:cNvPr id="1032" name="Check Box 8" hidden="1">
              <a:extLst>
                <a:ext uri="{63B3BB69-23CF-44E3-9099-C40C66FF867C}">
                  <a14:compatExt spid="_x0000_s1032"/>
                </a:ext>
                <a:ext uri="{FF2B5EF4-FFF2-40B4-BE49-F238E27FC236}">
                  <a16:creationId xmlns:a16="http://schemas.microsoft.com/office/drawing/2014/main" id="{00000000-0008-0000-0300-00000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19050</xdr:colOff>
          <xdr:row>72</xdr:row>
          <xdr:rowOff>133350</xdr:rowOff>
        </xdr:from>
        <xdr:to>
          <xdr:col>11</xdr:col>
          <xdr:colOff>542925</xdr:colOff>
          <xdr:row>74</xdr:row>
          <xdr:rowOff>0</xdr:rowOff>
        </xdr:to>
        <xdr:sp macro="" textlink="">
          <xdr:nvSpPr>
            <xdr:cNvPr id="1033" name="Check Box 9" hidden="1">
              <a:extLst>
                <a:ext uri="{63B3BB69-23CF-44E3-9099-C40C66FF867C}">
                  <a14:compatExt spid="_x0000_s1033"/>
                </a:ext>
                <a:ext uri="{FF2B5EF4-FFF2-40B4-BE49-F238E27FC236}">
                  <a16:creationId xmlns:a16="http://schemas.microsoft.com/office/drawing/2014/main" id="{00000000-0008-0000-0300-00000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19050</xdr:colOff>
          <xdr:row>50</xdr:row>
          <xdr:rowOff>142875</xdr:rowOff>
        </xdr:from>
        <xdr:to>
          <xdr:col>11</xdr:col>
          <xdr:colOff>542925</xdr:colOff>
          <xdr:row>52</xdr:row>
          <xdr:rowOff>9525</xdr:rowOff>
        </xdr:to>
        <xdr:sp macro="" textlink="">
          <xdr:nvSpPr>
            <xdr:cNvPr id="1034" name="Check Box 10" hidden="1">
              <a:extLst>
                <a:ext uri="{63B3BB69-23CF-44E3-9099-C40C66FF867C}">
                  <a14:compatExt spid="_x0000_s1034"/>
                </a:ext>
                <a:ext uri="{FF2B5EF4-FFF2-40B4-BE49-F238E27FC236}">
                  <a16:creationId xmlns:a16="http://schemas.microsoft.com/office/drawing/2014/main" id="{00000000-0008-0000-0300-00000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68</xdr:row>
          <xdr:rowOff>133350</xdr:rowOff>
        </xdr:from>
        <xdr:to>
          <xdr:col>15</xdr:col>
          <xdr:colOff>542925</xdr:colOff>
          <xdr:row>70</xdr:row>
          <xdr:rowOff>9525</xdr:rowOff>
        </xdr:to>
        <xdr:sp macro="" textlink="">
          <xdr:nvSpPr>
            <xdr:cNvPr id="1035" name="Check Box 11" hidden="1">
              <a:extLst>
                <a:ext uri="{63B3BB69-23CF-44E3-9099-C40C66FF867C}">
                  <a14:compatExt spid="_x0000_s1035"/>
                </a:ext>
                <a:ext uri="{FF2B5EF4-FFF2-40B4-BE49-F238E27FC236}">
                  <a16:creationId xmlns:a16="http://schemas.microsoft.com/office/drawing/2014/main" id="{00000000-0008-0000-0300-00000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542925</xdr:colOff>
          <xdr:row>47</xdr:row>
          <xdr:rowOff>152400</xdr:rowOff>
        </xdr:from>
        <xdr:to>
          <xdr:col>16</xdr:col>
          <xdr:colOff>552450</xdr:colOff>
          <xdr:row>48</xdr:row>
          <xdr:rowOff>161925</xdr:rowOff>
        </xdr:to>
        <xdr:sp macro="" textlink="">
          <xdr:nvSpPr>
            <xdr:cNvPr id="1036" name="Check Box 12" hidden="1">
              <a:extLst>
                <a:ext uri="{63B3BB69-23CF-44E3-9099-C40C66FF867C}">
                  <a14:compatExt spid="_x0000_s1036"/>
                </a:ext>
                <a:ext uri="{FF2B5EF4-FFF2-40B4-BE49-F238E27FC236}">
                  <a16:creationId xmlns:a16="http://schemas.microsoft.com/office/drawing/2014/main" id="{00000000-0008-0000-0300-00000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vs Male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xdr:colOff>
          <xdr:row>2</xdr:row>
          <xdr:rowOff>133350</xdr:rowOff>
        </xdr:from>
        <xdr:to>
          <xdr:col>2</xdr:col>
          <xdr:colOff>438150</xdr:colOff>
          <xdr:row>4</xdr:row>
          <xdr:rowOff>9525</xdr:rowOff>
        </xdr:to>
        <xdr:sp macro="" textlink="">
          <xdr:nvSpPr>
            <xdr:cNvPr id="1037" name="Check Box 13" hidden="1">
              <a:extLst>
                <a:ext uri="{63B3BB69-23CF-44E3-9099-C40C66FF867C}">
                  <a14:compatExt spid="_x0000_s1037"/>
                </a:ext>
                <a:ext uri="{FF2B5EF4-FFF2-40B4-BE49-F238E27FC236}">
                  <a16:creationId xmlns:a16="http://schemas.microsoft.com/office/drawing/2014/main" id="{00000000-0008-0000-0300-00000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Male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19050</xdr:colOff>
          <xdr:row>86</xdr:row>
          <xdr:rowOff>133350</xdr:rowOff>
        </xdr:from>
        <xdr:to>
          <xdr:col>11</xdr:col>
          <xdr:colOff>542925</xdr:colOff>
          <xdr:row>88</xdr:row>
          <xdr:rowOff>0</xdr:rowOff>
        </xdr:to>
        <xdr:sp macro="" textlink="">
          <xdr:nvSpPr>
            <xdr:cNvPr id="1038" name="Check Box 14" hidden="1">
              <a:extLst>
                <a:ext uri="{63B3BB69-23CF-44E3-9099-C40C66FF867C}">
                  <a14:compatExt spid="_x0000_s1038"/>
                </a:ext>
                <a:ext uri="{FF2B5EF4-FFF2-40B4-BE49-F238E27FC236}">
                  <a16:creationId xmlns:a16="http://schemas.microsoft.com/office/drawing/2014/main" id="{00000000-0008-0000-0300-00000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104775</xdr:colOff>
          <xdr:row>114</xdr:row>
          <xdr:rowOff>9525</xdr:rowOff>
        </xdr:from>
        <xdr:to>
          <xdr:col>11</xdr:col>
          <xdr:colOff>523875</xdr:colOff>
          <xdr:row>114</xdr:row>
          <xdr:rowOff>161925</xdr:rowOff>
        </xdr:to>
        <xdr:sp macro="" textlink="">
          <xdr:nvSpPr>
            <xdr:cNvPr id="1039" name="Button 15" hidden="1">
              <a:extLst>
                <a:ext uri="{63B3BB69-23CF-44E3-9099-C40C66FF867C}">
                  <a14:compatExt spid="_x0000_s1039"/>
                </a:ext>
                <a:ext uri="{FF2B5EF4-FFF2-40B4-BE49-F238E27FC236}">
                  <a16:creationId xmlns:a16="http://schemas.microsoft.com/office/drawing/2014/main" id="{00000000-0008-0000-0300-00000F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Arial"/>
                  <a:cs typeface="Arial"/>
                </a:rPr>
                <a:t>Clear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9525</xdr:colOff>
          <xdr:row>84</xdr:row>
          <xdr:rowOff>142875</xdr:rowOff>
        </xdr:from>
        <xdr:to>
          <xdr:col>17</xdr:col>
          <xdr:colOff>533400</xdr:colOff>
          <xdr:row>86</xdr:row>
          <xdr:rowOff>19050</xdr:rowOff>
        </xdr:to>
        <xdr:sp macro="" textlink="">
          <xdr:nvSpPr>
            <xdr:cNvPr id="1040" name="Check Box 16" hidden="1">
              <a:extLst>
                <a:ext uri="{63B3BB69-23CF-44E3-9099-C40C66FF867C}">
                  <a14:compatExt spid="_x0000_s1040"/>
                </a:ext>
                <a:ext uri="{FF2B5EF4-FFF2-40B4-BE49-F238E27FC236}">
                  <a16:creationId xmlns:a16="http://schemas.microsoft.com/office/drawing/2014/main" id="{00000000-0008-0000-0300-00001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19050</xdr:colOff>
          <xdr:row>95</xdr:row>
          <xdr:rowOff>123825</xdr:rowOff>
        </xdr:from>
        <xdr:to>
          <xdr:col>14</xdr:col>
          <xdr:colOff>19050</xdr:colOff>
          <xdr:row>97</xdr:row>
          <xdr:rowOff>38100</xdr:rowOff>
        </xdr:to>
        <xdr:sp macro="" textlink="">
          <xdr:nvSpPr>
            <xdr:cNvPr id="1041" name="Check Box 17" hidden="1">
              <a:extLst>
                <a:ext uri="{63B3BB69-23CF-44E3-9099-C40C66FF867C}">
                  <a14:compatExt spid="_x0000_s1041"/>
                </a:ext>
                <a:ext uri="{FF2B5EF4-FFF2-40B4-BE49-F238E27FC236}">
                  <a16:creationId xmlns:a16="http://schemas.microsoft.com/office/drawing/2014/main" id="{00000000-0008-0000-0300-00001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Add instead of subtract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98</xdr:row>
          <xdr:rowOff>142875</xdr:rowOff>
        </xdr:from>
        <xdr:to>
          <xdr:col>13</xdr:col>
          <xdr:colOff>333375</xdr:colOff>
          <xdr:row>100</xdr:row>
          <xdr:rowOff>9525</xdr:rowOff>
        </xdr:to>
        <xdr:sp macro="" textlink="">
          <xdr:nvSpPr>
            <xdr:cNvPr id="1042" name="Check Box 18" hidden="1">
              <a:extLst>
                <a:ext uri="{63B3BB69-23CF-44E3-9099-C40C66FF867C}">
                  <a14:compatExt spid="_x0000_s1042"/>
                </a:ext>
                <a:ext uri="{FF2B5EF4-FFF2-40B4-BE49-F238E27FC236}">
                  <a16:creationId xmlns:a16="http://schemas.microsoft.com/office/drawing/2014/main" id="{00000000-0008-0000-0300-00001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Age Grade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100</xdr:row>
          <xdr:rowOff>142875</xdr:rowOff>
        </xdr:from>
        <xdr:to>
          <xdr:col>13</xdr:col>
          <xdr:colOff>333375</xdr:colOff>
          <xdr:row>102</xdr:row>
          <xdr:rowOff>28575</xdr:rowOff>
        </xdr:to>
        <xdr:sp macro="" textlink="">
          <xdr:nvSpPr>
            <xdr:cNvPr id="1043" name="Check Box 19" hidden="1">
              <a:extLst>
                <a:ext uri="{63B3BB69-23CF-44E3-9099-C40C66FF867C}">
                  <a14:compatExt spid="_x0000_s1043"/>
                </a:ext>
                <a:ext uri="{FF2B5EF4-FFF2-40B4-BE49-F238E27FC236}">
                  <a16:creationId xmlns:a16="http://schemas.microsoft.com/office/drawing/2014/main" id="{00000000-0008-0000-0300-00001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Temp Adjustment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99</xdr:row>
          <xdr:rowOff>142875</xdr:rowOff>
        </xdr:from>
        <xdr:to>
          <xdr:col>13</xdr:col>
          <xdr:colOff>419100</xdr:colOff>
          <xdr:row>101</xdr:row>
          <xdr:rowOff>28575</xdr:rowOff>
        </xdr:to>
        <xdr:sp macro="" textlink="">
          <xdr:nvSpPr>
            <xdr:cNvPr id="1044" name="Check Box 20" hidden="1">
              <a:extLst>
                <a:ext uri="{63B3BB69-23CF-44E3-9099-C40C66FF867C}">
                  <a14:compatExt spid="_x0000_s1044"/>
                </a:ext>
                <a:ext uri="{FF2B5EF4-FFF2-40B4-BE49-F238E27FC236}">
                  <a16:creationId xmlns:a16="http://schemas.microsoft.com/office/drawing/2014/main" id="{00000000-0008-0000-0300-00001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Weight Adjustment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171450</xdr:colOff>
          <xdr:row>74</xdr:row>
          <xdr:rowOff>161925</xdr:rowOff>
        </xdr:from>
        <xdr:to>
          <xdr:col>13</xdr:col>
          <xdr:colOff>438150</xdr:colOff>
          <xdr:row>75</xdr:row>
          <xdr:rowOff>152400</xdr:rowOff>
        </xdr:to>
        <xdr:sp macro="" textlink="">
          <xdr:nvSpPr>
            <xdr:cNvPr id="1045" name="Button 21" hidden="1">
              <a:extLst>
                <a:ext uri="{63B3BB69-23CF-44E3-9099-C40C66FF867C}">
                  <a14:compatExt spid="_x0000_s1045"/>
                </a:ext>
                <a:ext uri="{FF2B5EF4-FFF2-40B4-BE49-F238E27FC236}">
                  <a16:creationId xmlns:a16="http://schemas.microsoft.com/office/drawing/2014/main" id="{00000000-0008-0000-0300-000015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700" b="0" i="0" u="none" strike="noStrike" baseline="0">
                  <a:solidFill>
                    <a:srgbClr val="000000"/>
                  </a:solidFill>
                  <a:latin typeface="Arial"/>
                  <a:cs typeface="Arial"/>
                </a:rPr>
                <a:t>Restore Entry Time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9525</xdr:colOff>
          <xdr:row>66</xdr:row>
          <xdr:rowOff>133350</xdr:rowOff>
        </xdr:from>
        <xdr:to>
          <xdr:col>11</xdr:col>
          <xdr:colOff>533400</xdr:colOff>
          <xdr:row>68</xdr:row>
          <xdr:rowOff>0</xdr:rowOff>
        </xdr:to>
        <xdr:sp macro="" textlink="">
          <xdr:nvSpPr>
            <xdr:cNvPr id="1046" name="Check Box 22" hidden="1">
              <a:extLst>
                <a:ext uri="{63B3BB69-23CF-44E3-9099-C40C66FF867C}">
                  <a14:compatExt spid="_x0000_s1046"/>
                </a:ext>
                <a:ext uri="{FF2B5EF4-FFF2-40B4-BE49-F238E27FC236}">
                  <a16:creationId xmlns:a16="http://schemas.microsoft.com/office/drawing/2014/main" id="{00000000-0008-0000-0300-00001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66675</xdr:colOff>
          <xdr:row>70</xdr:row>
          <xdr:rowOff>133350</xdr:rowOff>
        </xdr:from>
        <xdr:to>
          <xdr:col>7</xdr:col>
          <xdr:colOff>466725</xdr:colOff>
          <xdr:row>72</xdr:row>
          <xdr:rowOff>0</xdr:rowOff>
        </xdr:to>
        <xdr:sp macro="" textlink="">
          <xdr:nvSpPr>
            <xdr:cNvPr id="1047" name="Check Box 23" hidden="1">
              <a:extLst>
                <a:ext uri="{63B3BB69-23CF-44E3-9099-C40C66FF867C}">
                  <a14:compatExt spid="_x0000_s1047"/>
                </a:ext>
                <a:ext uri="{FF2B5EF4-FFF2-40B4-BE49-F238E27FC236}">
                  <a16:creationId xmlns:a16="http://schemas.microsoft.com/office/drawing/2014/main" id="{00000000-0008-0000-0300-00001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Calc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19050</xdr:colOff>
          <xdr:row>78</xdr:row>
          <xdr:rowOff>133350</xdr:rowOff>
        </xdr:from>
        <xdr:to>
          <xdr:col>11</xdr:col>
          <xdr:colOff>542925</xdr:colOff>
          <xdr:row>80</xdr:row>
          <xdr:rowOff>9525</xdr:rowOff>
        </xdr:to>
        <xdr:sp macro="" textlink="">
          <xdr:nvSpPr>
            <xdr:cNvPr id="1048" name="Check Box 24" hidden="1">
              <a:extLst>
                <a:ext uri="{63B3BB69-23CF-44E3-9099-C40C66FF867C}">
                  <a14:compatExt spid="_x0000_s1048"/>
                </a:ext>
                <a:ext uri="{FF2B5EF4-FFF2-40B4-BE49-F238E27FC236}">
                  <a16:creationId xmlns:a16="http://schemas.microsoft.com/office/drawing/2014/main" id="{00000000-0008-0000-0300-000018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19050</xdr:colOff>
          <xdr:row>76</xdr:row>
          <xdr:rowOff>161925</xdr:rowOff>
        </xdr:from>
        <xdr:to>
          <xdr:col>4</xdr:col>
          <xdr:colOff>552450</xdr:colOff>
          <xdr:row>77</xdr:row>
          <xdr:rowOff>161925</xdr:rowOff>
        </xdr:to>
        <xdr:sp macro="" textlink="">
          <xdr:nvSpPr>
            <xdr:cNvPr id="1049" name="Check Box 25" hidden="1">
              <a:extLst>
                <a:ext uri="{63B3BB69-23CF-44E3-9099-C40C66FF867C}">
                  <a14:compatExt spid="_x0000_s1049"/>
                </a:ext>
                <a:ext uri="{FF2B5EF4-FFF2-40B4-BE49-F238E27FC236}">
                  <a16:creationId xmlns:a16="http://schemas.microsoft.com/office/drawing/2014/main" id="{00000000-0008-0000-0300-00001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Use Manual  LTHR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19050</xdr:colOff>
          <xdr:row>76</xdr:row>
          <xdr:rowOff>161925</xdr:rowOff>
        </xdr:from>
        <xdr:to>
          <xdr:col>10</xdr:col>
          <xdr:colOff>552450</xdr:colOff>
          <xdr:row>77</xdr:row>
          <xdr:rowOff>161925</xdr:rowOff>
        </xdr:to>
        <xdr:sp macro="" textlink="">
          <xdr:nvSpPr>
            <xdr:cNvPr id="1050" name="Check Box 26" hidden="1">
              <a:extLst>
                <a:ext uri="{63B3BB69-23CF-44E3-9099-C40C66FF867C}">
                  <a14:compatExt spid="_x0000_s1050"/>
                </a:ext>
                <a:ext uri="{FF2B5EF4-FFF2-40B4-BE49-F238E27FC236}">
                  <a16:creationId xmlns:a16="http://schemas.microsoft.com/office/drawing/2014/main" id="{00000000-0008-0000-0300-00001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Use Manual  FTPa</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114300</xdr:colOff>
          <xdr:row>15</xdr:row>
          <xdr:rowOff>9525</xdr:rowOff>
        </xdr:from>
        <xdr:to>
          <xdr:col>4</xdr:col>
          <xdr:colOff>76200</xdr:colOff>
          <xdr:row>15</xdr:row>
          <xdr:rowOff>142875</xdr:rowOff>
        </xdr:to>
        <xdr:sp macro="" textlink="">
          <xdr:nvSpPr>
            <xdr:cNvPr id="1051" name="Check Box 27" hidden="1">
              <a:extLst>
                <a:ext uri="{63B3BB69-23CF-44E3-9099-C40C66FF867C}">
                  <a14:compatExt spid="_x0000_s1051"/>
                </a:ext>
                <a:ext uri="{FF2B5EF4-FFF2-40B4-BE49-F238E27FC236}">
                  <a16:creationId xmlns:a16="http://schemas.microsoft.com/office/drawing/2014/main" id="{00000000-0008-0000-0300-00001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66675</xdr:colOff>
          <xdr:row>15</xdr:row>
          <xdr:rowOff>9525</xdr:rowOff>
        </xdr:from>
        <xdr:to>
          <xdr:col>5</xdr:col>
          <xdr:colOff>9525</xdr:colOff>
          <xdr:row>15</xdr:row>
          <xdr:rowOff>142875</xdr:rowOff>
        </xdr:to>
        <xdr:sp macro="" textlink="">
          <xdr:nvSpPr>
            <xdr:cNvPr id="1052" name="Check Box 28" hidden="1">
              <a:extLst>
                <a:ext uri="{63B3BB69-23CF-44E3-9099-C40C66FF867C}">
                  <a14:compatExt spid="_x0000_s1052"/>
                </a:ext>
                <a:ext uri="{FF2B5EF4-FFF2-40B4-BE49-F238E27FC236}">
                  <a16:creationId xmlns:a16="http://schemas.microsoft.com/office/drawing/2014/main" id="{00000000-0008-0000-0300-00001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KM x2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190500</xdr:colOff>
          <xdr:row>79</xdr:row>
          <xdr:rowOff>152400</xdr:rowOff>
        </xdr:from>
        <xdr:to>
          <xdr:col>14</xdr:col>
          <xdr:colOff>428625</xdr:colOff>
          <xdr:row>81</xdr:row>
          <xdr:rowOff>9525</xdr:rowOff>
        </xdr:to>
        <xdr:sp macro="" textlink="">
          <xdr:nvSpPr>
            <xdr:cNvPr id="1053" name="Check Box 29" hidden="1">
              <a:extLst>
                <a:ext uri="{63B3BB69-23CF-44E3-9099-C40C66FF867C}">
                  <a14:compatExt spid="_x0000_s1053"/>
                </a:ext>
                <a:ext uri="{FF2B5EF4-FFF2-40B4-BE49-F238E27FC236}">
                  <a16:creationId xmlns:a16="http://schemas.microsoft.com/office/drawing/2014/main" id="{00000000-0008-0000-0300-00001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190500</xdr:colOff>
          <xdr:row>85</xdr:row>
          <xdr:rowOff>152400</xdr:rowOff>
        </xdr:from>
        <xdr:to>
          <xdr:col>14</xdr:col>
          <xdr:colOff>428625</xdr:colOff>
          <xdr:row>87</xdr:row>
          <xdr:rowOff>9525</xdr:rowOff>
        </xdr:to>
        <xdr:sp macro="" textlink="">
          <xdr:nvSpPr>
            <xdr:cNvPr id="1054" name="Check Box 30" hidden="1">
              <a:extLst>
                <a:ext uri="{63B3BB69-23CF-44E3-9099-C40C66FF867C}">
                  <a14:compatExt spid="_x0000_s1054"/>
                </a:ext>
                <a:ext uri="{FF2B5EF4-FFF2-40B4-BE49-F238E27FC236}">
                  <a16:creationId xmlns:a16="http://schemas.microsoft.com/office/drawing/2014/main" id="{00000000-0008-0000-0300-00001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190500</xdr:colOff>
          <xdr:row>92</xdr:row>
          <xdr:rowOff>152400</xdr:rowOff>
        </xdr:from>
        <xdr:to>
          <xdr:col>14</xdr:col>
          <xdr:colOff>428625</xdr:colOff>
          <xdr:row>94</xdr:row>
          <xdr:rowOff>9525</xdr:rowOff>
        </xdr:to>
        <xdr:sp macro="" textlink="">
          <xdr:nvSpPr>
            <xdr:cNvPr id="1055" name="Check Box 31" hidden="1">
              <a:extLst>
                <a:ext uri="{63B3BB69-23CF-44E3-9099-C40C66FF867C}">
                  <a14:compatExt spid="_x0000_s1055"/>
                </a:ext>
                <a:ext uri="{FF2B5EF4-FFF2-40B4-BE49-F238E27FC236}">
                  <a16:creationId xmlns:a16="http://schemas.microsoft.com/office/drawing/2014/main" id="{00000000-0008-0000-0300-00001F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38100</xdr:colOff>
          <xdr:row>6</xdr:row>
          <xdr:rowOff>9525</xdr:rowOff>
        </xdr:from>
        <xdr:to>
          <xdr:col>18</xdr:col>
          <xdr:colOff>590550</xdr:colOff>
          <xdr:row>6</xdr:row>
          <xdr:rowOff>152400</xdr:rowOff>
        </xdr:to>
        <xdr:sp macro="" textlink="">
          <xdr:nvSpPr>
            <xdr:cNvPr id="1056" name="Option Button 32" hidden="1">
              <a:extLst>
                <a:ext uri="{63B3BB69-23CF-44E3-9099-C40C66FF867C}">
                  <a14:compatExt spid="_x0000_s1056"/>
                </a:ext>
                <a:ext uri="{FF2B5EF4-FFF2-40B4-BE49-F238E27FC236}">
                  <a16:creationId xmlns:a16="http://schemas.microsoft.com/office/drawing/2014/main" id="{00000000-0008-0000-0300-00002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Miles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38100</xdr:colOff>
          <xdr:row>5</xdr:row>
          <xdr:rowOff>9525</xdr:rowOff>
        </xdr:from>
        <xdr:to>
          <xdr:col>18</xdr:col>
          <xdr:colOff>590550</xdr:colOff>
          <xdr:row>5</xdr:row>
          <xdr:rowOff>161925</xdr:rowOff>
        </xdr:to>
        <xdr:sp macro="" textlink="">
          <xdr:nvSpPr>
            <xdr:cNvPr id="1057" name="Option Button 33" hidden="1">
              <a:extLst>
                <a:ext uri="{63B3BB69-23CF-44E3-9099-C40C66FF867C}">
                  <a14:compatExt spid="_x0000_s1057"/>
                </a:ext>
                <a:ext uri="{FF2B5EF4-FFF2-40B4-BE49-F238E27FC236}">
                  <a16:creationId xmlns:a16="http://schemas.microsoft.com/office/drawing/2014/main" id="{00000000-0008-0000-0300-00002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 KM</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552450</xdr:colOff>
          <xdr:row>15</xdr:row>
          <xdr:rowOff>0</xdr:rowOff>
        </xdr:from>
        <xdr:to>
          <xdr:col>5</xdr:col>
          <xdr:colOff>523875</xdr:colOff>
          <xdr:row>15</xdr:row>
          <xdr:rowOff>161925</xdr:rowOff>
        </xdr:to>
        <xdr:sp macro="" textlink="">
          <xdr:nvSpPr>
            <xdr:cNvPr id="1058" name="Option Button 34" hidden="1">
              <a:extLst>
                <a:ext uri="{63B3BB69-23CF-44E3-9099-C40C66FF867C}">
                  <a14:compatExt spid="_x0000_s1058"/>
                </a:ext>
                <a:ext uri="{FF2B5EF4-FFF2-40B4-BE49-F238E27FC236}">
                  <a16:creationId xmlns:a16="http://schemas.microsoft.com/office/drawing/2014/main" id="{00000000-0008-0000-0300-00002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Daniels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533400</xdr:colOff>
          <xdr:row>15</xdr:row>
          <xdr:rowOff>0</xdr:rowOff>
        </xdr:from>
        <xdr:to>
          <xdr:col>6</xdr:col>
          <xdr:colOff>523875</xdr:colOff>
          <xdr:row>15</xdr:row>
          <xdr:rowOff>161925</xdr:rowOff>
        </xdr:to>
        <xdr:sp macro="" textlink="">
          <xdr:nvSpPr>
            <xdr:cNvPr id="1059" name="Option Button 35" hidden="1">
              <a:extLst>
                <a:ext uri="{63B3BB69-23CF-44E3-9099-C40C66FF867C}">
                  <a14:compatExt spid="_x0000_s1059"/>
                </a:ext>
                <a:ext uri="{FF2B5EF4-FFF2-40B4-BE49-F238E27FC236}">
                  <a16:creationId xmlns:a16="http://schemas.microsoft.com/office/drawing/2014/main" id="{00000000-0008-0000-0300-00002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Riegel</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523875</xdr:colOff>
          <xdr:row>4</xdr:row>
          <xdr:rowOff>133350</xdr:rowOff>
        </xdr:from>
        <xdr:to>
          <xdr:col>19</xdr:col>
          <xdr:colOff>38100</xdr:colOff>
          <xdr:row>6</xdr:row>
          <xdr:rowOff>161925</xdr:rowOff>
        </xdr:to>
        <xdr:sp macro="" textlink="">
          <xdr:nvSpPr>
            <xdr:cNvPr id="1060" name="Group Box 36" hidden="1">
              <a:extLst>
                <a:ext uri="{63B3BB69-23CF-44E3-9099-C40C66FF867C}">
                  <a14:compatExt spid="_x0000_s1060"/>
                </a:ext>
                <a:ext uri="{FF2B5EF4-FFF2-40B4-BE49-F238E27FC236}">
                  <a16:creationId xmlns:a16="http://schemas.microsoft.com/office/drawing/2014/main" id="{00000000-0008-0000-0300-0000240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27432" tIns="18288" rIns="0" bIns="0" anchor="t" upright="1"/>
            <a:lstStyle/>
            <a:p>
              <a:pPr algn="l" rtl="0">
                <a:defRPr sz="1000"/>
              </a:pPr>
              <a:r>
                <a:rPr lang="en-US" sz="800" b="0" i="0" u="none" strike="noStrike" baseline="0">
                  <a:solidFill>
                    <a:srgbClr val="000000"/>
                  </a:solidFill>
                  <a:latin typeface="Segoe UI"/>
                  <a:cs typeface="Segoe UI"/>
                </a:rPr>
                <a:t>Group Box 60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76200</xdr:colOff>
          <xdr:row>91</xdr:row>
          <xdr:rowOff>28575</xdr:rowOff>
        </xdr:from>
        <xdr:to>
          <xdr:col>13</xdr:col>
          <xdr:colOff>533400</xdr:colOff>
          <xdr:row>92</xdr:row>
          <xdr:rowOff>0</xdr:rowOff>
        </xdr:to>
        <xdr:sp macro="" textlink="">
          <xdr:nvSpPr>
            <xdr:cNvPr id="1061" name="Button 37" hidden="1">
              <a:extLst>
                <a:ext uri="{63B3BB69-23CF-44E3-9099-C40C66FF867C}">
                  <a14:compatExt spid="_x0000_s1061"/>
                </a:ext>
                <a:ext uri="{FF2B5EF4-FFF2-40B4-BE49-F238E27FC236}">
                  <a16:creationId xmlns:a16="http://schemas.microsoft.com/office/drawing/2014/main" id="{00000000-0008-0000-0300-000025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700" b="0" i="0" u="none" strike="noStrike" baseline="0">
                  <a:solidFill>
                    <a:srgbClr val="000000"/>
                  </a:solidFill>
                  <a:latin typeface="Arial"/>
                  <a:cs typeface="Arial"/>
                </a:rPr>
                <a:t>Mid Dist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76200</xdr:colOff>
          <xdr:row>109</xdr:row>
          <xdr:rowOff>9525</xdr:rowOff>
        </xdr:from>
        <xdr:to>
          <xdr:col>1</xdr:col>
          <xdr:colOff>504825</xdr:colOff>
          <xdr:row>110</xdr:row>
          <xdr:rowOff>0</xdr:rowOff>
        </xdr:to>
        <xdr:sp macro="" textlink="">
          <xdr:nvSpPr>
            <xdr:cNvPr id="1062" name="Check Box 38" hidden="1">
              <a:extLst>
                <a:ext uri="{63B3BB69-23CF-44E3-9099-C40C66FF867C}">
                  <a14:compatExt spid="_x0000_s1062"/>
                </a:ext>
                <a:ext uri="{FF2B5EF4-FFF2-40B4-BE49-F238E27FC236}">
                  <a16:creationId xmlns:a16="http://schemas.microsoft.com/office/drawing/2014/main" id="{00000000-0008-0000-0300-00002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Male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47625</xdr:colOff>
          <xdr:row>91</xdr:row>
          <xdr:rowOff>28575</xdr:rowOff>
        </xdr:from>
        <xdr:to>
          <xdr:col>14</xdr:col>
          <xdr:colOff>504825</xdr:colOff>
          <xdr:row>92</xdr:row>
          <xdr:rowOff>0</xdr:rowOff>
        </xdr:to>
        <xdr:sp macro="" textlink="">
          <xdr:nvSpPr>
            <xdr:cNvPr id="1063" name="Button 39" hidden="1">
              <a:extLst>
                <a:ext uri="{63B3BB69-23CF-44E3-9099-C40C66FF867C}">
                  <a14:compatExt spid="_x0000_s1063"/>
                </a:ext>
                <a:ext uri="{FF2B5EF4-FFF2-40B4-BE49-F238E27FC236}">
                  <a16:creationId xmlns:a16="http://schemas.microsoft.com/office/drawing/2014/main" id="{00000000-0008-0000-0300-000027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700" b="0" i="0" u="none" strike="noStrike" baseline="0">
                  <a:solidFill>
                    <a:srgbClr val="000000"/>
                  </a:solidFill>
                  <a:latin typeface="Arial"/>
                  <a:cs typeface="Arial"/>
                </a:rPr>
                <a:t>Long Dist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104775</xdr:colOff>
          <xdr:row>91</xdr:row>
          <xdr:rowOff>28575</xdr:rowOff>
        </xdr:from>
        <xdr:to>
          <xdr:col>12</xdr:col>
          <xdr:colOff>561975</xdr:colOff>
          <xdr:row>92</xdr:row>
          <xdr:rowOff>0</xdr:rowOff>
        </xdr:to>
        <xdr:sp macro="" textlink="">
          <xdr:nvSpPr>
            <xdr:cNvPr id="1064" name="Button 40" hidden="1">
              <a:extLst>
                <a:ext uri="{63B3BB69-23CF-44E3-9099-C40C66FF867C}">
                  <a14:compatExt spid="_x0000_s1064"/>
                </a:ext>
                <a:ext uri="{FF2B5EF4-FFF2-40B4-BE49-F238E27FC236}">
                  <a16:creationId xmlns:a16="http://schemas.microsoft.com/office/drawing/2014/main" id="{00000000-0008-0000-0300-000028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700" b="0" i="0" u="none" strike="noStrike" baseline="0">
                  <a:solidFill>
                    <a:srgbClr val="000000"/>
                  </a:solidFill>
                  <a:latin typeface="Arial"/>
                  <a:cs typeface="Arial"/>
                </a:rPr>
                <a:t>BMI  18.5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542925</xdr:colOff>
          <xdr:row>45</xdr:row>
          <xdr:rowOff>161925</xdr:rowOff>
        </xdr:from>
        <xdr:to>
          <xdr:col>16</xdr:col>
          <xdr:colOff>552450</xdr:colOff>
          <xdr:row>46</xdr:row>
          <xdr:rowOff>161925</xdr:rowOff>
        </xdr:to>
        <xdr:sp macro="" textlink="">
          <xdr:nvSpPr>
            <xdr:cNvPr id="1065" name="Check Box 41" hidden="1">
              <a:extLst>
                <a:ext uri="{63B3BB69-23CF-44E3-9099-C40C66FF867C}">
                  <a14:compatExt spid="_x0000_s1065"/>
                </a:ext>
                <a:ext uri="{FF2B5EF4-FFF2-40B4-BE49-F238E27FC236}">
                  <a16:creationId xmlns:a16="http://schemas.microsoft.com/office/drawing/2014/main" id="{00000000-0008-0000-0300-00002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vs Age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542925</xdr:colOff>
          <xdr:row>46</xdr:row>
          <xdr:rowOff>161925</xdr:rowOff>
        </xdr:from>
        <xdr:to>
          <xdr:col>16</xdr:col>
          <xdr:colOff>552450</xdr:colOff>
          <xdr:row>47</xdr:row>
          <xdr:rowOff>161925</xdr:rowOff>
        </xdr:to>
        <xdr:sp macro="" textlink="">
          <xdr:nvSpPr>
            <xdr:cNvPr id="1066" name="Check Box 42" hidden="1">
              <a:extLst>
                <a:ext uri="{63B3BB69-23CF-44E3-9099-C40C66FF867C}">
                  <a14:compatExt spid="_x0000_s1066"/>
                </a:ext>
                <a:ext uri="{FF2B5EF4-FFF2-40B4-BE49-F238E27FC236}">
                  <a16:creationId xmlns:a16="http://schemas.microsoft.com/office/drawing/2014/main" id="{00000000-0008-0000-0300-00002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vs Wght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447675</xdr:colOff>
          <xdr:row>84</xdr:row>
          <xdr:rowOff>0</xdr:rowOff>
        </xdr:from>
        <xdr:to>
          <xdr:col>4</xdr:col>
          <xdr:colOff>9525</xdr:colOff>
          <xdr:row>84</xdr:row>
          <xdr:rowOff>161925</xdr:rowOff>
        </xdr:to>
        <xdr:sp macro="" textlink="">
          <xdr:nvSpPr>
            <xdr:cNvPr id="1067" name="Option Button 43" hidden="1">
              <a:extLst>
                <a:ext uri="{63B3BB69-23CF-44E3-9099-C40C66FF867C}">
                  <a14:compatExt spid="_x0000_s1067"/>
                </a:ext>
                <a:ext uri="{FF2B5EF4-FFF2-40B4-BE49-F238E27FC236}">
                  <a16:creationId xmlns:a16="http://schemas.microsoft.com/office/drawing/2014/main" id="{00000000-0008-0000-0300-00002B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J.Daniels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466725</xdr:colOff>
          <xdr:row>84</xdr:row>
          <xdr:rowOff>0</xdr:rowOff>
        </xdr:from>
        <xdr:to>
          <xdr:col>6</xdr:col>
          <xdr:colOff>9525</xdr:colOff>
          <xdr:row>84</xdr:row>
          <xdr:rowOff>161925</xdr:rowOff>
        </xdr:to>
        <xdr:sp macro="" textlink="">
          <xdr:nvSpPr>
            <xdr:cNvPr id="1068" name="Option Button 44" hidden="1">
              <a:extLst>
                <a:ext uri="{63B3BB69-23CF-44E3-9099-C40C66FF867C}">
                  <a14:compatExt spid="_x0000_s1068"/>
                </a:ext>
                <a:ext uri="{FF2B5EF4-FFF2-40B4-BE49-F238E27FC236}">
                  <a16:creationId xmlns:a16="http://schemas.microsoft.com/office/drawing/2014/main" id="{00000000-0008-0000-0300-00002C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M.Hadley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504825</xdr:colOff>
          <xdr:row>84</xdr:row>
          <xdr:rowOff>0</xdr:rowOff>
        </xdr:from>
        <xdr:to>
          <xdr:col>8</xdr:col>
          <xdr:colOff>66675</xdr:colOff>
          <xdr:row>84</xdr:row>
          <xdr:rowOff>161925</xdr:rowOff>
        </xdr:to>
        <xdr:sp macro="" textlink="">
          <xdr:nvSpPr>
            <xdr:cNvPr id="1069" name="Option Button 45" hidden="1">
              <a:extLst>
                <a:ext uri="{63B3BB69-23CF-44E3-9099-C40C66FF867C}">
                  <a14:compatExt spid="_x0000_s1069"/>
                </a:ext>
                <a:ext uri="{FF2B5EF4-FFF2-40B4-BE49-F238E27FC236}">
                  <a16:creationId xmlns:a16="http://schemas.microsoft.com/office/drawing/2014/main" id="{00000000-0008-0000-0300-00002D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Tinman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438150</xdr:colOff>
          <xdr:row>84</xdr:row>
          <xdr:rowOff>0</xdr:rowOff>
        </xdr:from>
        <xdr:to>
          <xdr:col>10</xdr:col>
          <xdr:colOff>0</xdr:colOff>
          <xdr:row>84</xdr:row>
          <xdr:rowOff>161925</xdr:rowOff>
        </xdr:to>
        <xdr:sp macro="" textlink="">
          <xdr:nvSpPr>
            <xdr:cNvPr id="1070" name="Option Button 46" hidden="1">
              <a:extLst>
                <a:ext uri="{63B3BB69-23CF-44E3-9099-C40C66FF867C}">
                  <a14:compatExt spid="_x0000_s1070"/>
                </a:ext>
                <a:ext uri="{FF2B5EF4-FFF2-40B4-BE49-F238E27FC236}">
                  <a16:creationId xmlns:a16="http://schemas.microsoft.com/office/drawing/2014/main" id="{00000000-0008-0000-0300-00002E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El Helou</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xdr:colOff>
          <xdr:row>78</xdr:row>
          <xdr:rowOff>133350</xdr:rowOff>
        </xdr:from>
        <xdr:to>
          <xdr:col>1</xdr:col>
          <xdr:colOff>466725</xdr:colOff>
          <xdr:row>80</xdr:row>
          <xdr:rowOff>9525</xdr:rowOff>
        </xdr:to>
        <xdr:sp macro="" textlink="">
          <xdr:nvSpPr>
            <xdr:cNvPr id="1071" name="Check Box 47" hidden="1">
              <a:extLst>
                <a:ext uri="{63B3BB69-23CF-44E3-9099-C40C66FF867C}">
                  <a14:compatExt spid="_x0000_s1071"/>
                </a:ext>
                <a:ext uri="{FF2B5EF4-FFF2-40B4-BE49-F238E27FC236}">
                  <a16:creationId xmlns:a16="http://schemas.microsoft.com/office/drawing/2014/main" id="{00000000-0008-0000-0300-00002F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Male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38100</xdr:colOff>
          <xdr:row>95</xdr:row>
          <xdr:rowOff>142875</xdr:rowOff>
        </xdr:from>
        <xdr:to>
          <xdr:col>14</xdr:col>
          <xdr:colOff>533400</xdr:colOff>
          <xdr:row>97</xdr:row>
          <xdr:rowOff>19050</xdr:rowOff>
        </xdr:to>
        <xdr:sp macro="" textlink="">
          <xdr:nvSpPr>
            <xdr:cNvPr id="1072" name="Check Box 48" hidden="1">
              <a:extLst>
                <a:ext uri="{63B3BB69-23CF-44E3-9099-C40C66FF867C}">
                  <a14:compatExt spid="_x0000_s1072"/>
                </a:ext>
                <a:ext uri="{FF2B5EF4-FFF2-40B4-BE49-F238E27FC236}">
                  <a16:creationId xmlns:a16="http://schemas.microsoft.com/office/drawing/2014/main" id="{00000000-0008-0000-0300-000030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485775</xdr:colOff>
          <xdr:row>14</xdr:row>
          <xdr:rowOff>76200</xdr:rowOff>
        </xdr:from>
        <xdr:to>
          <xdr:col>7</xdr:col>
          <xdr:colOff>95250</xdr:colOff>
          <xdr:row>16</xdr:row>
          <xdr:rowOff>66675</xdr:rowOff>
        </xdr:to>
        <xdr:sp macro="" textlink="">
          <xdr:nvSpPr>
            <xdr:cNvPr id="1073" name="Group Box 49" hidden="1">
              <a:extLst>
                <a:ext uri="{63B3BB69-23CF-44E3-9099-C40C66FF867C}">
                  <a14:compatExt spid="_x0000_s1073"/>
                </a:ext>
                <a:ext uri="{FF2B5EF4-FFF2-40B4-BE49-F238E27FC236}">
                  <a16:creationId xmlns:a16="http://schemas.microsoft.com/office/drawing/2014/main" id="{00000000-0008-0000-0300-0000310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27432" tIns="18288" rIns="0" bIns="0" anchor="t" upright="1"/>
            <a:lstStyle/>
            <a:p>
              <a:pPr algn="l" rtl="0">
                <a:defRPr sz="1000"/>
              </a:pPr>
              <a:r>
                <a:rPr lang="en-US" sz="800" b="0" i="0" u="none" strike="noStrike" baseline="0">
                  <a:solidFill>
                    <a:srgbClr val="000000"/>
                  </a:solidFill>
                  <a:latin typeface="Segoe UI"/>
                  <a:cs typeface="Segoe UI"/>
                </a:rPr>
                <a:t>Group Box 117</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76200</xdr:colOff>
          <xdr:row>104</xdr:row>
          <xdr:rowOff>0</xdr:rowOff>
        </xdr:from>
        <xdr:to>
          <xdr:col>3</xdr:col>
          <xdr:colOff>66675</xdr:colOff>
          <xdr:row>104</xdr:row>
          <xdr:rowOff>161925</xdr:rowOff>
        </xdr:to>
        <xdr:sp macro="" textlink="">
          <xdr:nvSpPr>
            <xdr:cNvPr id="1074" name="Check Box 50" descr="Metric Distance" hidden="1">
              <a:extLst>
                <a:ext uri="{63B3BB69-23CF-44E3-9099-C40C66FF867C}">
                  <a14:compatExt spid="_x0000_s1074"/>
                </a:ext>
                <a:ext uri="{FF2B5EF4-FFF2-40B4-BE49-F238E27FC236}">
                  <a16:creationId xmlns:a16="http://schemas.microsoft.com/office/drawing/2014/main" id="{00000000-0008-0000-0300-00003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 Pace &amp; Distance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390525</xdr:colOff>
          <xdr:row>46</xdr:row>
          <xdr:rowOff>0</xdr:rowOff>
        </xdr:from>
        <xdr:to>
          <xdr:col>11</xdr:col>
          <xdr:colOff>561975</xdr:colOff>
          <xdr:row>46</xdr:row>
          <xdr:rowOff>171450</xdr:rowOff>
        </xdr:to>
        <xdr:sp macro="" textlink="">
          <xdr:nvSpPr>
            <xdr:cNvPr id="1075" name="Check Box 51" hidden="1">
              <a:extLst>
                <a:ext uri="{63B3BB69-23CF-44E3-9099-C40C66FF867C}">
                  <a14:compatExt spid="_x0000_s1075"/>
                </a:ext>
                <a:ext uri="{FF2B5EF4-FFF2-40B4-BE49-F238E27FC236}">
                  <a16:creationId xmlns:a16="http://schemas.microsoft.com/office/drawing/2014/main" id="{00000000-0008-0000-0300-00003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HR Reserve</a:t>
              </a:r>
            </a:p>
          </xdr:txBody>
        </xdr:sp>
        <xdr:clientData/>
      </xdr:twoCellAnchor>
    </mc:Choice>
    <mc:Fallback/>
  </mc:AlternateContent>
  <mc:AlternateContent xmlns:mc="http://schemas.openxmlformats.org/markup-compatibility/2006">
    <mc:Choice xmlns:a14="http://schemas.microsoft.com/office/drawing/2010/main" Requires="a14">
      <xdr:twoCellAnchor>
        <xdr:from>
          <xdr:col>1</xdr:col>
          <xdr:colOff>38100</xdr:colOff>
          <xdr:row>9</xdr:row>
          <xdr:rowOff>28575</xdr:rowOff>
        </xdr:from>
        <xdr:to>
          <xdr:col>2</xdr:col>
          <xdr:colOff>123825</xdr:colOff>
          <xdr:row>9</xdr:row>
          <xdr:rowOff>152400</xdr:rowOff>
        </xdr:to>
        <xdr:sp macro="" textlink="">
          <xdr:nvSpPr>
            <xdr:cNvPr id="1076" name="Button 52" hidden="1">
              <a:extLst>
                <a:ext uri="{63B3BB69-23CF-44E3-9099-C40C66FF867C}">
                  <a14:compatExt spid="_x0000_s1076"/>
                </a:ext>
                <a:ext uri="{FF2B5EF4-FFF2-40B4-BE49-F238E27FC236}">
                  <a16:creationId xmlns:a16="http://schemas.microsoft.com/office/drawing/2014/main" id="{00000000-0008-0000-0300-000034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700" b="0" i="0" u="none" strike="noStrike" baseline="0">
                  <a:solidFill>
                    <a:srgbClr val="000000"/>
                  </a:solidFill>
                  <a:latin typeface="Arial"/>
                  <a:cs typeface="Arial"/>
                </a:rPr>
                <a:t>Config Aero Zone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152400</xdr:colOff>
          <xdr:row>9</xdr:row>
          <xdr:rowOff>28575</xdr:rowOff>
        </xdr:from>
        <xdr:to>
          <xdr:col>2</xdr:col>
          <xdr:colOff>533400</xdr:colOff>
          <xdr:row>9</xdr:row>
          <xdr:rowOff>152400</xdr:rowOff>
        </xdr:to>
        <xdr:sp macro="" textlink="">
          <xdr:nvSpPr>
            <xdr:cNvPr id="1077" name="Button 53" hidden="1">
              <a:extLst>
                <a:ext uri="{63B3BB69-23CF-44E3-9099-C40C66FF867C}">
                  <a14:compatExt spid="_x0000_s1077"/>
                </a:ext>
                <a:ext uri="{FF2B5EF4-FFF2-40B4-BE49-F238E27FC236}">
                  <a16:creationId xmlns:a16="http://schemas.microsoft.com/office/drawing/2014/main" id="{00000000-0008-0000-0300-000035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700" b="0" i="0" u="none" strike="noStrike" baseline="0">
                  <a:solidFill>
                    <a:srgbClr val="000000"/>
                  </a:solidFill>
                  <a:latin typeface="Arial"/>
                  <a:cs typeface="Arial"/>
                </a:rPr>
                <a:t>Reset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xdr:col>
          <xdr:colOff>66675</xdr:colOff>
          <xdr:row>48</xdr:row>
          <xdr:rowOff>38100</xdr:rowOff>
        </xdr:from>
        <xdr:to>
          <xdr:col>1</xdr:col>
          <xdr:colOff>657225</xdr:colOff>
          <xdr:row>49</xdr:row>
          <xdr:rowOff>142875</xdr:rowOff>
        </xdr:to>
        <xdr:sp macro="" textlink="">
          <xdr:nvSpPr>
            <xdr:cNvPr id="1078" name="Button 54" hidden="1">
              <a:extLst>
                <a:ext uri="{63B3BB69-23CF-44E3-9099-C40C66FF867C}">
                  <a14:compatExt spid="_x0000_s1078"/>
                </a:ext>
                <a:ext uri="{FF2B5EF4-FFF2-40B4-BE49-F238E27FC236}">
                  <a16:creationId xmlns:a16="http://schemas.microsoft.com/office/drawing/2014/main" id="{00000000-0008-0000-0300-000036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700" b="0" i="0" u="none" strike="noStrike" baseline="0">
                  <a:solidFill>
                    <a:srgbClr val="000000"/>
                  </a:solidFill>
                  <a:latin typeface="Arial"/>
                  <a:cs typeface="Arial"/>
                </a:rPr>
                <a:t>Restore</a:t>
              </a:r>
            </a:p>
            <a:p>
              <a:pPr algn="ctr" rtl="0">
                <a:defRPr sz="1000"/>
              </a:pPr>
              <a:r>
                <a:rPr lang="en-US" sz="700" b="0" i="0" u="none" strike="noStrike" baseline="0">
                  <a:solidFill>
                    <a:srgbClr val="000000"/>
                  </a:solidFill>
                  <a:latin typeface="Arial"/>
                  <a:cs typeface="Arial"/>
                </a:rPr>
                <a:t>Entry HR</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38100</xdr:colOff>
          <xdr:row>55</xdr:row>
          <xdr:rowOff>0</xdr:rowOff>
        </xdr:from>
        <xdr:to>
          <xdr:col>1</xdr:col>
          <xdr:colOff>695325</xdr:colOff>
          <xdr:row>55</xdr:row>
          <xdr:rowOff>161925</xdr:rowOff>
        </xdr:to>
        <xdr:sp macro="" textlink="">
          <xdr:nvSpPr>
            <xdr:cNvPr id="1079" name="Check Box 55" hidden="1">
              <a:extLst>
                <a:ext uri="{63B3BB69-23CF-44E3-9099-C40C66FF867C}">
                  <a14:compatExt spid="_x0000_s1079"/>
                </a:ext>
                <a:ext uri="{FF2B5EF4-FFF2-40B4-BE49-F238E27FC236}">
                  <a16:creationId xmlns:a16="http://schemas.microsoft.com/office/drawing/2014/main" id="{00000000-0008-0000-0300-00003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Temp Adj</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381000</xdr:colOff>
          <xdr:row>83</xdr:row>
          <xdr:rowOff>104775</xdr:rowOff>
        </xdr:from>
        <xdr:to>
          <xdr:col>10</xdr:col>
          <xdr:colOff>123825</xdr:colOff>
          <xdr:row>85</xdr:row>
          <xdr:rowOff>57150</xdr:rowOff>
        </xdr:to>
        <xdr:sp macro="" textlink="">
          <xdr:nvSpPr>
            <xdr:cNvPr id="1080" name="Group Box 56" hidden="1">
              <a:extLst>
                <a:ext uri="{63B3BB69-23CF-44E3-9099-C40C66FF867C}">
                  <a14:compatExt spid="_x0000_s1080"/>
                </a:ext>
                <a:ext uri="{FF2B5EF4-FFF2-40B4-BE49-F238E27FC236}">
                  <a16:creationId xmlns:a16="http://schemas.microsoft.com/office/drawing/2014/main" id="{00000000-0008-0000-0300-0000380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27432" tIns="18288" rIns="0" bIns="0" anchor="t" upright="1"/>
            <a:lstStyle/>
            <a:p>
              <a:pPr algn="l" rtl="0">
                <a:defRPr sz="1000"/>
              </a:pPr>
              <a:r>
                <a:rPr lang="en-US" sz="800" b="0" i="0" u="none" strike="noStrike" baseline="0">
                  <a:solidFill>
                    <a:srgbClr val="000000"/>
                  </a:solidFill>
                  <a:latin typeface="Segoe UI"/>
                  <a:cs typeface="Segoe UI"/>
                </a:rPr>
                <a:t>Group Box 144</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628650</xdr:colOff>
          <xdr:row>2</xdr:row>
          <xdr:rowOff>161925</xdr:rowOff>
        </xdr:from>
        <xdr:to>
          <xdr:col>14</xdr:col>
          <xdr:colOff>209550</xdr:colOff>
          <xdr:row>3</xdr:row>
          <xdr:rowOff>161925</xdr:rowOff>
        </xdr:to>
        <xdr:sp macro="" textlink="">
          <xdr:nvSpPr>
            <xdr:cNvPr id="1081" name="Check Box 57" hidden="1">
              <a:extLst>
                <a:ext uri="{63B3BB69-23CF-44E3-9099-C40C66FF867C}">
                  <a14:compatExt spid="_x0000_s1081"/>
                </a:ext>
                <a:ext uri="{FF2B5EF4-FFF2-40B4-BE49-F238E27FC236}">
                  <a16:creationId xmlns:a16="http://schemas.microsoft.com/office/drawing/2014/main" id="{00000000-0008-0000-0300-000039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Apply HR Tweak</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342900</xdr:colOff>
          <xdr:row>13</xdr:row>
          <xdr:rowOff>9525</xdr:rowOff>
        </xdr:from>
        <xdr:to>
          <xdr:col>1</xdr:col>
          <xdr:colOff>571500</xdr:colOff>
          <xdr:row>14</xdr:row>
          <xdr:rowOff>0</xdr:rowOff>
        </xdr:to>
        <xdr:sp macro="" textlink="">
          <xdr:nvSpPr>
            <xdr:cNvPr id="1082" name="Check Box 58" hidden="1">
              <a:extLst>
                <a:ext uri="{63B3BB69-23CF-44E3-9099-C40C66FF867C}">
                  <a14:compatExt spid="_x0000_s1082"/>
                </a:ext>
                <a:ext uri="{FF2B5EF4-FFF2-40B4-BE49-F238E27FC236}">
                  <a16:creationId xmlns:a16="http://schemas.microsoft.com/office/drawing/2014/main" id="{00000000-0008-0000-0300-00003A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209550</xdr:colOff>
          <xdr:row>15</xdr:row>
          <xdr:rowOff>19050</xdr:rowOff>
        </xdr:from>
        <xdr:to>
          <xdr:col>3</xdr:col>
          <xdr:colOff>9525</xdr:colOff>
          <xdr:row>15</xdr:row>
          <xdr:rowOff>152400</xdr:rowOff>
        </xdr:to>
        <xdr:sp macro="" textlink="">
          <xdr:nvSpPr>
            <xdr:cNvPr id="8193" name="Button 1" hidden="1">
              <a:extLst>
                <a:ext uri="{63B3BB69-23CF-44E3-9099-C40C66FF867C}">
                  <a14:compatExt spid="_x0000_s8193"/>
                </a:ext>
                <a:ext uri="{FF2B5EF4-FFF2-40B4-BE49-F238E27FC236}">
                  <a16:creationId xmlns:a16="http://schemas.microsoft.com/office/drawing/2014/main" id="{1E8F1E8A-86FF-4BB9-8383-00B9228488FD}"/>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Arial"/>
                  <a:cs typeface="Arial"/>
                </a:rPr>
                <a:t>Hide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542925</xdr:colOff>
          <xdr:row>15</xdr:row>
          <xdr:rowOff>19050</xdr:rowOff>
        </xdr:from>
        <xdr:to>
          <xdr:col>2</xdr:col>
          <xdr:colOff>190500</xdr:colOff>
          <xdr:row>15</xdr:row>
          <xdr:rowOff>152400</xdr:rowOff>
        </xdr:to>
        <xdr:sp macro="" textlink="">
          <xdr:nvSpPr>
            <xdr:cNvPr id="8194" name="Button 2" hidden="1">
              <a:extLst>
                <a:ext uri="{63B3BB69-23CF-44E3-9099-C40C66FF867C}">
                  <a14:compatExt spid="_x0000_s8194"/>
                </a:ext>
                <a:ext uri="{FF2B5EF4-FFF2-40B4-BE49-F238E27FC236}">
                  <a16:creationId xmlns:a16="http://schemas.microsoft.com/office/drawing/2014/main" id="{831A0628-D9B1-41B0-B6AA-F4F94C8F84BD}"/>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Arial"/>
                  <a:cs typeface="Arial"/>
                </a:rPr>
                <a:t>Show 58</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9525</xdr:colOff>
          <xdr:row>56</xdr:row>
          <xdr:rowOff>133350</xdr:rowOff>
        </xdr:from>
        <xdr:to>
          <xdr:col>11</xdr:col>
          <xdr:colOff>533400</xdr:colOff>
          <xdr:row>58</xdr:row>
          <xdr:rowOff>9525</xdr:rowOff>
        </xdr:to>
        <xdr:sp macro="" textlink="">
          <xdr:nvSpPr>
            <xdr:cNvPr id="8195" name="Check Box 3" hidden="1">
              <a:extLst>
                <a:ext uri="{63B3BB69-23CF-44E3-9099-C40C66FF867C}">
                  <a14:compatExt spid="_x0000_s8195"/>
                </a:ext>
                <a:ext uri="{FF2B5EF4-FFF2-40B4-BE49-F238E27FC236}">
                  <a16:creationId xmlns:a16="http://schemas.microsoft.com/office/drawing/2014/main" id="{D322EAD6-16F5-4B29-9909-43D313B80B8D}"/>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xdr:from>
          <xdr:col>1</xdr:col>
          <xdr:colOff>28575</xdr:colOff>
          <xdr:row>7</xdr:row>
          <xdr:rowOff>28575</xdr:rowOff>
        </xdr:from>
        <xdr:to>
          <xdr:col>1</xdr:col>
          <xdr:colOff>133350</xdr:colOff>
          <xdr:row>8</xdr:row>
          <xdr:rowOff>9525</xdr:rowOff>
        </xdr:to>
        <xdr:sp macro="" textlink="">
          <xdr:nvSpPr>
            <xdr:cNvPr id="8196" name="Button 4" hidden="1">
              <a:extLst>
                <a:ext uri="{63B3BB69-23CF-44E3-9099-C40C66FF867C}">
                  <a14:compatExt spid="_x0000_s8196"/>
                </a:ext>
                <a:ext uri="{FF2B5EF4-FFF2-40B4-BE49-F238E27FC236}">
                  <a16:creationId xmlns:a16="http://schemas.microsoft.com/office/drawing/2014/main" id="{8E91535B-17A5-45AC-8E66-C577BA47E96C}"/>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Arial"/>
                  <a:cs typeface="Arial"/>
                </a:rPr>
                <a:t>H</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28575</xdr:colOff>
          <xdr:row>6</xdr:row>
          <xdr:rowOff>9525</xdr:rowOff>
        </xdr:from>
        <xdr:to>
          <xdr:col>1</xdr:col>
          <xdr:colOff>133350</xdr:colOff>
          <xdr:row>6</xdr:row>
          <xdr:rowOff>161925</xdr:rowOff>
        </xdr:to>
        <xdr:sp macro="" textlink="">
          <xdr:nvSpPr>
            <xdr:cNvPr id="8197" name="Button 5" hidden="1">
              <a:extLst>
                <a:ext uri="{63B3BB69-23CF-44E3-9099-C40C66FF867C}">
                  <a14:compatExt spid="_x0000_s8197"/>
                </a:ext>
                <a:ext uri="{FF2B5EF4-FFF2-40B4-BE49-F238E27FC236}">
                  <a16:creationId xmlns:a16="http://schemas.microsoft.com/office/drawing/2014/main" id="{48F5B2E9-CCAF-4E52-B385-D45040A0BEC4}"/>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Arial"/>
                  <a:cs typeface="Arial"/>
                </a:rPr>
                <a:t>S</a:t>
              </a:r>
            </a:p>
          </xdr:txBody>
        </xdr:sp>
        <xdr:clientData/>
      </xdr:twoCellAnchor>
    </mc:Choice>
    <mc:Fallback/>
  </mc:AlternateContent>
  <mc:AlternateContent xmlns:mc="http://schemas.openxmlformats.org/markup-compatibility/2006">
    <mc:Choice xmlns:a14="http://schemas.microsoft.com/office/drawing/2010/main" Requires="a14">
      <xdr:twoCellAnchor>
        <xdr:from>
          <xdr:col>16</xdr:col>
          <xdr:colOff>409575</xdr:colOff>
          <xdr:row>26</xdr:row>
          <xdr:rowOff>28575</xdr:rowOff>
        </xdr:from>
        <xdr:to>
          <xdr:col>17</xdr:col>
          <xdr:colOff>533400</xdr:colOff>
          <xdr:row>26</xdr:row>
          <xdr:rowOff>152400</xdr:rowOff>
        </xdr:to>
        <xdr:sp macro="" textlink="">
          <xdr:nvSpPr>
            <xdr:cNvPr id="8198" name="Button 6" hidden="1">
              <a:extLst>
                <a:ext uri="{63B3BB69-23CF-44E3-9099-C40C66FF867C}">
                  <a14:compatExt spid="_x0000_s8198"/>
                </a:ext>
                <a:ext uri="{FF2B5EF4-FFF2-40B4-BE49-F238E27FC236}">
                  <a16:creationId xmlns:a16="http://schemas.microsoft.com/office/drawing/2014/main" id="{472EB81A-7970-48F8-AFD8-B0F2456EBAEF}"/>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Arial"/>
                  <a:cs typeface="Arial"/>
                </a:rPr>
                <a:t>Clear Entries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14</xdr:col>
          <xdr:colOff>47625</xdr:colOff>
          <xdr:row>46</xdr:row>
          <xdr:rowOff>142875</xdr:rowOff>
        </xdr:from>
        <xdr:to>
          <xdr:col>14</xdr:col>
          <xdr:colOff>476250</xdr:colOff>
          <xdr:row>48</xdr:row>
          <xdr:rowOff>9525</xdr:rowOff>
        </xdr:to>
        <xdr:sp macro="" textlink="">
          <xdr:nvSpPr>
            <xdr:cNvPr id="8199" name="Check Box 7" hidden="1">
              <a:extLst>
                <a:ext uri="{63B3BB69-23CF-44E3-9099-C40C66FF867C}">
                  <a14:compatExt spid="_x0000_s8199"/>
                </a:ext>
                <a:ext uri="{FF2B5EF4-FFF2-40B4-BE49-F238E27FC236}">
                  <a16:creationId xmlns:a16="http://schemas.microsoft.com/office/drawing/2014/main" id="{757E5786-5DE3-4F61-B954-7EB35718703D}"/>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Male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xdr:colOff>
          <xdr:row>2</xdr:row>
          <xdr:rowOff>133350</xdr:rowOff>
        </xdr:from>
        <xdr:to>
          <xdr:col>1</xdr:col>
          <xdr:colOff>561975</xdr:colOff>
          <xdr:row>4</xdr:row>
          <xdr:rowOff>9525</xdr:rowOff>
        </xdr:to>
        <xdr:sp macro="" textlink="">
          <xdr:nvSpPr>
            <xdr:cNvPr id="8200" name="Check Box 8" hidden="1">
              <a:extLst>
                <a:ext uri="{63B3BB69-23CF-44E3-9099-C40C66FF867C}">
                  <a14:compatExt spid="_x0000_s8200"/>
                </a:ext>
                <a:ext uri="{FF2B5EF4-FFF2-40B4-BE49-F238E27FC236}">
                  <a16:creationId xmlns:a16="http://schemas.microsoft.com/office/drawing/2014/main" id="{58220685-D998-4824-9629-77717C35342F}"/>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19050</xdr:colOff>
          <xdr:row>72</xdr:row>
          <xdr:rowOff>133350</xdr:rowOff>
        </xdr:from>
        <xdr:to>
          <xdr:col>11</xdr:col>
          <xdr:colOff>542925</xdr:colOff>
          <xdr:row>74</xdr:row>
          <xdr:rowOff>0</xdr:rowOff>
        </xdr:to>
        <xdr:sp macro="" textlink="">
          <xdr:nvSpPr>
            <xdr:cNvPr id="8201" name="Check Box 9" hidden="1">
              <a:extLst>
                <a:ext uri="{63B3BB69-23CF-44E3-9099-C40C66FF867C}">
                  <a14:compatExt spid="_x0000_s8201"/>
                </a:ext>
                <a:ext uri="{FF2B5EF4-FFF2-40B4-BE49-F238E27FC236}">
                  <a16:creationId xmlns:a16="http://schemas.microsoft.com/office/drawing/2014/main" id="{B543A0A6-D2F5-47E4-A948-B4008A7B098C}"/>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19050</xdr:colOff>
          <xdr:row>50</xdr:row>
          <xdr:rowOff>142875</xdr:rowOff>
        </xdr:from>
        <xdr:to>
          <xdr:col>11</xdr:col>
          <xdr:colOff>542925</xdr:colOff>
          <xdr:row>52</xdr:row>
          <xdr:rowOff>9525</xdr:rowOff>
        </xdr:to>
        <xdr:sp macro="" textlink="">
          <xdr:nvSpPr>
            <xdr:cNvPr id="8202" name="Check Box 10" hidden="1">
              <a:extLst>
                <a:ext uri="{63B3BB69-23CF-44E3-9099-C40C66FF867C}">
                  <a14:compatExt spid="_x0000_s8202"/>
                </a:ext>
                <a:ext uri="{FF2B5EF4-FFF2-40B4-BE49-F238E27FC236}">
                  <a16:creationId xmlns:a16="http://schemas.microsoft.com/office/drawing/2014/main" id="{AA661821-386C-439F-B4CA-88DB2AC0769E}"/>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19050</xdr:colOff>
          <xdr:row>68</xdr:row>
          <xdr:rowOff>133350</xdr:rowOff>
        </xdr:from>
        <xdr:to>
          <xdr:col>15</xdr:col>
          <xdr:colOff>542925</xdr:colOff>
          <xdr:row>70</xdr:row>
          <xdr:rowOff>9525</xdr:rowOff>
        </xdr:to>
        <xdr:sp macro="" textlink="">
          <xdr:nvSpPr>
            <xdr:cNvPr id="8203" name="Check Box 11" hidden="1">
              <a:extLst>
                <a:ext uri="{63B3BB69-23CF-44E3-9099-C40C66FF867C}">
                  <a14:compatExt spid="_x0000_s8203"/>
                </a:ext>
                <a:ext uri="{FF2B5EF4-FFF2-40B4-BE49-F238E27FC236}">
                  <a16:creationId xmlns:a16="http://schemas.microsoft.com/office/drawing/2014/main" id="{38C7C371-6B6E-423C-8955-AEFD09BD70AE}"/>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542925</xdr:colOff>
          <xdr:row>47</xdr:row>
          <xdr:rowOff>152400</xdr:rowOff>
        </xdr:from>
        <xdr:to>
          <xdr:col>16</xdr:col>
          <xdr:colOff>552450</xdr:colOff>
          <xdr:row>48</xdr:row>
          <xdr:rowOff>161925</xdr:rowOff>
        </xdr:to>
        <xdr:sp macro="" textlink="">
          <xdr:nvSpPr>
            <xdr:cNvPr id="8204" name="Check Box 12" hidden="1">
              <a:extLst>
                <a:ext uri="{63B3BB69-23CF-44E3-9099-C40C66FF867C}">
                  <a14:compatExt spid="_x0000_s8204"/>
                </a:ext>
                <a:ext uri="{FF2B5EF4-FFF2-40B4-BE49-F238E27FC236}">
                  <a16:creationId xmlns:a16="http://schemas.microsoft.com/office/drawing/2014/main" id="{0B909820-677B-4244-ADE1-270AA3266C8A}"/>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vs Male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9525</xdr:colOff>
          <xdr:row>2</xdr:row>
          <xdr:rowOff>133350</xdr:rowOff>
        </xdr:from>
        <xdr:to>
          <xdr:col>2</xdr:col>
          <xdr:colOff>438150</xdr:colOff>
          <xdr:row>4</xdr:row>
          <xdr:rowOff>9525</xdr:rowOff>
        </xdr:to>
        <xdr:sp macro="" textlink="">
          <xdr:nvSpPr>
            <xdr:cNvPr id="8205" name="Check Box 13" hidden="1">
              <a:extLst>
                <a:ext uri="{63B3BB69-23CF-44E3-9099-C40C66FF867C}">
                  <a14:compatExt spid="_x0000_s8205"/>
                </a:ext>
                <a:ext uri="{FF2B5EF4-FFF2-40B4-BE49-F238E27FC236}">
                  <a16:creationId xmlns:a16="http://schemas.microsoft.com/office/drawing/2014/main" id="{83236CE9-E3A0-40C0-B486-F898C7C0BAC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Male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19050</xdr:colOff>
          <xdr:row>86</xdr:row>
          <xdr:rowOff>133350</xdr:rowOff>
        </xdr:from>
        <xdr:to>
          <xdr:col>11</xdr:col>
          <xdr:colOff>542925</xdr:colOff>
          <xdr:row>88</xdr:row>
          <xdr:rowOff>0</xdr:rowOff>
        </xdr:to>
        <xdr:sp macro="" textlink="">
          <xdr:nvSpPr>
            <xdr:cNvPr id="8206" name="Check Box 14" hidden="1">
              <a:extLst>
                <a:ext uri="{63B3BB69-23CF-44E3-9099-C40C66FF867C}">
                  <a14:compatExt spid="_x0000_s8206"/>
                </a:ext>
                <a:ext uri="{FF2B5EF4-FFF2-40B4-BE49-F238E27FC236}">
                  <a16:creationId xmlns:a16="http://schemas.microsoft.com/office/drawing/2014/main" id="{38B92A9D-B41E-47FA-AEB3-9546D8729F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104775</xdr:colOff>
          <xdr:row>114</xdr:row>
          <xdr:rowOff>9525</xdr:rowOff>
        </xdr:from>
        <xdr:to>
          <xdr:col>11</xdr:col>
          <xdr:colOff>523875</xdr:colOff>
          <xdr:row>114</xdr:row>
          <xdr:rowOff>161925</xdr:rowOff>
        </xdr:to>
        <xdr:sp macro="" textlink="">
          <xdr:nvSpPr>
            <xdr:cNvPr id="8207" name="Button 15" hidden="1">
              <a:extLst>
                <a:ext uri="{63B3BB69-23CF-44E3-9099-C40C66FF867C}">
                  <a14:compatExt spid="_x0000_s8207"/>
                </a:ext>
                <a:ext uri="{FF2B5EF4-FFF2-40B4-BE49-F238E27FC236}">
                  <a16:creationId xmlns:a16="http://schemas.microsoft.com/office/drawing/2014/main" id="{A3150B96-6533-4B1E-A49A-D4D8C52E7E19}"/>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800" b="0" i="0" u="none" strike="noStrike" baseline="0">
                  <a:solidFill>
                    <a:srgbClr val="000000"/>
                  </a:solidFill>
                  <a:latin typeface="Arial"/>
                  <a:cs typeface="Arial"/>
                </a:rPr>
                <a:t>Clear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9525</xdr:colOff>
          <xdr:row>84</xdr:row>
          <xdr:rowOff>142875</xdr:rowOff>
        </xdr:from>
        <xdr:to>
          <xdr:col>17</xdr:col>
          <xdr:colOff>533400</xdr:colOff>
          <xdr:row>86</xdr:row>
          <xdr:rowOff>19050</xdr:rowOff>
        </xdr:to>
        <xdr:sp macro="" textlink="">
          <xdr:nvSpPr>
            <xdr:cNvPr id="8208" name="Check Box 16" hidden="1">
              <a:extLst>
                <a:ext uri="{63B3BB69-23CF-44E3-9099-C40C66FF867C}">
                  <a14:compatExt spid="_x0000_s8208"/>
                </a:ext>
                <a:ext uri="{FF2B5EF4-FFF2-40B4-BE49-F238E27FC236}">
                  <a16:creationId xmlns:a16="http://schemas.microsoft.com/office/drawing/2014/main" id="{4B0231E7-8891-4C27-8707-57D98F96460C}"/>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19050</xdr:colOff>
          <xdr:row>95</xdr:row>
          <xdr:rowOff>123825</xdr:rowOff>
        </xdr:from>
        <xdr:to>
          <xdr:col>14</xdr:col>
          <xdr:colOff>19050</xdr:colOff>
          <xdr:row>97</xdr:row>
          <xdr:rowOff>38100</xdr:rowOff>
        </xdr:to>
        <xdr:sp macro="" textlink="">
          <xdr:nvSpPr>
            <xdr:cNvPr id="8209" name="Check Box 17" hidden="1">
              <a:extLst>
                <a:ext uri="{63B3BB69-23CF-44E3-9099-C40C66FF867C}">
                  <a14:compatExt spid="_x0000_s8209"/>
                </a:ext>
                <a:ext uri="{FF2B5EF4-FFF2-40B4-BE49-F238E27FC236}">
                  <a16:creationId xmlns:a16="http://schemas.microsoft.com/office/drawing/2014/main" id="{86EE421B-9EAF-451E-BCAA-6A8BE7667D5F}"/>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Add instead of subtract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98</xdr:row>
          <xdr:rowOff>142875</xdr:rowOff>
        </xdr:from>
        <xdr:to>
          <xdr:col>13</xdr:col>
          <xdr:colOff>333375</xdr:colOff>
          <xdr:row>100</xdr:row>
          <xdr:rowOff>9525</xdr:rowOff>
        </xdr:to>
        <xdr:sp macro="" textlink="">
          <xdr:nvSpPr>
            <xdr:cNvPr id="8210" name="Check Box 18" hidden="1">
              <a:extLst>
                <a:ext uri="{63B3BB69-23CF-44E3-9099-C40C66FF867C}">
                  <a14:compatExt spid="_x0000_s8210"/>
                </a:ext>
                <a:ext uri="{FF2B5EF4-FFF2-40B4-BE49-F238E27FC236}">
                  <a16:creationId xmlns:a16="http://schemas.microsoft.com/office/drawing/2014/main" id="{0193F403-020A-479B-BB49-F8F9AE16F8DA}"/>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Age Grade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100</xdr:row>
          <xdr:rowOff>142875</xdr:rowOff>
        </xdr:from>
        <xdr:to>
          <xdr:col>13</xdr:col>
          <xdr:colOff>333375</xdr:colOff>
          <xdr:row>102</xdr:row>
          <xdr:rowOff>28575</xdr:rowOff>
        </xdr:to>
        <xdr:sp macro="" textlink="">
          <xdr:nvSpPr>
            <xdr:cNvPr id="8211" name="Check Box 19" hidden="1">
              <a:extLst>
                <a:ext uri="{63B3BB69-23CF-44E3-9099-C40C66FF867C}">
                  <a14:compatExt spid="_x0000_s8211"/>
                </a:ext>
                <a:ext uri="{FF2B5EF4-FFF2-40B4-BE49-F238E27FC236}">
                  <a16:creationId xmlns:a16="http://schemas.microsoft.com/office/drawing/2014/main" id="{6EED0BB5-DED6-41E4-856A-BA7C8F86DA4F}"/>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Temp Adjustment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99</xdr:row>
          <xdr:rowOff>142875</xdr:rowOff>
        </xdr:from>
        <xdr:to>
          <xdr:col>13</xdr:col>
          <xdr:colOff>419100</xdr:colOff>
          <xdr:row>101</xdr:row>
          <xdr:rowOff>28575</xdr:rowOff>
        </xdr:to>
        <xdr:sp macro="" textlink="">
          <xdr:nvSpPr>
            <xdr:cNvPr id="8212" name="Check Box 20" hidden="1">
              <a:extLst>
                <a:ext uri="{63B3BB69-23CF-44E3-9099-C40C66FF867C}">
                  <a14:compatExt spid="_x0000_s8212"/>
                </a:ext>
                <a:ext uri="{FF2B5EF4-FFF2-40B4-BE49-F238E27FC236}">
                  <a16:creationId xmlns:a16="http://schemas.microsoft.com/office/drawing/2014/main" id="{F116F451-DC73-4A6E-A0B8-CE2ADD089ACC}"/>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Weight Adjustment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171450</xdr:colOff>
          <xdr:row>74</xdr:row>
          <xdr:rowOff>161925</xdr:rowOff>
        </xdr:from>
        <xdr:to>
          <xdr:col>13</xdr:col>
          <xdr:colOff>438150</xdr:colOff>
          <xdr:row>75</xdr:row>
          <xdr:rowOff>152400</xdr:rowOff>
        </xdr:to>
        <xdr:sp macro="" textlink="">
          <xdr:nvSpPr>
            <xdr:cNvPr id="8213" name="Button 21" hidden="1">
              <a:extLst>
                <a:ext uri="{63B3BB69-23CF-44E3-9099-C40C66FF867C}">
                  <a14:compatExt spid="_x0000_s8213"/>
                </a:ext>
                <a:ext uri="{FF2B5EF4-FFF2-40B4-BE49-F238E27FC236}">
                  <a16:creationId xmlns:a16="http://schemas.microsoft.com/office/drawing/2014/main" id="{F21FEE70-3B5D-4EE0-8177-94B5DF7530B8}"/>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700" b="0" i="0" u="none" strike="noStrike" baseline="0">
                  <a:solidFill>
                    <a:srgbClr val="000000"/>
                  </a:solidFill>
                  <a:latin typeface="Arial"/>
                  <a:cs typeface="Arial"/>
                </a:rPr>
                <a:t>Restore Entry Time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9525</xdr:colOff>
          <xdr:row>66</xdr:row>
          <xdr:rowOff>133350</xdr:rowOff>
        </xdr:from>
        <xdr:to>
          <xdr:col>11</xdr:col>
          <xdr:colOff>533400</xdr:colOff>
          <xdr:row>68</xdr:row>
          <xdr:rowOff>0</xdr:rowOff>
        </xdr:to>
        <xdr:sp macro="" textlink="">
          <xdr:nvSpPr>
            <xdr:cNvPr id="8214" name="Check Box 22" hidden="1">
              <a:extLst>
                <a:ext uri="{63B3BB69-23CF-44E3-9099-C40C66FF867C}">
                  <a14:compatExt spid="_x0000_s8214"/>
                </a:ext>
                <a:ext uri="{FF2B5EF4-FFF2-40B4-BE49-F238E27FC236}">
                  <a16:creationId xmlns:a16="http://schemas.microsoft.com/office/drawing/2014/main" id="{28F2C0DF-C56B-4091-9818-15684DC8B75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66675</xdr:colOff>
          <xdr:row>70</xdr:row>
          <xdr:rowOff>133350</xdr:rowOff>
        </xdr:from>
        <xdr:to>
          <xdr:col>7</xdr:col>
          <xdr:colOff>466725</xdr:colOff>
          <xdr:row>72</xdr:row>
          <xdr:rowOff>0</xdr:rowOff>
        </xdr:to>
        <xdr:sp macro="" textlink="">
          <xdr:nvSpPr>
            <xdr:cNvPr id="8215" name="Check Box 23" hidden="1">
              <a:extLst>
                <a:ext uri="{63B3BB69-23CF-44E3-9099-C40C66FF867C}">
                  <a14:compatExt spid="_x0000_s8215"/>
                </a:ext>
                <a:ext uri="{FF2B5EF4-FFF2-40B4-BE49-F238E27FC236}">
                  <a16:creationId xmlns:a16="http://schemas.microsoft.com/office/drawing/2014/main" id="{052E2E6C-4166-4095-9590-BD79A583A5A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Calc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19050</xdr:colOff>
          <xdr:row>78</xdr:row>
          <xdr:rowOff>133350</xdr:rowOff>
        </xdr:from>
        <xdr:to>
          <xdr:col>11</xdr:col>
          <xdr:colOff>542925</xdr:colOff>
          <xdr:row>80</xdr:row>
          <xdr:rowOff>9525</xdr:rowOff>
        </xdr:to>
        <xdr:sp macro="" textlink="">
          <xdr:nvSpPr>
            <xdr:cNvPr id="8216" name="Check Box 24" hidden="1">
              <a:extLst>
                <a:ext uri="{63B3BB69-23CF-44E3-9099-C40C66FF867C}">
                  <a14:compatExt spid="_x0000_s8216"/>
                </a:ext>
                <a:ext uri="{FF2B5EF4-FFF2-40B4-BE49-F238E27FC236}">
                  <a16:creationId xmlns:a16="http://schemas.microsoft.com/office/drawing/2014/main" id="{50943F8E-795E-4435-9E27-2C7A86DA794B}"/>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19050</xdr:colOff>
          <xdr:row>76</xdr:row>
          <xdr:rowOff>161925</xdr:rowOff>
        </xdr:from>
        <xdr:to>
          <xdr:col>4</xdr:col>
          <xdr:colOff>552450</xdr:colOff>
          <xdr:row>77</xdr:row>
          <xdr:rowOff>161925</xdr:rowOff>
        </xdr:to>
        <xdr:sp macro="" textlink="">
          <xdr:nvSpPr>
            <xdr:cNvPr id="8217" name="Check Box 25" hidden="1">
              <a:extLst>
                <a:ext uri="{63B3BB69-23CF-44E3-9099-C40C66FF867C}">
                  <a14:compatExt spid="_x0000_s8217"/>
                </a:ext>
                <a:ext uri="{FF2B5EF4-FFF2-40B4-BE49-F238E27FC236}">
                  <a16:creationId xmlns:a16="http://schemas.microsoft.com/office/drawing/2014/main" id="{BD376F90-0B90-424F-8F46-C83C3A3BF3C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Use Manual  LTHR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19050</xdr:colOff>
          <xdr:row>76</xdr:row>
          <xdr:rowOff>161925</xdr:rowOff>
        </xdr:from>
        <xdr:to>
          <xdr:col>10</xdr:col>
          <xdr:colOff>552450</xdr:colOff>
          <xdr:row>77</xdr:row>
          <xdr:rowOff>161925</xdr:rowOff>
        </xdr:to>
        <xdr:sp macro="" textlink="">
          <xdr:nvSpPr>
            <xdr:cNvPr id="8218" name="Check Box 26" hidden="1">
              <a:extLst>
                <a:ext uri="{63B3BB69-23CF-44E3-9099-C40C66FF867C}">
                  <a14:compatExt spid="_x0000_s8218"/>
                </a:ext>
                <a:ext uri="{FF2B5EF4-FFF2-40B4-BE49-F238E27FC236}">
                  <a16:creationId xmlns:a16="http://schemas.microsoft.com/office/drawing/2014/main" id="{BA0979EB-6F58-4798-91DB-8E1232A53ADD}"/>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 Use Manual  FTPa</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114300</xdr:colOff>
          <xdr:row>15</xdr:row>
          <xdr:rowOff>9525</xdr:rowOff>
        </xdr:from>
        <xdr:to>
          <xdr:col>4</xdr:col>
          <xdr:colOff>76200</xdr:colOff>
          <xdr:row>15</xdr:row>
          <xdr:rowOff>142875</xdr:rowOff>
        </xdr:to>
        <xdr:sp macro="" textlink="">
          <xdr:nvSpPr>
            <xdr:cNvPr id="8219" name="Check Box 27" hidden="1">
              <a:extLst>
                <a:ext uri="{63B3BB69-23CF-44E3-9099-C40C66FF867C}">
                  <a14:compatExt spid="_x0000_s8219"/>
                </a:ext>
                <a:ext uri="{FF2B5EF4-FFF2-40B4-BE49-F238E27FC236}">
                  <a16:creationId xmlns:a16="http://schemas.microsoft.com/office/drawing/2014/main" id="{6C2E5125-1E12-41F8-A387-58B911863C7F}"/>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66675</xdr:colOff>
          <xdr:row>15</xdr:row>
          <xdr:rowOff>9525</xdr:rowOff>
        </xdr:from>
        <xdr:to>
          <xdr:col>5</xdr:col>
          <xdr:colOff>9525</xdr:colOff>
          <xdr:row>15</xdr:row>
          <xdr:rowOff>142875</xdr:rowOff>
        </xdr:to>
        <xdr:sp macro="" textlink="">
          <xdr:nvSpPr>
            <xdr:cNvPr id="8220" name="Check Box 28" hidden="1">
              <a:extLst>
                <a:ext uri="{63B3BB69-23CF-44E3-9099-C40C66FF867C}">
                  <a14:compatExt spid="_x0000_s8220"/>
                </a:ext>
                <a:ext uri="{FF2B5EF4-FFF2-40B4-BE49-F238E27FC236}">
                  <a16:creationId xmlns:a16="http://schemas.microsoft.com/office/drawing/2014/main" id="{11A0575B-8D2B-4BEB-A1F3-A08B95FF0CAC}"/>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KM x2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190500</xdr:colOff>
          <xdr:row>79</xdr:row>
          <xdr:rowOff>152400</xdr:rowOff>
        </xdr:from>
        <xdr:to>
          <xdr:col>14</xdr:col>
          <xdr:colOff>428625</xdr:colOff>
          <xdr:row>81</xdr:row>
          <xdr:rowOff>9525</xdr:rowOff>
        </xdr:to>
        <xdr:sp macro="" textlink="">
          <xdr:nvSpPr>
            <xdr:cNvPr id="8221" name="Check Box 29" hidden="1">
              <a:extLst>
                <a:ext uri="{63B3BB69-23CF-44E3-9099-C40C66FF867C}">
                  <a14:compatExt spid="_x0000_s8221"/>
                </a:ext>
                <a:ext uri="{FF2B5EF4-FFF2-40B4-BE49-F238E27FC236}">
                  <a16:creationId xmlns:a16="http://schemas.microsoft.com/office/drawing/2014/main" id="{F73E679F-CB6B-4E29-A36D-E10CCCA5079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190500</xdr:colOff>
          <xdr:row>85</xdr:row>
          <xdr:rowOff>152400</xdr:rowOff>
        </xdr:from>
        <xdr:to>
          <xdr:col>14</xdr:col>
          <xdr:colOff>428625</xdr:colOff>
          <xdr:row>87</xdr:row>
          <xdr:rowOff>9525</xdr:rowOff>
        </xdr:to>
        <xdr:sp macro="" textlink="">
          <xdr:nvSpPr>
            <xdr:cNvPr id="8222" name="Check Box 30" hidden="1">
              <a:extLst>
                <a:ext uri="{63B3BB69-23CF-44E3-9099-C40C66FF867C}">
                  <a14:compatExt spid="_x0000_s8222"/>
                </a:ext>
                <a:ext uri="{FF2B5EF4-FFF2-40B4-BE49-F238E27FC236}">
                  <a16:creationId xmlns:a16="http://schemas.microsoft.com/office/drawing/2014/main" id="{6D909974-109D-4239-87A0-52EA7A55600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190500</xdr:colOff>
          <xdr:row>92</xdr:row>
          <xdr:rowOff>152400</xdr:rowOff>
        </xdr:from>
        <xdr:to>
          <xdr:col>14</xdr:col>
          <xdr:colOff>428625</xdr:colOff>
          <xdr:row>94</xdr:row>
          <xdr:rowOff>9525</xdr:rowOff>
        </xdr:to>
        <xdr:sp macro="" textlink="">
          <xdr:nvSpPr>
            <xdr:cNvPr id="8223" name="Check Box 31" hidden="1">
              <a:extLst>
                <a:ext uri="{63B3BB69-23CF-44E3-9099-C40C66FF867C}">
                  <a14:compatExt spid="_x0000_s8223"/>
                </a:ext>
                <a:ext uri="{FF2B5EF4-FFF2-40B4-BE49-F238E27FC236}">
                  <a16:creationId xmlns:a16="http://schemas.microsoft.com/office/drawing/2014/main" id="{1BFA72BF-184D-43FA-B2D2-F5B008DC524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38100</xdr:colOff>
          <xdr:row>6</xdr:row>
          <xdr:rowOff>9525</xdr:rowOff>
        </xdr:from>
        <xdr:to>
          <xdr:col>18</xdr:col>
          <xdr:colOff>590550</xdr:colOff>
          <xdr:row>6</xdr:row>
          <xdr:rowOff>152400</xdr:rowOff>
        </xdr:to>
        <xdr:sp macro="" textlink="">
          <xdr:nvSpPr>
            <xdr:cNvPr id="8224" name="Option Button 32" hidden="1">
              <a:extLst>
                <a:ext uri="{63B3BB69-23CF-44E3-9099-C40C66FF867C}">
                  <a14:compatExt spid="_x0000_s8224"/>
                </a:ext>
                <a:ext uri="{FF2B5EF4-FFF2-40B4-BE49-F238E27FC236}">
                  <a16:creationId xmlns:a16="http://schemas.microsoft.com/office/drawing/2014/main" id="{6A11E809-6447-47AB-AC44-0D6AC9DA999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Miles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18</xdr:col>
          <xdr:colOff>38100</xdr:colOff>
          <xdr:row>5</xdr:row>
          <xdr:rowOff>9525</xdr:rowOff>
        </xdr:from>
        <xdr:to>
          <xdr:col>18</xdr:col>
          <xdr:colOff>590550</xdr:colOff>
          <xdr:row>5</xdr:row>
          <xdr:rowOff>161925</xdr:rowOff>
        </xdr:to>
        <xdr:sp macro="" textlink="">
          <xdr:nvSpPr>
            <xdr:cNvPr id="8225" name="Option Button 33" hidden="1">
              <a:extLst>
                <a:ext uri="{63B3BB69-23CF-44E3-9099-C40C66FF867C}">
                  <a14:compatExt spid="_x0000_s8225"/>
                </a:ext>
                <a:ext uri="{FF2B5EF4-FFF2-40B4-BE49-F238E27FC236}">
                  <a16:creationId xmlns:a16="http://schemas.microsoft.com/office/drawing/2014/main" id="{D945C4AA-DF83-4FA7-926A-7791756FFB7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 KM</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552450</xdr:colOff>
          <xdr:row>15</xdr:row>
          <xdr:rowOff>0</xdr:rowOff>
        </xdr:from>
        <xdr:to>
          <xdr:col>5</xdr:col>
          <xdr:colOff>523875</xdr:colOff>
          <xdr:row>15</xdr:row>
          <xdr:rowOff>161925</xdr:rowOff>
        </xdr:to>
        <xdr:sp macro="" textlink="">
          <xdr:nvSpPr>
            <xdr:cNvPr id="8226" name="Option Button 34" hidden="1">
              <a:extLst>
                <a:ext uri="{63B3BB69-23CF-44E3-9099-C40C66FF867C}">
                  <a14:compatExt spid="_x0000_s8226"/>
                </a:ext>
                <a:ext uri="{FF2B5EF4-FFF2-40B4-BE49-F238E27FC236}">
                  <a16:creationId xmlns:a16="http://schemas.microsoft.com/office/drawing/2014/main" id="{C8825A8D-7E63-4E70-B584-EEAC820BA42D}"/>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Daniels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533400</xdr:colOff>
          <xdr:row>15</xdr:row>
          <xdr:rowOff>0</xdr:rowOff>
        </xdr:from>
        <xdr:to>
          <xdr:col>6</xdr:col>
          <xdr:colOff>523875</xdr:colOff>
          <xdr:row>15</xdr:row>
          <xdr:rowOff>161925</xdr:rowOff>
        </xdr:to>
        <xdr:sp macro="" textlink="">
          <xdr:nvSpPr>
            <xdr:cNvPr id="8227" name="Option Button 35" hidden="1">
              <a:extLst>
                <a:ext uri="{63B3BB69-23CF-44E3-9099-C40C66FF867C}">
                  <a14:compatExt spid="_x0000_s8227"/>
                </a:ext>
                <a:ext uri="{FF2B5EF4-FFF2-40B4-BE49-F238E27FC236}">
                  <a16:creationId xmlns:a16="http://schemas.microsoft.com/office/drawing/2014/main" id="{6BF2EAB9-260D-43BB-86D3-9AD5E488DC7A}"/>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Riegel</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523875</xdr:colOff>
          <xdr:row>4</xdr:row>
          <xdr:rowOff>133350</xdr:rowOff>
        </xdr:from>
        <xdr:to>
          <xdr:col>19</xdr:col>
          <xdr:colOff>38100</xdr:colOff>
          <xdr:row>6</xdr:row>
          <xdr:rowOff>161925</xdr:rowOff>
        </xdr:to>
        <xdr:sp macro="" textlink="">
          <xdr:nvSpPr>
            <xdr:cNvPr id="8228" name="Group Box 36" hidden="1">
              <a:extLst>
                <a:ext uri="{63B3BB69-23CF-44E3-9099-C40C66FF867C}">
                  <a14:compatExt spid="_x0000_s8228"/>
                </a:ext>
                <a:ext uri="{FF2B5EF4-FFF2-40B4-BE49-F238E27FC236}">
                  <a16:creationId xmlns:a16="http://schemas.microsoft.com/office/drawing/2014/main" id="{B923A00A-B5F4-40D4-B4A0-DD28EF87B4CF}"/>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27432" tIns="18288" rIns="0" bIns="0" anchor="t" upright="1"/>
            <a:lstStyle/>
            <a:p>
              <a:pPr algn="l" rtl="0">
                <a:defRPr sz="1000"/>
              </a:pPr>
              <a:r>
                <a:rPr lang="en-US" sz="800" b="0" i="0" u="none" strike="noStrike" baseline="0">
                  <a:solidFill>
                    <a:srgbClr val="000000"/>
                  </a:solidFill>
                  <a:latin typeface="Segoe UI"/>
                  <a:cs typeface="Segoe UI"/>
                </a:rPr>
                <a:t>Group Box 60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76200</xdr:colOff>
          <xdr:row>91</xdr:row>
          <xdr:rowOff>28575</xdr:rowOff>
        </xdr:from>
        <xdr:to>
          <xdr:col>13</xdr:col>
          <xdr:colOff>533400</xdr:colOff>
          <xdr:row>92</xdr:row>
          <xdr:rowOff>0</xdr:rowOff>
        </xdr:to>
        <xdr:sp macro="" textlink="">
          <xdr:nvSpPr>
            <xdr:cNvPr id="8229" name="Button 37" hidden="1">
              <a:extLst>
                <a:ext uri="{63B3BB69-23CF-44E3-9099-C40C66FF867C}">
                  <a14:compatExt spid="_x0000_s8229"/>
                </a:ext>
                <a:ext uri="{FF2B5EF4-FFF2-40B4-BE49-F238E27FC236}">
                  <a16:creationId xmlns:a16="http://schemas.microsoft.com/office/drawing/2014/main" id="{2A0160BB-3FF7-4920-80D2-428E1BEEBA2D}"/>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700" b="0" i="0" u="none" strike="noStrike" baseline="0">
                  <a:solidFill>
                    <a:srgbClr val="000000"/>
                  </a:solidFill>
                  <a:latin typeface="Arial"/>
                  <a:cs typeface="Arial"/>
                </a:rPr>
                <a:t>Mid Dist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76200</xdr:colOff>
          <xdr:row>109</xdr:row>
          <xdr:rowOff>9525</xdr:rowOff>
        </xdr:from>
        <xdr:to>
          <xdr:col>1</xdr:col>
          <xdr:colOff>504825</xdr:colOff>
          <xdr:row>110</xdr:row>
          <xdr:rowOff>0</xdr:rowOff>
        </xdr:to>
        <xdr:sp macro="" textlink="">
          <xdr:nvSpPr>
            <xdr:cNvPr id="8230" name="Check Box 38" hidden="1">
              <a:extLst>
                <a:ext uri="{63B3BB69-23CF-44E3-9099-C40C66FF867C}">
                  <a14:compatExt spid="_x0000_s8230"/>
                </a:ext>
                <a:ext uri="{FF2B5EF4-FFF2-40B4-BE49-F238E27FC236}">
                  <a16:creationId xmlns:a16="http://schemas.microsoft.com/office/drawing/2014/main" id="{05DBBE8E-ACE0-477C-8627-2E5CC64E7A9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Male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47625</xdr:colOff>
          <xdr:row>91</xdr:row>
          <xdr:rowOff>28575</xdr:rowOff>
        </xdr:from>
        <xdr:to>
          <xdr:col>14</xdr:col>
          <xdr:colOff>504825</xdr:colOff>
          <xdr:row>92</xdr:row>
          <xdr:rowOff>0</xdr:rowOff>
        </xdr:to>
        <xdr:sp macro="" textlink="">
          <xdr:nvSpPr>
            <xdr:cNvPr id="8231" name="Button 39" hidden="1">
              <a:extLst>
                <a:ext uri="{63B3BB69-23CF-44E3-9099-C40C66FF867C}">
                  <a14:compatExt spid="_x0000_s8231"/>
                </a:ext>
                <a:ext uri="{FF2B5EF4-FFF2-40B4-BE49-F238E27FC236}">
                  <a16:creationId xmlns:a16="http://schemas.microsoft.com/office/drawing/2014/main" id="{18311950-9A21-4B7C-B6D3-87740E5DBE84}"/>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700" b="0" i="0" u="none" strike="noStrike" baseline="0">
                  <a:solidFill>
                    <a:srgbClr val="000000"/>
                  </a:solidFill>
                  <a:latin typeface="Arial"/>
                  <a:cs typeface="Arial"/>
                </a:rPr>
                <a:t>Long Dist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104775</xdr:colOff>
          <xdr:row>91</xdr:row>
          <xdr:rowOff>28575</xdr:rowOff>
        </xdr:from>
        <xdr:to>
          <xdr:col>12</xdr:col>
          <xdr:colOff>561975</xdr:colOff>
          <xdr:row>92</xdr:row>
          <xdr:rowOff>0</xdr:rowOff>
        </xdr:to>
        <xdr:sp macro="" textlink="">
          <xdr:nvSpPr>
            <xdr:cNvPr id="8232" name="Button 40" hidden="1">
              <a:extLst>
                <a:ext uri="{63B3BB69-23CF-44E3-9099-C40C66FF867C}">
                  <a14:compatExt spid="_x0000_s8232"/>
                </a:ext>
                <a:ext uri="{FF2B5EF4-FFF2-40B4-BE49-F238E27FC236}">
                  <a16:creationId xmlns:a16="http://schemas.microsoft.com/office/drawing/2014/main" id="{1B874AB9-C998-443F-BFC4-7A116041D13C}"/>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700" b="0" i="0" u="none" strike="noStrike" baseline="0">
                  <a:solidFill>
                    <a:srgbClr val="000000"/>
                  </a:solidFill>
                  <a:latin typeface="Arial"/>
                  <a:cs typeface="Arial"/>
                </a:rPr>
                <a:t>BMI  18.5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542925</xdr:colOff>
          <xdr:row>45</xdr:row>
          <xdr:rowOff>161925</xdr:rowOff>
        </xdr:from>
        <xdr:to>
          <xdr:col>16</xdr:col>
          <xdr:colOff>552450</xdr:colOff>
          <xdr:row>46</xdr:row>
          <xdr:rowOff>161925</xdr:rowOff>
        </xdr:to>
        <xdr:sp macro="" textlink="">
          <xdr:nvSpPr>
            <xdr:cNvPr id="8233" name="Check Box 41" hidden="1">
              <a:extLst>
                <a:ext uri="{63B3BB69-23CF-44E3-9099-C40C66FF867C}">
                  <a14:compatExt spid="_x0000_s8233"/>
                </a:ext>
                <a:ext uri="{FF2B5EF4-FFF2-40B4-BE49-F238E27FC236}">
                  <a16:creationId xmlns:a16="http://schemas.microsoft.com/office/drawing/2014/main" id="{D9AC0D91-53A9-4EC7-8B44-45025291415E}"/>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vs Age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15</xdr:col>
          <xdr:colOff>542925</xdr:colOff>
          <xdr:row>46</xdr:row>
          <xdr:rowOff>161925</xdr:rowOff>
        </xdr:from>
        <xdr:to>
          <xdr:col>16</xdr:col>
          <xdr:colOff>552450</xdr:colOff>
          <xdr:row>47</xdr:row>
          <xdr:rowOff>161925</xdr:rowOff>
        </xdr:to>
        <xdr:sp macro="" textlink="">
          <xdr:nvSpPr>
            <xdr:cNvPr id="8234" name="Check Box 42" hidden="1">
              <a:extLst>
                <a:ext uri="{63B3BB69-23CF-44E3-9099-C40C66FF867C}">
                  <a14:compatExt spid="_x0000_s8234"/>
                </a:ext>
                <a:ext uri="{FF2B5EF4-FFF2-40B4-BE49-F238E27FC236}">
                  <a16:creationId xmlns:a16="http://schemas.microsoft.com/office/drawing/2014/main" id="{C992C9B1-6FEA-403C-ACD8-88F04602073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vs Wght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447675</xdr:colOff>
          <xdr:row>84</xdr:row>
          <xdr:rowOff>0</xdr:rowOff>
        </xdr:from>
        <xdr:to>
          <xdr:col>4</xdr:col>
          <xdr:colOff>9525</xdr:colOff>
          <xdr:row>84</xdr:row>
          <xdr:rowOff>161925</xdr:rowOff>
        </xdr:to>
        <xdr:sp macro="" textlink="">
          <xdr:nvSpPr>
            <xdr:cNvPr id="8235" name="Option Button 43" hidden="1">
              <a:extLst>
                <a:ext uri="{63B3BB69-23CF-44E3-9099-C40C66FF867C}">
                  <a14:compatExt spid="_x0000_s8235"/>
                </a:ext>
                <a:ext uri="{FF2B5EF4-FFF2-40B4-BE49-F238E27FC236}">
                  <a16:creationId xmlns:a16="http://schemas.microsoft.com/office/drawing/2014/main" id="{E86E2E0D-9726-45F9-BC70-3A18799CF61E}"/>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J.Daniels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466725</xdr:colOff>
          <xdr:row>84</xdr:row>
          <xdr:rowOff>0</xdr:rowOff>
        </xdr:from>
        <xdr:to>
          <xdr:col>6</xdr:col>
          <xdr:colOff>9525</xdr:colOff>
          <xdr:row>84</xdr:row>
          <xdr:rowOff>161925</xdr:rowOff>
        </xdr:to>
        <xdr:sp macro="" textlink="">
          <xdr:nvSpPr>
            <xdr:cNvPr id="8236" name="Option Button 44" hidden="1">
              <a:extLst>
                <a:ext uri="{63B3BB69-23CF-44E3-9099-C40C66FF867C}">
                  <a14:compatExt spid="_x0000_s8236"/>
                </a:ext>
                <a:ext uri="{FF2B5EF4-FFF2-40B4-BE49-F238E27FC236}">
                  <a16:creationId xmlns:a16="http://schemas.microsoft.com/office/drawing/2014/main" id="{50CB4488-7911-4A8E-9034-7A02F6AF10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M.Hadley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504825</xdr:colOff>
          <xdr:row>84</xdr:row>
          <xdr:rowOff>0</xdr:rowOff>
        </xdr:from>
        <xdr:to>
          <xdr:col>8</xdr:col>
          <xdr:colOff>66675</xdr:colOff>
          <xdr:row>84</xdr:row>
          <xdr:rowOff>161925</xdr:rowOff>
        </xdr:to>
        <xdr:sp macro="" textlink="">
          <xdr:nvSpPr>
            <xdr:cNvPr id="8237" name="Option Button 45" hidden="1">
              <a:extLst>
                <a:ext uri="{63B3BB69-23CF-44E3-9099-C40C66FF867C}">
                  <a14:compatExt spid="_x0000_s8237"/>
                </a:ext>
                <a:ext uri="{FF2B5EF4-FFF2-40B4-BE49-F238E27FC236}">
                  <a16:creationId xmlns:a16="http://schemas.microsoft.com/office/drawing/2014/main" id="{1362633F-F390-4241-BF7E-1A460877446E}"/>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Tinman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438150</xdr:colOff>
          <xdr:row>84</xdr:row>
          <xdr:rowOff>0</xdr:rowOff>
        </xdr:from>
        <xdr:to>
          <xdr:col>10</xdr:col>
          <xdr:colOff>0</xdr:colOff>
          <xdr:row>84</xdr:row>
          <xdr:rowOff>161925</xdr:rowOff>
        </xdr:to>
        <xdr:sp macro="" textlink="">
          <xdr:nvSpPr>
            <xdr:cNvPr id="8238" name="Option Button 46" hidden="1">
              <a:extLst>
                <a:ext uri="{63B3BB69-23CF-44E3-9099-C40C66FF867C}">
                  <a14:compatExt spid="_x0000_s8238"/>
                </a:ext>
                <a:ext uri="{FF2B5EF4-FFF2-40B4-BE49-F238E27FC236}">
                  <a16:creationId xmlns:a16="http://schemas.microsoft.com/office/drawing/2014/main" id="{C8A8DE23-F738-49B2-8F36-A4DD3E7330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El Helou</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38100</xdr:colOff>
          <xdr:row>78</xdr:row>
          <xdr:rowOff>133350</xdr:rowOff>
        </xdr:from>
        <xdr:to>
          <xdr:col>1</xdr:col>
          <xdr:colOff>466725</xdr:colOff>
          <xdr:row>80</xdr:row>
          <xdr:rowOff>9525</xdr:rowOff>
        </xdr:to>
        <xdr:sp macro="" textlink="">
          <xdr:nvSpPr>
            <xdr:cNvPr id="8239" name="Check Box 47" hidden="1">
              <a:extLst>
                <a:ext uri="{63B3BB69-23CF-44E3-9099-C40C66FF867C}">
                  <a14:compatExt spid="_x0000_s8239"/>
                </a:ext>
                <a:ext uri="{FF2B5EF4-FFF2-40B4-BE49-F238E27FC236}">
                  <a16:creationId xmlns:a16="http://schemas.microsoft.com/office/drawing/2014/main" id="{37D28359-3F15-4FD6-B02C-5581EE59871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Male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38100</xdr:colOff>
          <xdr:row>95</xdr:row>
          <xdr:rowOff>142875</xdr:rowOff>
        </xdr:from>
        <xdr:to>
          <xdr:col>14</xdr:col>
          <xdr:colOff>533400</xdr:colOff>
          <xdr:row>97</xdr:row>
          <xdr:rowOff>19050</xdr:rowOff>
        </xdr:to>
        <xdr:sp macro="" textlink="">
          <xdr:nvSpPr>
            <xdr:cNvPr id="8240" name="Check Box 48" hidden="1">
              <a:extLst>
                <a:ext uri="{63B3BB69-23CF-44E3-9099-C40C66FF867C}">
                  <a14:compatExt spid="_x0000_s8240"/>
                </a:ext>
                <a:ext uri="{FF2B5EF4-FFF2-40B4-BE49-F238E27FC236}">
                  <a16:creationId xmlns:a16="http://schemas.microsoft.com/office/drawing/2014/main" id="{C77897E9-9B7A-4498-94C0-502F835CE68C}"/>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485775</xdr:colOff>
          <xdr:row>14</xdr:row>
          <xdr:rowOff>76200</xdr:rowOff>
        </xdr:from>
        <xdr:to>
          <xdr:col>7</xdr:col>
          <xdr:colOff>95250</xdr:colOff>
          <xdr:row>16</xdr:row>
          <xdr:rowOff>66675</xdr:rowOff>
        </xdr:to>
        <xdr:sp macro="" textlink="">
          <xdr:nvSpPr>
            <xdr:cNvPr id="8241" name="Group Box 49" hidden="1">
              <a:extLst>
                <a:ext uri="{63B3BB69-23CF-44E3-9099-C40C66FF867C}">
                  <a14:compatExt spid="_x0000_s8241"/>
                </a:ext>
                <a:ext uri="{FF2B5EF4-FFF2-40B4-BE49-F238E27FC236}">
                  <a16:creationId xmlns:a16="http://schemas.microsoft.com/office/drawing/2014/main" id="{7040FEB9-14CA-43EE-B654-4D6F7C47BF76}"/>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27432" tIns="18288" rIns="0" bIns="0" anchor="t" upright="1"/>
            <a:lstStyle/>
            <a:p>
              <a:pPr algn="l" rtl="0">
                <a:defRPr sz="1000"/>
              </a:pPr>
              <a:r>
                <a:rPr lang="en-US" sz="800" b="0" i="0" u="none" strike="noStrike" baseline="0">
                  <a:solidFill>
                    <a:srgbClr val="000000"/>
                  </a:solidFill>
                  <a:latin typeface="Segoe UI"/>
                  <a:cs typeface="Segoe UI"/>
                </a:rPr>
                <a:t>Group Box 117</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76200</xdr:colOff>
          <xdr:row>104</xdr:row>
          <xdr:rowOff>0</xdr:rowOff>
        </xdr:from>
        <xdr:to>
          <xdr:col>3</xdr:col>
          <xdr:colOff>66675</xdr:colOff>
          <xdr:row>104</xdr:row>
          <xdr:rowOff>161925</xdr:rowOff>
        </xdr:to>
        <xdr:sp macro="" textlink="">
          <xdr:nvSpPr>
            <xdr:cNvPr id="8242" name="Check Box 50" descr="Metric Distance" hidden="1">
              <a:extLst>
                <a:ext uri="{63B3BB69-23CF-44E3-9099-C40C66FF867C}">
                  <a14:compatExt spid="_x0000_s8242"/>
                </a:ext>
                <a:ext uri="{FF2B5EF4-FFF2-40B4-BE49-F238E27FC236}">
                  <a16:creationId xmlns:a16="http://schemas.microsoft.com/office/drawing/2014/main" id="{23AF42BB-C71F-420E-8832-3DAF2BA0F3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Metric Pace &amp; Distance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390525</xdr:colOff>
          <xdr:row>46</xdr:row>
          <xdr:rowOff>0</xdr:rowOff>
        </xdr:from>
        <xdr:to>
          <xdr:col>11</xdr:col>
          <xdr:colOff>561975</xdr:colOff>
          <xdr:row>46</xdr:row>
          <xdr:rowOff>171450</xdr:rowOff>
        </xdr:to>
        <xdr:sp macro="" textlink="">
          <xdr:nvSpPr>
            <xdr:cNvPr id="8243" name="Check Box 51" hidden="1">
              <a:extLst>
                <a:ext uri="{63B3BB69-23CF-44E3-9099-C40C66FF867C}">
                  <a14:compatExt spid="_x0000_s8243"/>
                </a:ext>
                <a:ext uri="{FF2B5EF4-FFF2-40B4-BE49-F238E27FC236}">
                  <a16:creationId xmlns:a16="http://schemas.microsoft.com/office/drawing/2014/main" id="{25CB2FC4-00BC-4829-8016-9017D75DF1E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HR Reserve</a:t>
              </a:r>
            </a:p>
          </xdr:txBody>
        </xdr:sp>
        <xdr:clientData/>
      </xdr:twoCellAnchor>
    </mc:Choice>
    <mc:Fallback/>
  </mc:AlternateContent>
  <mc:AlternateContent xmlns:mc="http://schemas.openxmlformats.org/markup-compatibility/2006">
    <mc:Choice xmlns:a14="http://schemas.microsoft.com/office/drawing/2010/main" Requires="a14">
      <xdr:twoCellAnchor>
        <xdr:from>
          <xdr:col>1</xdr:col>
          <xdr:colOff>38100</xdr:colOff>
          <xdr:row>9</xdr:row>
          <xdr:rowOff>28575</xdr:rowOff>
        </xdr:from>
        <xdr:to>
          <xdr:col>2</xdr:col>
          <xdr:colOff>123825</xdr:colOff>
          <xdr:row>9</xdr:row>
          <xdr:rowOff>152400</xdr:rowOff>
        </xdr:to>
        <xdr:sp macro="" textlink="">
          <xdr:nvSpPr>
            <xdr:cNvPr id="8244" name="Button 52" hidden="1">
              <a:extLst>
                <a:ext uri="{63B3BB69-23CF-44E3-9099-C40C66FF867C}">
                  <a14:compatExt spid="_x0000_s8244"/>
                </a:ext>
                <a:ext uri="{FF2B5EF4-FFF2-40B4-BE49-F238E27FC236}">
                  <a16:creationId xmlns:a16="http://schemas.microsoft.com/office/drawing/2014/main" id="{8C1AC6B0-1A40-4D6F-AF22-2DF1436BA259}"/>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700" b="0" i="0" u="none" strike="noStrike" baseline="0">
                  <a:solidFill>
                    <a:srgbClr val="000000"/>
                  </a:solidFill>
                  <a:latin typeface="Arial"/>
                  <a:cs typeface="Arial"/>
                </a:rPr>
                <a:t>Config Aero Zone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152400</xdr:colOff>
          <xdr:row>9</xdr:row>
          <xdr:rowOff>28575</xdr:rowOff>
        </xdr:from>
        <xdr:to>
          <xdr:col>2</xdr:col>
          <xdr:colOff>533400</xdr:colOff>
          <xdr:row>9</xdr:row>
          <xdr:rowOff>152400</xdr:rowOff>
        </xdr:to>
        <xdr:sp macro="" textlink="">
          <xdr:nvSpPr>
            <xdr:cNvPr id="8245" name="Button 53" hidden="1">
              <a:extLst>
                <a:ext uri="{63B3BB69-23CF-44E3-9099-C40C66FF867C}">
                  <a14:compatExt spid="_x0000_s8245"/>
                </a:ext>
                <a:ext uri="{FF2B5EF4-FFF2-40B4-BE49-F238E27FC236}">
                  <a16:creationId xmlns:a16="http://schemas.microsoft.com/office/drawing/2014/main" id="{731CEC79-0925-4EDD-A31F-DA1474B9175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700" b="0" i="0" u="none" strike="noStrike" baseline="0">
                  <a:solidFill>
                    <a:srgbClr val="000000"/>
                  </a:solidFill>
                  <a:latin typeface="Arial"/>
                  <a:cs typeface="Arial"/>
                </a:rPr>
                <a:t>Reset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xdr:col>
          <xdr:colOff>66675</xdr:colOff>
          <xdr:row>48</xdr:row>
          <xdr:rowOff>38100</xdr:rowOff>
        </xdr:from>
        <xdr:to>
          <xdr:col>1</xdr:col>
          <xdr:colOff>657225</xdr:colOff>
          <xdr:row>49</xdr:row>
          <xdr:rowOff>142875</xdr:rowOff>
        </xdr:to>
        <xdr:sp macro="" textlink="">
          <xdr:nvSpPr>
            <xdr:cNvPr id="8246" name="Button 54" hidden="1">
              <a:extLst>
                <a:ext uri="{63B3BB69-23CF-44E3-9099-C40C66FF867C}">
                  <a14:compatExt spid="_x0000_s8246"/>
                </a:ext>
                <a:ext uri="{FF2B5EF4-FFF2-40B4-BE49-F238E27FC236}">
                  <a16:creationId xmlns:a16="http://schemas.microsoft.com/office/drawing/2014/main" id="{D33B94B0-2EF5-4E07-BDC3-BB5D9B52F9E9}"/>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700" b="0" i="0" u="none" strike="noStrike" baseline="0">
                  <a:solidFill>
                    <a:srgbClr val="000000"/>
                  </a:solidFill>
                  <a:latin typeface="Arial"/>
                  <a:cs typeface="Arial"/>
                </a:rPr>
                <a:t>Restore</a:t>
              </a:r>
            </a:p>
            <a:p>
              <a:pPr algn="ctr" rtl="0">
                <a:defRPr sz="1000"/>
              </a:pPr>
              <a:r>
                <a:rPr lang="en-US" sz="700" b="0" i="0" u="none" strike="noStrike" baseline="0">
                  <a:solidFill>
                    <a:srgbClr val="000000"/>
                  </a:solidFill>
                  <a:latin typeface="Arial"/>
                  <a:cs typeface="Arial"/>
                </a:rPr>
                <a:t>Entry HR</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xdr:col>
          <xdr:colOff>38100</xdr:colOff>
          <xdr:row>55</xdr:row>
          <xdr:rowOff>0</xdr:rowOff>
        </xdr:from>
        <xdr:to>
          <xdr:col>1</xdr:col>
          <xdr:colOff>695325</xdr:colOff>
          <xdr:row>55</xdr:row>
          <xdr:rowOff>161925</xdr:rowOff>
        </xdr:to>
        <xdr:sp macro="" textlink="">
          <xdr:nvSpPr>
            <xdr:cNvPr id="8247" name="Check Box 55" hidden="1">
              <a:extLst>
                <a:ext uri="{63B3BB69-23CF-44E3-9099-C40C66FF867C}">
                  <a14:compatExt spid="_x0000_s8247"/>
                </a:ext>
                <a:ext uri="{FF2B5EF4-FFF2-40B4-BE49-F238E27FC236}">
                  <a16:creationId xmlns:a16="http://schemas.microsoft.com/office/drawing/2014/main" id="{D328EFCE-ED9C-441F-8FFB-68D6EC39E78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Temp Adj</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381000</xdr:colOff>
          <xdr:row>83</xdr:row>
          <xdr:rowOff>104775</xdr:rowOff>
        </xdr:from>
        <xdr:to>
          <xdr:col>10</xdr:col>
          <xdr:colOff>123825</xdr:colOff>
          <xdr:row>85</xdr:row>
          <xdr:rowOff>57150</xdr:rowOff>
        </xdr:to>
        <xdr:sp macro="" textlink="">
          <xdr:nvSpPr>
            <xdr:cNvPr id="8248" name="Group Box 56" hidden="1">
              <a:extLst>
                <a:ext uri="{63B3BB69-23CF-44E3-9099-C40C66FF867C}">
                  <a14:compatExt spid="_x0000_s8248"/>
                </a:ext>
                <a:ext uri="{FF2B5EF4-FFF2-40B4-BE49-F238E27FC236}">
                  <a16:creationId xmlns:a16="http://schemas.microsoft.com/office/drawing/2014/main" id="{EBD295D1-1470-4082-97E2-A05B501FC66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27432" tIns="18288" rIns="0" bIns="0" anchor="t" upright="1"/>
            <a:lstStyle/>
            <a:p>
              <a:pPr algn="l" rtl="0">
                <a:defRPr sz="1000"/>
              </a:pPr>
              <a:r>
                <a:rPr lang="en-US" sz="800" b="0" i="0" u="none" strike="noStrike" baseline="0">
                  <a:solidFill>
                    <a:srgbClr val="000000"/>
                  </a:solidFill>
                  <a:latin typeface="Segoe UI"/>
                  <a:cs typeface="Segoe UI"/>
                </a:rPr>
                <a:t>Group Box 144</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12</xdr:col>
          <xdr:colOff>628650</xdr:colOff>
          <xdr:row>2</xdr:row>
          <xdr:rowOff>161925</xdr:rowOff>
        </xdr:from>
        <xdr:to>
          <xdr:col>14</xdr:col>
          <xdr:colOff>209550</xdr:colOff>
          <xdr:row>3</xdr:row>
          <xdr:rowOff>161925</xdr:rowOff>
        </xdr:to>
        <xdr:sp macro="" textlink="">
          <xdr:nvSpPr>
            <xdr:cNvPr id="8249" name="Check Box 57" hidden="1">
              <a:extLst>
                <a:ext uri="{63B3BB69-23CF-44E3-9099-C40C66FF867C}">
                  <a14:compatExt spid="_x0000_s8249"/>
                </a:ext>
                <a:ext uri="{FF2B5EF4-FFF2-40B4-BE49-F238E27FC236}">
                  <a16:creationId xmlns:a16="http://schemas.microsoft.com/office/drawing/2014/main" id="{FC802336-393B-4583-97A5-E2194CFA69E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Tahoma"/>
                  <a:ea typeface="Tahoma"/>
                  <a:cs typeface="Tahoma"/>
                </a:rPr>
                <a:t>Apply HR Tweak</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342900</xdr:colOff>
          <xdr:row>13</xdr:row>
          <xdr:rowOff>9525</xdr:rowOff>
        </xdr:from>
        <xdr:to>
          <xdr:col>1</xdr:col>
          <xdr:colOff>571500</xdr:colOff>
          <xdr:row>14</xdr:row>
          <xdr:rowOff>0</xdr:rowOff>
        </xdr:to>
        <xdr:sp macro="" textlink="">
          <xdr:nvSpPr>
            <xdr:cNvPr id="8250" name="Check Box 58" hidden="1">
              <a:extLst>
                <a:ext uri="{63B3BB69-23CF-44E3-9099-C40C66FF867C}">
                  <a14:compatExt spid="_x0000_s8250"/>
                </a:ext>
                <a:ext uri="{FF2B5EF4-FFF2-40B4-BE49-F238E27FC236}">
                  <a16:creationId xmlns:a16="http://schemas.microsoft.com/office/drawing/2014/main" id="{4F5409EF-0F35-4193-A7B6-AC8EE3FDDC3F}"/>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6" Type="http://schemas.openxmlformats.org/officeDocument/2006/relationships/ctrlProp" Target="../ctrlProps/ctrlProp8.xml"/><Relationship Id="rId21" Type="http://schemas.openxmlformats.org/officeDocument/2006/relationships/ctrlProp" Target="../ctrlProps/ctrlProp3.xml"/><Relationship Id="rId42" Type="http://schemas.openxmlformats.org/officeDocument/2006/relationships/ctrlProp" Target="../ctrlProps/ctrlProp24.xml"/><Relationship Id="rId47" Type="http://schemas.openxmlformats.org/officeDocument/2006/relationships/ctrlProp" Target="../ctrlProps/ctrlProp29.xml"/><Relationship Id="rId63" Type="http://schemas.openxmlformats.org/officeDocument/2006/relationships/ctrlProp" Target="../ctrlProps/ctrlProp45.xml"/><Relationship Id="rId68" Type="http://schemas.openxmlformats.org/officeDocument/2006/relationships/ctrlProp" Target="../ctrlProps/ctrlProp50.xml"/><Relationship Id="rId16" Type="http://schemas.openxmlformats.org/officeDocument/2006/relationships/printerSettings" Target="../printerSettings/printerSettings3.bin"/><Relationship Id="rId11" Type="http://schemas.openxmlformats.org/officeDocument/2006/relationships/hyperlink" Target="https://runsmartproject.com/calculator/" TargetMode="External"/><Relationship Id="rId24" Type="http://schemas.openxmlformats.org/officeDocument/2006/relationships/ctrlProp" Target="../ctrlProps/ctrlProp6.xml"/><Relationship Id="rId32" Type="http://schemas.openxmlformats.org/officeDocument/2006/relationships/ctrlProp" Target="../ctrlProps/ctrlProp14.xml"/><Relationship Id="rId37" Type="http://schemas.openxmlformats.org/officeDocument/2006/relationships/ctrlProp" Target="../ctrlProps/ctrlProp19.xml"/><Relationship Id="rId40" Type="http://schemas.openxmlformats.org/officeDocument/2006/relationships/ctrlProp" Target="../ctrlProps/ctrlProp22.xml"/><Relationship Id="rId45" Type="http://schemas.openxmlformats.org/officeDocument/2006/relationships/ctrlProp" Target="../ctrlProps/ctrlProp27.xml"/><Relationship Id="rId53" Type="http://schemas.openxmlformats.org/officeDocument/2006/relationships/ctrlProp" Target="../ctrlProps/ctrlProp35.xml"/><Relationship Id="rId58" Type="http://schemas.openxmlformats.org/officeDocument/2006/relationships/ctrlProp" Target="../ctrlProps/ctrlProp40.xml"/><Relationship Id="rId66" Type="http://schemas.openxmlformats.org/officeDocument/2006/relationships/ctrlProp" Target="../ctrlProps/ctrlProp48.xml"/><Relationship Id="rId74" Type="http://schemas.openxmlformats.org/officeDocument/2006/relationships/ctrlProp" Target="../ctrlProps/ctrlProp56.xml"/><Relationship Id="rId5" Type="http://schemas.openxmlformats.org/officeDocument/2006/relationships/hyperlink" Target="https://www.runscore.com/Alan/AgeGrade.html" TargetMode="External"/><Relationship Id="rId61" Type="http://schemas.openxmlformats.org/officeDocument/2006/relationships/ctrlProp" Target="../ctrlProps/ctrlProp43.xml"/><Relationship Id="rId19" Type="http://schemas.openxmlformats.org/officeDocument/2006/relationships/ctrlProp" Target="../ctrlProps/ctrlProp1.xml"/><Relationship Id="rId14" Type="http://schemas.openxmlformats.org/officeDocument/2006/relationships/hyperlink" Target="https://runfastcoach.com/" TargetMode="External"/><Relationship Id="rId22" Type="http://schemas.openxmlformats.org/officeDocument/2006/relationships/ctrlProp" Target="../ctrlProps/ctrlProp4.xml"/><Relationship Id="rId27" Type="http://schemas.openxmlformats.org/officeDocument/2006/relationships/ctrlProp" Target="../ctrlProps/ctrlProp9.xml"/><Relationship Id="rId30" Type="http://schemas.openxmlformats.org/officeDocument/2006/relationships/ctrlProp" Target="../ctrlProps/ctrlProp12.xml"/><Relationship Id="rId35" Type="http://schemas.openxmlformats.org/officeDocument/2006/relationships/ctrlProp" Target="../ctrlProps/ctrlProp17.xml"/><Relationship Id="rId43" Type="http://schemas.openxmlformats.org/officeDocument/2006/relationships/ctrlProp" Target="../ctrlProps/ctrlProp25.xml"/><Relationship Id="rId48" Type="http://schemas.openxmlformats.org/officeDocument/2006/relationships/ctrlProp" Target="../ctrlProps/ctrlProp30.xml"/><Relationship Id="rId56" Type="http://schemas.openxmlformats.org/officeDocument/2006/relationships/ctrlProp" Target="../ctrlProps/ctrlProp38.xml"/><Relationship Id="rId64" Type="http://schemas.openxmlformats.org/officeDocument/2006/relationships/ctrlProp" Target="../ctrlProps/ctrlProp46.xml"/><Relationship Id="rId69" Type="http://schemas.openxmlformats.org/officeDocument/2006/relationships/ctrlProp" Target="../ctrlProps/ctrlProp51.xml"/><Relationship Id="rId77" Type="http://schemas.openxmlformats.org/officeDocument/2006/relationships/comments" Target="../comments1.xml"/><Relationship Id="rId8" Type="http://schemas.openxmlformats.org/officeDocument/2006/relationships/hyperlink" Target="https://vdoto2.com/" TargetMode="External"/><Relationship Id="rId51" Type="http://schemas.openxmlformats.org/officeDocument/2006/relationships/ctrlProp" Target="../ctrlProps/ctrlProp33.xml"/><Relationship Id="rId72" Type="http://schemas.openxmlformats.org/officeDocument/2006/relationships/ctrlProp" Target="../ctrlProps/ctrlProp54.xml"/><Relationship Id="rId3" Type="http://schemas.openxmlformats.org/officeDocument/2006/relationships/hyperlink" Target="https://www.runscore.com/Alan/AgeGrade.html" TargetMode="External"/><Relationship Id="rId12" Type="http://schemas.openxmlformats.org/officeDocument/2006/relationships/hyperlink" Target="https://journals.plos.org/plosone/article?id=10.1371/journal.pone.0037407" TargetMode="External"/><Relationship Id="rId17" Type="http://schemas.openxmlformats.org/officeDocument/2006/relationships/drawing" Target="../drawings/drawing2.xml"/><Relationship Id="rId25" Type="http://schemas.openxmlformats.org/officeDocument/2006/relationships/ctrlProp" Target="../ctrlProps/ctrlProp7.xml"/><Relationship Id="rId33" Type="http://schemas.openxmlformats.org/officeDocument/2006/relationships/ctrlProp" Target="../ctrlProps/ctrlProp15.xml"/><Relationship Id="rId38" Type="http://schemas.openxmlformats.org/officeDocument/2006/relationships/ctrlProp" Target="../ctrlProps/ctrlProp20.xml"/><Relationship Id="rId46" Type="http://schemas.openxmlformats.org/officeDocument/2006/relationships/ctrlProp" Target="../ctrlProps/ctrlProp28.xml"/><Relationship Id="rId59" Type="http://schemas.openxmlformats.org/officeDocument/2006/relationships/ctrlProp" Target="../ctrlProps/ctrlProp41.xml"/><Relationship Id="rId67" Type="http://schemas.openxmlformats.org/officeDocument/2006/relationships/ctrlProp" Target="../ctrlProps/ctrlProp49.xml"/><Relationship Id="rId20" Type="http://schemas.openxmlformats.org/officeDocument/2006/relationships/ctrlProp" Target="../ctrlProps/ctrlProp2.xml"/><Relationship Id="rId41" Type="http://schemas.openxmlformats.org/officeDocument/2006/relationships/ctrlProp" Target="../ctrlProps/ctrlProp23.xml"/><Relationship Id="rId54" Type="http://schemas.openxmlformats.org/officeDocument/2006/relationships/ctrlProp" Target="../ctrlProps/ctrlProp36.xml"/><Relationship Id="rId62" Type="http://schemas.openxmlformats.org/officeDocument/2006/relationships/ctrlProp" Target="../ctrlProps/ctrlProp44.xml"/><Relationship Id="rId70" Type="http://schemas.openxmlformats.org/officeDocument/2006/relationships/ctrlProp" Target="../ctrlProps/ctrlProp52.xml"/><Relationship Id="rId75" Type="http://schemas.openxmlformats.org/officeDocument/2006/relationships/ctrlProp" Target="../ctrlProps/ctrlProp57.xml"/><Relationship Id="rId1" Type="http://schemas.openxmlformats.org/officeDocument/2006/relationships/hyperlink" Target="http://www.mcmillanrunning.com/mcmillanrunningcalculator.htm" TargetMode="External"/><Relationship Id="rId6" Type="http://schemas.openxmlformats.org/officeDocument/2006/relationships/hyperlink" Target="http://arrs.run/" TargetMode="External"/><Relationship Id="rId15" Type="http://schemas.openxmlformats.org/officeDocument/2006/relationships/hyperlink" Target="https://www.trainingpeaks.com/blog/the-best-way-to-monitor-your-run-training-daily/?fbclid=IwAR0TL-8gbK0wwr0jCrnu1nvYaLSl3pgvMa8U7MyAjopvVYYeK7MI4x0lZ04" TargetMode="External"/><Relationship Id="rId23" Type="http://schemas.openxmlformats.org/officeDocument/2006/relationships/ctrlProp" Target="../ctrlProps/ctrlProp5.xml"/><Relationship Id="rId28" Type="http://schemas.openxmlformats.org/officeDocument/2006/relationships/ctrlProp" Target="../ctrlProps/ctrlProp10.xml"/><Relationship Id="rId36" Type="http://schemas.openxmlformats.org/officeDocument/2006/relationships/ctrlProp" Target="../ctrlProps/ctrlProp18.xml"/><Relationship Id="rId49" Type="http://schemas.openxmlformats.org/officeDocument/2006/relationships/ctrlProp" Target="../ctrlProps/ctrlProp31.xml"/><Relationship Id="rId57" Type="http://schemas.openxmlformats.org/officeDocument/2006/relationships/ctrlProp" Target="../ctrlProps/ctrlProp39.xml"/><Relationship Id="rId10" Type="http://schemas.openxmlformats.org/officeDocument/2006/relationships/hyperlink" Target="http://maximumperformancerunning.blogspot.com/2013/07/temperature-dew-point.html" TargetMode="External"/><Relationship Id="rId31" Type="http://schemas.openxmlformats.org/officeDocument/2006/relationships/ctrlProp" Target="../ctrlProps/ctrlProp13.xml"/><Relationship Id="rId44" Type="http://schemas.openxmlformats.org/officeDocument/2006/relationships/ctrlProp" Target="../ctrlProps/ctrlProp26.xml"/><Relationship Id="rId52" Type="http://schemas.openxmlformats.org/officeDocument/2006/relationships/ctrlProp" Target="../ctrlProps/ctrlProp34.xml"/><Relationship Id="rId60" Type="http://schemas.openxmlformats.org/officeDocument/2006/relationships/ctrlProp" Target="../ctrlProps/ctrlProp42.xml"/><Relationship Id="rId65" Type="http://schemas.openxmlformats.org/officeDocument/2006/relationships/ctrlProp" Target="../ctrlProps/ctrlProp47.xml"/><Relationship Id="rId73" Type="http://schemas.openxmlformats.org/officeDocument/2006/relationships/ctrlProp" Target="../ctrlProps/ctrlProp55.xml"/><Relationship Id="rId4" Type="http://schemas.openxmlformats.org/officeDocument/2006/relationships/hyperlink" Target="http://www.iaaf.org/statistics/records/index.html" TargetMode="External"/><Relationship Id="rId9" Type="http://schemas.openxmlformats.org/officeDocument/2006/relationships/hyperlink" Target="http://www.mcmillanrunning.com/" TargetMode="External"/><Relationship Id="rId13" Type="http://schemas.openxmlformats.org/officeDocument/2006/relationships/hyperlink" Target="https://journals.plos.org/plosone/article?id=10.1371/journal.pone.0037407" TargetMode="External"/><Relationship Id="rId18" Type="http://schemas.openxmlformats.org/officeDocument/2006/relationships/vmlDrawing" Target="../drawings/vmlDrawing1.vml"/><Relationship Id="rId39" Type="http://schemas.openxmlformats.org/officeDocument/2006/relationships/ctrlProp" Target="../ctrlProps/ctrlProp21.xml"/><Relationship Id="rId34" Type="http://schemas.openxmlformats.org/officeDocument/2006/relationships/ctrlProp" Target="../ctrlProps/ctrlProp16.xml"/><Relationship Id="rId50" Type="http://schemas.openxmlformats.org/officeDocument/2006/relationships/ctrlProp" Target="../ctrlProps/ctrlProp32.xml"/><Relationship Id="rId55" Type="http://schemas.openxmlformats.org/officeDocument/2006/relationships/ctrlProp" Target="../ctrlProps/ctrlProp37.xml"/><Relationship Id="rId76" Type="http://schemas.openxmlformats.org/officeDocument/2006/relationships/ctrlProp" Target="../ctrlProps/ctrlProp58.xml"/><Relationship Id="rId7" Type="http://schemas.openxmlformats.org/officeDocument/2006/relationships/hyperlink" Target="http://www.runsmartproject.com/" TargetMode="External"/><Relationship Id="rId71" Type="http://schemas.openxmlformats.org/officeDocument/2006/relationships/ctrlProp" Target="../ctrlProps/ctrlProp53.xml"/><Relationship Id="rId2" Type="http://schemas.openxmlformats.org/officeDocument/2006/relationships/hyperlink" Target="http://www.joefrielsblog.com/" TargetMode="External"/><Relationship Id="rId29" Type="http://schemas.openxmlformats.org/officeDocument/2006/relationships/ctrlProp" Target="../ctrlProps/ctrlProp11.xml"/></Relationships>
</file>

<file path=xl/worksheets/_rels/sheet6.xml.rels><?xml version="1.0" encoding="UTF-8" standalone="yes"?>
<Relationships xmlns="http://schemas.openxmlformats.org/package/2006/relationships"><Relationship Id="rId26" Type="http://schemas.openxmlformats.org/officeDocument/2006/relationships/ctrlProp" Target="../ctrlProps/ctrlProp66.xml"/><Relationship Id="rId21" Type="http://schemas.openxmlformats.org/officeDocument/2006/relationships/ctrlProp" Target="../ctrlProps/ctrlProp61.xml"/><Relationship Id="rId42" Type="http://schemas.openxmlformats.org/officeDocument/2006/relationships/ctrlProp" Target="../ctrlProps/ctrlProp82.xml"/><Relationship Id="rId47" Type="http://schemas.openxmlformats.org/officeDocument/2006/relationships/ctrlProp" Target="../ctrlProps/ctrlProp87.xml"/><Relationship Id="rId63" Type="http://schemas.openxmlformats.org/officeDocument/2006/relationships/ctrlProp" Target="../ctrlProps/ctrlProp103.xml"/><Relationship Id="rId68" Type="http://schemas.openxmlformats.org/officeDocument/2006/relationships/ctrlProp" Target="../ctrlProps/ctrlProp108.xml"/><Relationship Id="rId16" Type="http://schemas.openxmlformats.org/officeDocument/2006/relationships/printerSettings" Target="../printerSettings/printerSettings4.bin"/><Relationship Id="rId11" Type="http://schemas.openxmlformats.org/officeDocument/2006/relationships/hyperlink" Target="https://runsmartproject.com/calculator/" TargetMode="External"/><Relationship Id="rId24" Type="http://schemas.openxmlformats.org/officeDocument/2006/relationships/ctrlProp" Target="../ctrlProps/ctrlProp64.xml"/><Relationship Id="rId32" Type="http://schemas.openxmlformats.org/officeDocument/2006/relationships/ctrlProp" Target="../ctrlProps/ctrlProp72.xml"/><Relationship Id="rId37" Type="http://schemas.openxmlformats.org/officeDocument/2006/relationships/ctrlProp" Target="../ctrlProps/ctrlProp77.xml"/><Relationship Id="rId40" Type="http://schemas.openxmlformats.org/officeDocument/2006/relationships/ctrlProp" Target="../ctrlProps/ctrlProp80.xml"/><Relationship Id="rId45" Type="http://schemas.openxmlformats.org/officeDocument/2006/relationships/ctrlProp" Target="../ctrlProps/ctrlProp85.xml"/><Relationship Id="rId53" Type="http://schemas.openxmlformats.org/officeDocument/2006/relationships/ctrlProp" Target="../ctrlProps/ctrlProp93.xml"/><Relationship Id="rId58" Type="http://schemas.openxmlformats.org/officeDocument/2006/relationships/ctrlProp" Target="../ctrlProps/ctrlProp98.xml"/><Relationship Id="rId66" Type="http://schemas.openxmlformats.org/officeDocument/2006/relationships/ctrlProp" Target="../ctrlProps/ctrlProp106.xml"/><Relationship Id="rId74" Type="http://schemas.openxmlformats.org/officeDocument/2006/relationships/ctrlProp" Target="../ctrlProps/ctrlProp114.xml"/><Relationship Id="rId5" Type="http://schemas.openxmlformats.org/officeDocument/2006/relationships/hyperlink" Target="https://www.runscore.com/Alan/AgeGrade.html" TargetMode="External"/><Relationship Id="rId61" Type="http://schemas.openxmlformats.org/officeDocument/2006/relationships/ctrlProp" Target="../ctrlProps/ctrlProp101.xml"/><Relationship Id="rId19" Type="http://schemas.openxmlformats.org/officeDocument/2006/relationships/ctrlProp" Target="../ctrlProps/ctrlProp59.xml"/><Relationship Id="rId14" Type="http://schemas.openxmlformats.org/officeDocument/2006/relationships/hyperlink" Target="https://runfastcoach.com/" TargetMode="External"/><Relationship Id="rId22" Type="http://schemas.openxmlformats.org/officeDocument/2006/relationships/ctrlProp" Target="../ctrlProps/ctrlProp62.xml"/><Relationship Id="rId27" Type="http://schemas.openxmlformats.org/officeDocument/2006/relationships/ctrlProp" Target="../ctrlProps/ctrlProp67.xml"/><Relationship Id="rId30" Type="http://schemas.openxmlformats.org/officeDocument/2006/relationships/ctrlProp" Target="../ctrlProps/ctrlProp70.xml"/><Relationship Id="rId35" Type="http://schemas.openxmlformats.org/officeDocument/2006/relationships/ctrlProp" Target="../ctrlProps/ctrlProp75.xml"/><Relationship Id="rId43" Type="http://schemas.openxmlformats.org/officeDocument/2006/relationships/ctrlProp" Target="../ctrlProps/ctrlProp83.xml"/><Relationship Id="rId48" Type="http://schemas.openxmlformats.org/officeDocument/2006/relationships/ctrlProp" Target="../ctrlProps/ctrlProp88.xml"/><Relationship Id="rId56" Type="http://schemas.openxmlformats.org/officeDocument/2006/relationships/ctrlProp" Target="../ctrlProps/ctrlProp96.xml"/><Relationship Id="rId64" Type="http://schemas.openxmlformats.org/officeDocument/2006/relationships/ctrlProp" Target="../ctrlProps/ctrlProp104.xml"/><Relationship Id="rId69" Type="http://schemas.openxmlformats.org/officeDocument/2006/relationships/ctrlProp" Target="../ctrlProps/ctrlProp109.xml"/><Relationship Id="rId77" Type="http://schemas.openxmlformats.org/officeDocument/2006/relationships/comments" Target="../comments2.xml"/><Relationship Id="rId8" Type="http://schemas.openxmlformats.org/officeDocument/2006/relationships/hyperlink" Target="https://vdoto2.com/" TargetMode="External"/><Relationship Id="rId51" Type="http://schemas.openxmlformats.org/officeDocument/2006/relationships/ctrlProp" Target="../ctrlProps/ctrlProp91.xml"/><Relationship Id="rId72" Type="http://schemas.openxmlformats.org/officeDocument/2006/relationships/ctrlProp" Target="../ctrlProps/ctrlProp112.xml"/><Relationship Id="rId3" Type="http://schemas.openxmlformats.org/officeDocument/2006/relationships/hyperlink" Target="https://www.runscore.com/Alan/AgeGrade.html" TargetMode="External"/><Relationship Id="rId12" Type="http://schemas.openxmlformats.org/officeDocument/2006/relationships/hyperlink" Target="https://journals.plos.org/plosone/article?id=10.1371/journal.pone.0037407" TargetMode="External"/><Relationship Id="rId17" Type="http://schemas.openxmlformats.org/officeDocument/2006/relationships/drawing" Target="../drawings/drawing3.xml"/><Relationship Id="rId25" Type="http://schemas.openxmlformats.org/officeDocument/2006/relationships/ctrlProp" Target="../ctrlProps/ctrlProp65.xml"/><Relationship Id="rId33" Type="http://schemas.openxmlformats.org/officeDocument/2006/relationships/ctrlProp" Target="../ctrlProps/ctrlProp73.xml"/><Relationship Id="rId38" Type="http://schemas.openxmlformats.org/officeDocument/2006/relationships/ctrlProp" Target="../ctrlProps/ctrlProp78.xml"/><Relationship Id="rId46" Type="http://schemas.openxmlformats.org/officeDocument/2006/relationships/ctrlProp" Target="../ctrlProps/ctrlProp86.xml"/><Relationship Id="rId59" Type="http://schemas.openxmlformats.org/officeDocument/2006/relationships/ctrlProp" Target="../ctrlProps/ctrlProp99.xml"/><Relationship Id="rId67" Type="http://schemas.openxmlformats.org/officeDocument/2006/relationships/ctrlProp" Target="../ctrlProps/ctrlProp107.xml"/><Relationship Id="rId20" Type="http://schemas.openxmlformats.org/officeDocument/2006/relationships/ctrlProp" Target="../ctrlProps/ctrlProp60.xml"/><Relationship Id="rId41" Type="http://schemas.openxmlformats.org/officeDocument/2006/relationships/ctrlProp" Target="../ctrlProps/ctrlProp81.xml"/><Relationship Id="rId54" Type="http://schemas.openxmlformats.org/officeDocument/2006/relationships/ctrlProp" Target="../ctrlProps/ctrlProp94.xml"/><Relationship Id="rId62" Type="http://schemas.openxmlformats.org/officeDocument/2006/relationships/ctrlProp" Target="../ctrlProps/ctrlProp102.xml"/><Relationship Id="rId70" Type="http://schemas.openxmlformats.org/officeDocument/2006/relationships/ctrlProp" Target="../ctrlProps/ctrlProp110.xml"/><Relationship Id="rId75" Type="http://schemas.openxmlformats.org/officeDocument/2006/relationships/ctrlProp" Target="../ctrlProps/ctrlProp115.xml"/><Relationship Id="rId1" Type="http://schemas.openxmlformats.org/officeDocument/2006/relationships/hyperlink" Target="http://www.mcmillanrunning.com/mcmillanrunningcalculator.htm" TargetMode="External"/><Relationship Id="rId6" Type="http://schemas.openxmlformats.org/officeDocument/2006/relationships/hyperlink" Target="http://arrs.run/" TargetMode="External"/><Relationship Id="rId15" Type="http://schemas.openxmlformats.org/officeDocument/2006/relationships/hyperlink" Target="https://www.trainingpeaks.com/blog/the-best-way-to-monitor-your-run-training-daily/?fbclid=IwAR0TL-8gbK0wwr0jCrnu1nvYaLSl3pgvMa8U7MyAjopvVYYeK7MI4x0lZ04" TargetMode="External"/><Relationship Id="rId23" Type="http://schemas.openxmlformats.org/officeDocument/2006/relationships/ctrlProp" Target="../ctrlProps/ctrlProp63.xml"/><Relationship Id="rId28" Type="http://schemas.openxmlformats.org/officeDocument/2006/relationships/ctrlProp" Target="../ctrlProps/ctrlProp68.xml"/><Relationship Id="rId36" Type="http://schemas.openxmlformats.org/officeDocument/2006/relationships/ctrlProp" Target="../ctrlProps/ctrlProp76.xml"/><Relationship Id="rId49" Type="http://schemas.openxmlformats.org/officeDocument/2006/relationships/ctrlProp" Target="../ctrlProps/ctrlProp89.xml"/><Relationship Id="rId57" Type="http://schemas.openxmlformats.org/officeDocument/2006/relationships/ctrlProp" Target="../ctrlProps/ctrlProp97.xml"/><Relationship Id="rId10" Type="http://schemas.openxmlformats.org/officeDocument/2006/relationships/hyperlink" Target="http://maximumperformancerunning.blogspot.com/2013/07/temperature-dew-point.html" TargetMode="External"/><Relationship Id="rId31" Type="http://schemas.openxmlformats.org/officeDocument/2006/relationships/ctrlProp" Target="../ctrlProps/ctrlProp71.xml"/><Relationship Id="rId44" Type="http://schemas.openxmlformats.org/officeDocument/2006/relationships/ctrlProp" Target="../ctrlProps/ctrlProp84.xml"/><Relationship Id="rId52" Type="http://schemas.openxmlformats.org/officeDocument/2006/relationships/ctrlProp" Target="../ctrlProps/ctrlProp92.xml"/><Relationship Id="rId60" Type="http://schemas.openxmlformats.org/officeDocument/2006/relationships/ctrlProp" Target="../ctrlProps/ctrlProp100.xml"/><Relationship Id="rId65" Type="http://schemas.openxmlformats.org/officeDocument/2006/relationships/ctrlProp" Target="../ctrlProps/ctrlProp105.xml"/><Relationship Id="rId73" Type="http://schemas.openxmlformats.org/officeDocument/2006/relationships/ctrlProp" Target="../ctrlProps/ctrlProp113.xml"/><Relationship Id="rId4" Type="http://schemas.openxmlformats.org/officeDocument/2006/relationships/hyperlink" Target="http://www.iaaf.org/statistics/records/index.html" TargetMode="External"/><Relationship Id="rId9" Type="http://schemas.openxmlformats.org/officeDocument/2006/relationships/hyperlink" Target="http://www.mcmillanrunning.com/" TargetMode="External"/><Relationship Id="rId13" Type="http://schemas.openxmlformats.org/officeDocument/2006/relationships/hyperlink" Target="https://journals.plos.org/plosone/article?id=10.1371/journal.pone.0037407" TargetMode="External"/><Relationship Id="rId18" Type="http://schemas.openxmlformats.org/officeDocument/2006/relationships/vmlDrawing" Target="../drawings/vmlDrawing2.vml"/><Relationship Id="rId39" Type="http://schemas.openxmlformats.org/officeDocument/2006/relationships/ctrlProp" Target="../ctrlProps/ctrlProp79.xml"/><Relationship Id="rId34" Type="http://schemas.openxmlformats.org/officeDocument/2006/relationships/ctrlProp" Target="../ctrlProps/ctrlProp74.xml"/><Relationship Id="rId50" Type="http://schemas.openxmlformats.org/officeDocument/2006/relationships/ctrlProp" Target="../ctrlProps/ctrlProp90.xml"/><Relationship Id="rId55" Type="http://schemas.openxmlformats.org/officeDocument/2006/relationships/ctrlProp" Target="../ctrlProps/ctrlProp95.xml"/><Relationship Id="rId76" Type="http://schemas.openxmlformats.org/officeDocument/2006/relationships/ctrlProp" Target="../ctrlProps/ctrlProp116.xml"/><Relationship Id="rId7" Type="http://schemas.openxmlformats.org/officeDocument/2006/relationships/hyperlink" Target="http://www.runsmartproject.com/" TargetMode="External"/><Relationship Id="rId71" Type="http://schemas.openxmlformats.org/officeDocument/2006/relationships/ctrlProp" Target="../ctrlProps/ctrlProp111.xml"/><Relationship Id="rId2" Type="http://schemas.openxmlformats.org/officeDocument/2006/relationships/hyperlink" Target="http://www.joefrielsblog.com/" TargetMode="External"/><Relationship Id="rId29" Type="http://schemas.openxmlformats.org/officeDocument/2006/relationships/ctrlProp" Target="../ctrlProps/ctrlProp69.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B8089C-5531-424D-93C6-DA7E89BE60C6}">
  <sheetPr>
    <outlinePr summaryBelow="0" summaryRight="0"/>
    <pageSetUpPr fitToPage="1"/>
  </sheetPr>
  <dimension ref="A1:AI999"/>
  <sheetViews>
    <sheetView tabSelected="1" zoomScaleNormal="100" workbookViewId="0">
      <pane ySplit="7" topLeftCell="A119" activePane="bottomLeft" state="frozen"/>
      <selection pane="bottomLeft" activeCell="I138" sqref="I138"/>
    </sheetView>
  </sheetViews>
  <sheetFormatPr defaultColWidth="12.5703125" defaultRowHeight="15.75" customHeight="1" x14ac:dyDescent="0.2"/>
  <cols>
    <col min="1" max="1" width="12.28515625" customWidth="1"/>
    <col min="2" max="2" width="9" bestFit="1" customWidth="1"/>
    <col min="3" max="3" width="7.85546875" customWidth="1"/>
    <col min="4" max="4" width="5.5703125" customWidth="1"/>
    <col min="5" max="5" width="68.5703125" bestFit="1" customWidth="1"/>
    <col min="6" max="6" width="11.7109375" style="4" customWidth="1"/>
    <col min="7" max="7" width="6.140625" customWidth="1"/>
    <col min="8" max="8" width="10.5703125" customWidth="1"/>
    <col min="9" max="9" width="7" customWidth="1"/>
    <col min="10" max="10" width="13.140625" customWidth="1"/>
    <col min="11" max="11" width="10.5703125" customWidth="1"/>
    <col min="12" max="12" width="7.140625" customWidth="1"/>
    <col min="13" max="13" width="10.42578125" customWidth="1"/>
    <col min="14" max="14" width="14.28515625" customWidth="1"/>
    <col min="15" max="15" width="29.5703125" customWidth="1"/>
    <col min="16" max="16" width="15.140625" customWidth="1"/>
    <col min="32" max="32" width="21.28515625" customWidth="1"/>
  </cols>
  <sheetData>
    <row r="1" spans="1:35" ht="15.75" customHeight="1" x14ac:dyDescent="0.2">
      <c r="A1" s="1" t="s">
        <v>0</v>
      </c>
      <c r="B1" s="2">
        <v>0.10989583333333335</v>
      </c>
      <c r="C1" s="917" t="s">
        <v>1</v>
      </c>
      <c r="D1" s="906"/>
      <c r="E1" s="907"/>
      <c r="F1" s="3" t="s">
        <v>382</v>
      </c>
      <c r="G1" s="904" t="s">
        <v>460</v>
      </c>
      <c r="H1" s="904"/>
      <c r="I1" s="23" t="s">
        <v>2</v>
      </c>
      <c r="J1" s="904" t="s">
        <v>462</v>
      </c>
      <c r="K1" s="904"/>
      <c r="L1" s="905"/>
      <c r="M1" s="906"/>
      <c r="N1" s="907"/>
      <c r="O1" s="16"/>
      <c r="P1" s="6"/>
      <c r="Q1" s="4" t="s">
        <v>3</v>
      </c>
      <c r="R1" s="4">
        <f>FLOOR((HOUR(B1)*3600+MINUTE(B1)*60+SECOND(B1))/26.2,1)+ROUND((((HOUR(B1)*3600+MINUTE(B1)*60+SECOND(B1))/26.2)-(FLOOR((HOUR(B1)*3600+MINUTE(B1)*60+SECOND(B1))/26.2,1))),0)</f>
        <v>362</v>
      </c>
      <c r="S1" s="4"/>
      <c r="T1" s="4"/>
      <c r="U1" s="4"/>
      <c r="V1" s="4"/>
      <c r="W1" s="4"/>
      <c r="X1" s="4"/>
      <c r="Y1" s="4"/>
      <c r="Z1" s="4"/>
      <c r="AA1" s="4"/>
      <c r="AB1" s="4"/>
      <c r="AC1" s="4"/>
    </row>
    <row r="2" spans="1:35" ht="15.75" customHeight="1" x14ac:dyDescent="0.2">
      <c r="A2" s="5" t="s">
        <v>4</v>
      </c>
      <c r="B2" s="6" t="str">
        <f>CONCATENATE(FLOOR((HOUR(B1)*60+MINUTE(B1)+SECOND(B1)/60)/26.2,1),":",ROUND((((HOUR(B1)*60+MINUTE(B1)+SECOND(B1)/60)/26.2)-(FLOOR((HOUR(B1)*60+MINUTE(B1)+SECOND(B1)/60)/26.2,1)))*60,0))</f>
        <v>6:2</v>
      </c>
      <c r="C2" s="912" t="s">
        <v>5</v>
      </c>
      <c r="D2" s="908"/>
      <c r="E2" s="909"/>
      <c r="F2" s="7" t="s">
        <v>33</v>
      </c>
      <c r="G2" s="904" t="s">
        <v>457</v>
      </c>
      <c r="H2" s="904"/>
      <c r="I2" s="6"/>
      <c r="J2" s="4"/>
      <c r="L2" s="908"/>
      <c r="M2" s="908"/>
      <c r="N2" s="909"/>
      <c r="O2" s="16"/>
      <c r="P2" s="8"/>
      <c r="Q2" s="9"/>
      <c r="R2" s="4"/>
      <c r="S2" s="4"/>
      <c r="T2" s="4"/>
      <c r="U2" s="4"/>
      <c r="V2" s="4"/>
      <c r="W2" s="4"/>
      <c r="X2" s="4"/>
      <c r="Y2" s="4"/>
      <c r="Z2" s="4"/>
      <c r="AA2" s="4"/>
      <c r="AB2" s="4"/>
      <c r="AC2" s="4"/>
    </row>
    <row r="3" spans="1:35" ht="15.75" customHeight="1" x14ac:dyDescent="0.2">
      <c r="A3" s="10" t="s">
        <v>6</v>
      </c>
      <c r="B3" s="11">
        <v>45942</v>
      </c>
      <c r="C3" s="913" t="s">
        <v>7</v>
      </c>
      <c r="D3" s="910"/>
      <c r="E3" s="911"/>
      <c r="F3" s="7" t="s">
        <v>34</v>
      </c>
      <c r="G3" s="904" t="s">
        <v>458</v>
      </c>
      <c r="H3" s="904"/>
      <c r="I3" s="6"/>
      <c r="J3" s="4" t="s">
        <v>123</v>
      </c>
      <c r="K3" s="781">
        <f>'Daniel''s Tables'!$I$6</f>
        <v>63.579351807379361</v>
      </c>
      <c r="L3" s="908"/>
      <c r="M3" s="908"/>
      <c r="N3" s="909"/>
      <c r="O3" s="16"/>
      <c r="P3" s="6"/>
      <c r="Q3" s="4"/>
      <c r="R3" s="4"/>
      <c r="S3" s="4"/>
      <c r="T3" s="4"/>
      <c r="U3" s="4"/>
      <c r="V3" s="4"/>
      <c r="W3" s="4"/>
      <c r="X3" s="4"/>
      <c r="Y3" s="4"/>
      <c r="Z3" s="4"/>
      <c r="AA3" s="4"/>
      <c r="AB3" s="4"/>
      <c r="AC3" s="4"/>
    </row>
    <row r="4" spans="1:35" ht="15.75" customHeight="1" x14ac:dyDescent="0.2">
      <c r="A4" s="16"/>
      <c r="B4" s="6"/>
      <c r="C4" s="6"/>
      <c r="D4" s="6"/>
      <c r="E4" s="4"/>
      <c r="F4" s="12" t="s">
        <v>383</v>
      </c>
      <c r="G4" s="914" t="s">
        <v>461</v>
      </c>
      <c r="H4" s="914"/>
      <c r="I4" s="13"/>
      <c r="J4" s="850"/>
      <c r="K4" s="851"/>
      <c r="L4" s="910"/>
      <c r="M4" s="910"/>
      <c r="N4" s="911"/>
      <c r="O4" s="16"/>
      <c r="P4" s="6"/>
      <c r="Q4" s="4"/>
      <c r="R4" s="4"/>
      <c r="S4" s="4"/>
      <c r="T4" s="4"/>
      <c r="U4" s="4"/>
      <c r="V4" s="4"/>
      <c r="W4" s="4"/>
      <c r="X4" s="4"/>
      <c r="Y4" s="4"/>
      <c r="Z4" s="4"/>
      <c r="AA4" s="4"/>
      <c r="AB4" s="4"/>
      <c r="AC4" s="4"/>
    </row>
    <row r="5" spans="1:35" ht="15.75" customHeight="1" x14ac:dyDescent="0.2">
      <c r="A5" s="16"/>
      <c r="B5" s="6"/>
      <c r="C5" s="6"/>
      <c r="D5" s="6"/>
      <c r="E5" s="4"/>
      <c r="F5" s="6"/>
      <c r="G5" s="6"/>
      <c r="H5" s="6"/>
      <c r="I5" s="6"/>
      <c r="J5" s="6"/>
      <c r="K5" s="6"/>
      <c r="L5" s="6" t="s">
        <v>8</v>
      </c>
      <c r="M5" s="6"/>
      <c r="N5" s="6"/>
      <c r="O5" s="16"/>
      <c r="P5" s="6"/>
      <c r="Q5" s="4"/>
      <c r="R5" s="4"/>
      <c r="S5" s="26"/>
      <c r="T5" s="4"/>
      <c r="U5" s="4"/>
      <c r="V5" s="4"/>
      <c r="W5" s="4"/>
      <c r="X5" s="4"/>
      <c r="Y5" s="4"/>
      <c r="Z5" s="872"/>
      <c r="AA5" s="4"/>
      <c r="AB5" s="4"/>
      <c r="AC5" s="4"/>
    </row>
    <row r="6" spans="1:35" ht="15.75" customHeight="1" x14ac:dyDescent="0.2">
      <c r="A6" s="16"/>
      <c r="B6" s="6"/>
      <c r="C6" s="6"/>
      <c r="D6" s="6"/>
      <c r="E6" s="918" t="s">
        <v>9</v>
      </c>
      <c r="F6" s="908"/>
      <c r="G6" s="908"/>
      <c r="H6" s="908"/>
      <c r="I6" s="908"/>
      <c r="J6" s="908"/>
      <c r="K6" s="908"/>
      <c r="L6" s="908"/>
      <c r="M6" s="908"/>
      <c r="N6" s="6"/>
      <c r="O6" s="16"/>
      <c r="P6" s="6"/>
      <c r="Q6" s="4"/>
      <c r="R6" s="4"/>
      <c r="S6" s="4"/>
      <c r="T6" s="4"/>
      <c r="U6" s="4"/>
      <c r="V6" s="4"/>
      <c r="W6" s="4"/>
      <c r="X6" s="4"/>
      <c r="Y6" s="4"/>
      <c r="Z6" s="904" t="s">
        <v>488</v>
      </c>
      <c r="AA6" s="904"/>
      <c r="AB6" s="904"/>
      <c r="AC6" s="904"/>
      <c r="AD6" s="904"/>
      <c r="AE6" s="904"/>
    </row>
    <row r="7" spans="1:35" ht="46.5" customHeight="1" x14ac:dyDescent="0.2">
      <c r="A7" s="14" t="s">
        <v>10</v>
      </c>
      <c r="B7" s="14" t="s">
        <v>11</v>
      </c>
      <c r="C7" s="14" t="s">
        <v>12</v>
      </c>
      <c r="D7" s="14" t="s">
        <v>13</v>
      </c>
      <c r="E7" s="14" t="s">
        <v>14</v>
      </c>
      <c r="F7" s="14" t="s">
        <v>357</v>
      </c>
      <c r="G7" s="14" t="s">
        <v>15</v>
      </c>
      <c r="H7" s="14" t="s">
        <v>16</v>
      </c>
      <c r="I7" s="14" t="s">
        <v>17</v>
      </c>
      <c r="J7" s="14" t="s">
        <v>18</v>
      </c>
      <c r="K7" s="14" t="s">
        <v>19</v>
      </c>
      <c r="L7" s="14" t="s">
        <v>20</v>
      </c>
      <c r="M7" s="14" t="s">
        <v>21</v>
      </c>
      <c r="N7" s="14" t="s">
        <v>22</v>
      </c>
      <c r="O7" s="15" t="s">
        <v>23</v>
      </c>
      <c r="P7" s="14" t="s">
        <v>24</v>
      </c>
      <c r="Q7" s="15" t="s">
        <v>25</v>
      </c>
      <c r="R7" s="16"/>
      <c r="S7" s="16" t="s">
        <v>467</v>
      </c>
      <c r="T7" s="16" t="s">
        <v>472</v>
      </c>
      <c r="U7" s="16" t="s">
        <v>471</v>
      </c>
      <c r="V7" s="16" t="s">
        <v>468</v>
      </c>
      <c r="W7" s="16" t="s">
        <v>469</v>
      </c>
      <c r="X7" s="16" t="s">
        <v>470</v>
      </c>
      <c r="Y7" s="16"/>
      <c r="Z7" s="16" t="s">
        <v>489</v>
      </c>
      <c r="AA7" s="16" t="s">
        <v>103</v>
      </c>
      <c r="AB7" s="16" t="s">
        <v>104</v>
      </c>
      <c r="AC7" s="4" t="s">
        <v>490</v>
      </c>
      <c r="AD7" s="825" t="s">
        <v>491</v>
      </c>
      <c r="AE7" s="4" t="s">
        <v>492</v>
      </c>
    </row>
    <row r="8" spans="1:35" ht="15.75" customHeight="1" x14ac:dyDescent="0.2">
      <c r="A8" s="853"/>
      <c r="B8" s="6">
        <v>127</v>
      </c>
      <c r="C8" s="17">
        <f t="shared" ref="C8:C135" si="0">$B$3-B8</f>
        <v>45815</v>
      </c>
      <c r="D8" s="6" t="s">
        <v>30</v>
      </c>
      <c r="E8" s="4" t="s">
        <v>454</v>
      </c>
      <c r="F8" s="6"/>
      <c r="G8" s="6">
        <v>12.43</v>
      </c>
      <c r="H8" s="29">
        <v>5.6770833333333333E-2</v>
      </c>
      <c r="I8" s="6" t="str">
        <f t="shared" ref="I8:I51" si="1">CONCATENATE(FLOOR((HOUR(H8)*60+MINUTE(H8)+SECOND(H8)/60)/IF(ISBLANK(G8),1,G8),1),":",TEXT(ROUND((((HOUR(H8)*60+MINUTE(H8)+SECOND(H8)/60)/IF(ISBLANK(G8),1,G8))-(FLOOR((HOUR(H8)*60+MINUTE(H8)+SECOND(H8)/60)/IF(ISBLANK(G8),1,G8),1)))*60,0),"00"))</f>
        <v>6:35</v>
      </c>
      <c r="J8" s="6"/>
      <c r="K8" s="6"/>
      <c r="L8" s="6" t="str">
        <f t="shared" ref="L8:L135" si="2">CONCATENATE(FLOOR((HOUR(J8)*60+MINUTE(J8)+SECOND(J8)/60)/IF(ISBLANK(K8),1,K8),1),":",TEXT(ROUND((((HOUR(J8)*60+MINUTE(J8)+SECOND(J8)/60)/IF(ISBLANK(K8),1,K8))-(FLOOR((HOUR(J8)*60+MINUTE(J8)+SECOND(J8)/60)/IF(ISBLANK(K8),1,K8),1)))*60,0),"00"))</f>
        <v>0:00</v>
      </c>
      <c r="M8" s="4"/>
      <c r="N8" s="4"/>
      <c r="O8" s="16" t="s">
        <v>466</v>
      </c>
      <c r="P8" s="861"/>
      <c r="Q8" s="862"/>
      <c r="R8" s="872"/>
      <c r="S8" s="825"/>
      <c r="T8" s="16">
        <f>SUM(G8:G8)</f>
        <v>12.43</v>
      </c>
      <c r="U8" s="16"/>
      <c r="V8" s="4">
        <v>70</v>
      </c>
      <c r="W8" s="4"/>
      <c r="Y8" s="4"/>
      <c r="Z8" s="869">
        <f>((0.182258*(1/((H8/G8)*1440)*1609.344)+(0.000104*(1/((H8/G8)*1440)*1609.344)^2)-4.6)/$K$3)</f>
        <v>0.72705410019801997</v>
      </c>
      <c r="AA8" s="4">
        <f>IF(H8*G8,LOOKUP(Z8,'Daniel''s Tables'!$Z$135:$Z$214,'Daniel''s Tables'!$AB$135:$AB$214),0)</f>
        <v>0.3085</v>
      </c>
      <c r="AB8" s="869">
        <f>H8*1440*AA8</f>
        <v>25.219874999999998</v>
      </c>
      <c r="AC8" s="4"/>
      <c r="AD8" s="870"/>
      <c r="AF8" s="781"/>
      <c r="AG8" s="870"/>
      <c r="AH8" s="870"/>
      <c r="AI8" s="781"/>
    </row>
    <row r="9" spans="1:35" ht="15.75" customHeight="1" x14ac:dyDescent="0.2">
      <c r="A9" s="915" t="s">
        <v>32</v>
      </c>
      <c r="B9" s="854">
        <v>126</v>
      </c>
      <c r="C9" s="855">
        <f t="shared" si="0"/>
        <v>45816</v>
      </c>
      <c r="D9" s="854" t="s">
        <v>31</v>
      </c>
      <c r="E9" s="856" t="s">
        <v>381</v>
      </c>
      <c r="F9" s="854">
        <v>6</v>
      </c>
      <c r="G9" s="854">
        <v>3.12</v>
      </c>
      <c r="H9" s="857">
        <v>1.7083333333333336E-2</v>
      </c>
      <c r="I9" s="854" t="str">
        <f t="shared" si="1"/>
        <v>7:53</v>
      </c>
      <c r="J9" s="854"/>
      <c r="K9" s="854"/>
      <c r="L9" s="854" t="str">
        <f t="shared" si="2"/>
        <v>0:00</v>
      </c>
      <c r="M9" s="856"/>
      <c r="N9" s="856"/>
      <c r="O9" s="858"/>
      <c r="P9" s="863"/>
      <c r="Q9" s="862"/>
      <c r="R9" s="4"/>
      <c r="S9" s="825"/>
      <c r="T9" s="16">
        <f>SUM(G8:G9)</f>
        <v>15.55</v>
      </c>
      <c r="U9" s="16"/>
      <c r="V9" s="4">
        <v>70</v>
      </c>
      <c r="W9" s="4"/>
      <c r="Y9" s="4"/>
      <c r="Z9" s="869">
        <f>((0.182258*(1/((H9/G9)*1440)*1609.344)+(0.000104*(1/((H9/G9)*1440)*1609.344)^2)-4.6)/$K$3)</f>
        <v>0.58090943043699272</v>
      </c>
      <c r="AA9" s="4">
        <f>IF(H9*G9,LOOKUP(Z9,'Daniel''s Tables'!$Z$135:$Z$214,'Daniel''s Tables'!$AB$135:$AB$214),0)</f>
        <v>0.1</v>
      </c>
      <c r="AB9" s="869">
        <f>H9*1440*AA9</f>
        <v>2.4600000000000009</v>
      </c>
      <c r="AC9" s="4"/>
    </row>
    <row r="10" spans="1:35" ht="15.75" customHeight="1" x14ac:dyDescent="0.2">
      <c r="A10" s="915"/>
      <c r="B10" s="854">
        <v>125</v>
      </c>
      <c r="C10" s="855">
        <f t="shared" si="0"/>
        <v>45817</v>
      </c>
      <c r="D10" s="854" t="s">
        <v>33</v>
      </c>
      <c r="E10" s="856" t="s">
        <v>384</v>
      </c>
      <c r="F10" s="854">
        <v>7</v>
      </c>
      <c r="G10" s="854">
        <v>6.03</v>
      </c>
      <c r="H10" s="857">
        <v>3.1932870370370368E-2</v>
      </c>
      <c r="I10" s="854" t="str">
        <f t="shared" si="1"/>
        <v>7:38</v>
      </c>
      <c r="J10" s="854"/>
      <c r="K10" s="854"/>
      <c r="L10" s="854" t="str">
        <f t="shared" si="2"/>
        <v>0:00</v>
      </c>
      <c r="M10" s="854"/>
      <c r="N10" s="854"/>
      <c r="O10" s="858"/>
      <c r="P10" s="863"/>
      <c r="Q10" s="864"/>
      <c r="R10" s="4"/>
      <c r="S10" s="825"/>
      <c r="T10" s="16">
        <f>SUM(G8:G10)</f>
        <v>21.580000000000002</v>
      </c>
      <c r="U10" s="16"/>
      <c r="V10" s="4">
        <v>70</v>
      </c>
      <c r="W10" s="4"/>
      <c r="Y10" s="4"/>
      <c r="Z10" s="869">
        <f t="shared" ref="Z10:Z15" si="3">((0.182258*(1/((H10/G10)*1440)*1609.344)+(0.000104*(1/((H10/G10)*1440)*1609.344)^2)-4.6)/$K$3)</f>
        <v>0.60547604539986088</v>
      </c>
      <c r="AA10" s="4">
        <f>IF(H10*G10,LOOKUP(Z10,'Daniel''s Tables'!$Z$135:$Z$214,'Daniel''s Tables'!$AB$135:$AB$214),0)</f>
        <v>0.11599999999999999</v>
      </c>
      <c r="AB10" s="869">
        <f t="shared" ref="AB10:AB15" si="4">H10*1440*AA10</f>
        <v>5.3340666666666658</v>
      </c>
      <c r="AC10" s="4"/>
    </row>
    <row r="11" spans="1:35" ht="15.75" customHeight="1" x14ac:dyDescent="0.2">
      <c r="A11" s="915"/>
      <c r="B11" s="854">
        <v>124</v>
      </c>
      <c r="C11" s="855">
        <f t="shared" si="0"/>
        <v>45818</v>
      </c>
      <c r="D11" s="854" t="s">
        <v>34</v>
      </c>
      <c r="E11" s="856" t="s">
        <v>473</v>
      </c>
      <c r="F11" s="854">
        <v>15</v>
      </c>
      <c r="G11" s="854">
        <v>12.84</v>
      </c>
      <c r="H11" s="857">
        <v>6.0104166666666667E-2</v>
      </c>
      <c r="I11" s="854" t="str">
        <f t="shared" si="1"/>
        <v>6:44</v>
      </c>
      <c r="J11" s="857">
        <v>1.8206018518518517E-2</v>
      </c>
      <c r="K11" s="854">
        <f>8*(1000/1600)</f>
        <v>5</v>
      </c>
      <c r="L11" s="854" t="str">
        <f t="shared" si="2"/>
        <v>5:15</v>
      </c>
      <c r="M11" s="854"/>
      <c r="N11" s="854"/>
      <c r="O11" s="858"/>
      <c r="P11" s="863"/>
      <c r="Q11" s="864"/>
      <c r="R11" s="4"/>
      <c r="S11" s="825"/>
      <c r="T11" s="16">
        <f>SUM(G8:G11)</f>
        <v>34.42</v>
      </c>
      <c r="U11" s="16"/>
      <c r="V11" s="4">
        <v>70</v>
      </c>
      <c r="W11" s="4"/>
      <c r="Y11" s="4"/>
      <c r="Z11" s="869">
        <f t="shared" si="3"/>
        <v>0.70530289174109806</v>
      </c>
      <c r="AA11" s="4">
        <f>IF(H11*G11,LOOKUP(Z11,'Daniel''s Tables'!$Z$135:$Z$214,'Daniel''s Tables'!$AB$135:$AB$214),0)</f>
        <v>0.26649999999999996</v>
      </c>
      <c r="AB11" s="869">
        <f t="shared" si="4"/>
        <v>23.065574999999995</v>
      </c>
      <c r="AC11" s="4"/>
    </row>
    <row r="12" spans="1:35" ht="15.75" customHeight="1" x14ac:dyDescent="0.2">
      <c r="A12" s="915"/>
      <c r="B12" s="854">
        <v>123</v>
      </c>
      <c r="C12" s="855">
        <f t="shared" si="0"/>
        <v>45819</v>
      </c>
      <c r="D12" s="854" t="s">
        <v>26</v>
      </c>
      <c r="E12" s="856" t="s">
        <v>384</v>
      </c>
      <c r="F12" s="854">
        <v>7</v>
      </c>
      <c r="G12" s="854">
        <v>8.6999999999999993</v>
      </c>
      <c r="H12" s="857">
        <v>5.4074074074074073E-2</v>
      </c>
      <c r="I12" s="854" t="str">
        <f t="shared" si="1"/>
        <v>8:57</v>
      </c>
      <c r="J12" s="854"/>
      <c r="K12" s="854"/>
      <c r="L12" s="854" t="str">
        <f t="shared" si="2"/>
        <v>0:00</v>
      </c>
      <c r="M12" s="854"/>
      <c r="N12" s="854"/>
      <c r="O12" s="858"/>
      <c r="P12" s="861"/>
      <c r="Q12" s="865"/>
      <c r="R12" s="4"/>
      <c r="S12" s="825"/>
      <c r="T12" s="16">
        <f>SUM(G8:G12)</f>
        <v>43.120000000000005</v>
      </c>
      <c r="U12" s="16"/>
      <c r="V12" s="4">
        <v>70</v>
      </c>
      <c r="W12" s="4"/>
      <c r="Y12" s="4"/>
      <c r="Z12" s="869">
        <f t="shared" si="3"/>
        <v>0.49598725022757512</v>
      </c>
      <c r="AA12" s="4" t="e">
        <f>IF(H12*G12,LOOKUP(Z12,'Daniel''s Tables'!$Z$135:$Z$214,'Daniel''s Tables'!$AB$135:$AB$214),0)</f>
        <v>#N/A</v>
      </c>
      <c r="AB12" s="869" t="e">
        <f t="shared" si="4"/>
        <v>#N/A</v>
      </c>
      <c r="AC12" s="4"/>
    </row>
    <row r="13" spans="1:35" ht="15.75" customHeight="1" x14ac:dyDescent="0.2">
      <c r="A13" s="915"/>
      <c r="B13" s="854">
        <v>122</v>
      </c>
      <c r="C13" s="855">
        <f t="shared" si="0"/>
        <v>45820</v>
      </c>
      <c r="D13" s="854" t="s">
        <v>27</v>
      </c>
      <c r="E13" s="856" t="s">
        <v>379</v>
      </c>
      <c r="F13" s="854">
        <v>6</v>
      </c>
      <c r="G13" s="854">
        <v>6.05</v>
      </c>
      <c r="H13" s="857">
        <v>3.1192129629629629E-2</v>
      </c>
      <c r="I13" s="854" t="str">
        <f t="shared" si="1"/>
        <v>7:25</v>
      </c>
      <c r="J13" s="854"/>
      <c r="K13" s="854"/>
      <c r="L13" s="854" t="str">
        <f t="shared" si="2"/>
        <v>0:00</v>
      </c>
      <c r="M13" s="854"/>
      <c r="N13" s="859"/>
      <c r="O13" s="858"/>
      <c r="P13" s="861">
        <f>N14</f>
        <v>0.36335648148148147</v>
      </c>
      <c r="Q13" s="865"/>
      <c r="R13" s="4"/>
      <c r="T13" s="16">
        <f>SUM(G8:G13)</f>
        <v>49.17</v>
      </c>
      <c r="U13" s="16"/>
      <c r="V13" s="4">
        <v>70</v>
      </c>
      <c r="W13" s="4"/>
      <c r="Y13" s="4"/>
      <c r="Z13" s="869">
        <f t="shared" si="3"/>
        <v>0.62590556876311287</v>
      </c>
      <c r="AA13" s="4">
        <f>IF(H13*G13,LOOKUP(Z13,'Daniel''s Tables'!$Z$135:$Z$214,'Daniel''s Tables'!$AB$135:$AB$214),0)</f>
        <v>0.14250000000000002</v>
      </c>
      <c r="AB13" s="869">
        <f t="shared" si="4"/>
        <v>6.4006250000000007</v>
      </c>
      <c r="AC13" s="4"/>
    </row>
    <row r="14" spans="1:35" ht="15.75" customHeight="1" x14ac:dyDescent="0.2">
      <c r="A14" s="915"/>
      <c r="B14" s="854">
        <v>121</v>
      </c>
      <c r="C14" s="855">
        <f t="shared" si="0"/>
        <v>45821</v>
      </c>
      <c r="D14" s="854" t="s">
        <v>28</v>
      </c>
      <c r="E14" s="856" t="s">
        <v>381</v>
      </c>
      <c r="F14" s="854">
        <v>6</v>
      </c>
      <c r="G14" s="854">
        <v>6.01</v>
      </c>
      <c r="H14" s="857">
        <v>3.1608796296296295E-2</v>
      </c>
      <c r="I14" s="854" t="str">
        <f t="shared" si="1"/>
        <v>7:34</v>
      </c>
      <c r="J14" s="854"/>
      <c r="K14" s="854"/>
      <c r="L14" s="854" t="str">
        <f t="shared" si="2"/>
        <v>0:00</v>
      </c>
      <c r="M14" s="854"/>
      <c r="N14" s="859">
        <f>SUM(H8:H15)</f>
        <v>0.36335648148148147</v>
      </c>
      <c r="O14" s="858"/>
      <c r="P14" s="863">
        <f>N15</f>
        <v>58.79</v>
      </c>
      <c r="Q14" s="866"/>
      <c r="R14" s="4"/>
      <c r="T14" s="16">
        <f t="shared" ref="T14:T77" si="5">SUM(G8:G14)</f>
        <v>55.18</v>
      </c>
      <c r="U14" s="868">
        <f>SUM(T8:T14)/7</f>
        <v>33.064285714285717</v>
      </c>
      <c r="V14" s="4">
        <v>70</v>
      </c>
      <c r="W14" s="4"/>
      <c r="Y14" s="4"/>
      <c r="Z14" s="869">
        <f t="shared" si="3"/>
        <v>0.6106606324606122</v>
      </c>
      <c r="AA14" s="4">
        <f>IF(H14*G14,LOOKUP(Z14,'Daniel''s Tables'!$Z$135:$Z$214,'Daniel''s Tables'!$AB$135:$AB$214),0)</f>
        <v>0.122</v>
      </c>
      <c r="AB14" s="869">
        <f t="shared" si="4"/>
        <v>5.5530333333333335</v>
      </c>
      <c r="AC14" s="871" t="e">
        <f>SUM(AB8:AB14)</f>
        <v>#N/A</v>
      </c>
      <c r="AD14" s="838" t="e">
        <f>SUM(AC8:AC14)/7</f>
        <v>#N/A</v>
      </c>
      <c r="AE14" s="871" t="e">
        <f>SUM(AB7:AB13)</f>
        <v>#N/A</v>
      </c>
    </row>
    <row r="15" spans="1:35" ht="15.75" customHeight="1" x14ac:dyDescent="0.2">
      <c r="A15" s="915"/>
      <c r="B15" s="854">
        <v>120</v>
      </c>
      <c r="C15" s="855">
        <f t="shared" si="0"/>
        <v>45822</v>
      </c>
      <c r="D15" s="854" t="s">
        <v>30</v>
      </c>
      <c r="E15" s="856" t="s">
        <v>455</v>
      </c>
      <c r="F15" s="854">
        <v>16</v>
      </c>
      <c r="G15" s="854">
        <v>16.04</v>
      </c>
      <c r="H15" s="857">
        <v>8.0590277777777775E-2</v>
      </c>
      <c r="I15" s="854" t="str">
        <f t="shared" si="1"/>
        <v>7:14</v>
      </c>
      <c r="J15" s="854"/>
      <c r="K15" s="854"/>
      <c r="L15" s="854" t="str">
        <f t="shared" si="2"/>
        <v>0:00</v>
      </c>
      <c r="M15" s="856">
        <f>SUM(F8:F15)</f>
        <v>63</v>
      </c>
      <c r="N15" s="854">
        <f>SUM(G9:G15)</f>
        <v>58.79</v>
      </c>
      <c r="O15" s="858"/>
      <c r="P15" s="863">
        <f>M15</f>
        <v>63</v>
      </c>
      <c r="Q15" s="862">
        <f>P14/P15</f>
        <v>0.93317460317460321</v>
      </c>
      <c r="R15" s="4"/>
      <c r="S15" s="4"/>
      <c r="T15" s="16">
        <f t="shared" si="5"/>
        <v>58.79</v>
      </c>
      <c r="U15" s="868">
        <f>SUM(T9:T15)/7</f>
        <v>39.687142857142867</v>
      </c>
      <c r="V15" s="4">
        <v>70</v>
      </c>
      <c r="W15" s="4">
        <f>SUM(F9:F15)</f>
        <v>63</v>
      </c>
      <c r="X15" s="868">
        <f>SUM(W9:W15)/7</f>
        <v>9</v>
      </c>
      <c r="Y15" s="4"/>
      <c r="Z15" s="869">
        <f t="shared" si="3"/>
        <v>0.64622840909790535</v>
      </c>
      <c r="AA15" s="4">
        <f>IF(H15*G15,LOOKUP(Z15,'Daniel''s Tables'!$Z$135:$Z$214,'Daniel''s Tables'!$AB$135:$AB$214),0)</f>
        <v>0.17499999999999999</v>
      </c>
      <c r="AB15" s="869">
        <f t="shared" si="4"/>
        <v>20.30875</v>
      </c>
      <c r="AC15" s="871" t="e">
        <f t="shared" ref="AC15:AC78" si="6">SUM(AB9:AB15)</f>
        <v>#N/A</v>
      </c>
      <c r="AD15" s="838" t="e">
        <f t="shared" ref="AD15:AD78" si="7">SUM(AC9:AC15)/7</f>
        <v>#N/A</v>
      </c>
      <c r="AE15" s="871" t="e">
        <f>SUM(AB9:AB15)</f>
        <v>#N/A</v>
      </c>
    </row>
    <row r="16" spans="1:35" ht="15.75" customHeight="1" x14ac:dyDescent="0.2">
      <c r="A16" s="916" t="s">
        <v>343</v>
      </c>
      <c r="B16" s="6">
        <v>119</v>
      </c>
      <c r="C16" s="17">
        <f t="shared" si="0"/>
        <v>45823</v>
      </c>
      <c r="D16" s="6" t="s">
        <v>31</v>
      </c>
      <c r="E16" s="4" t="s">
        <v>385</v>
      </c>
      <c r="F16" s="6">
        <v>8</v>
      </c>
      <c r="G16" s="6">
        <v>6.03</v>
      </c>
      <c r="H16" s="29">
        <v>3.2916666666666664E-2</v>
      </c>
      <c r="I16" s="6" t="str">
        <f t="shared" si="1"/>
        <v>7:52</v>
      </c>
      <c r="J16" s="29"/>
      <c r="K16" s="6"/>
      <c r="L16" s="6" t="str">
        <f t="shared" si="2"/>
        <v>0:00</v>
      </c>
      <c r="M16" s="4"/>
      <c r="N16" s="4"/>
      <c r="O16" s="16" t="s">
        <v>463</v>
      </c>
      <c r="P16" s="866"/>
      <c r="Q16" s="866"/>
      <c r="R16" s="4"/>
      <c r="S16" s="4"/>
      <c r="T16" s="16">
        <f t="shared" si="5"/>
        <v>61.699999999999996</v>
      </c>
      <c r="U16" s="868">
        <f t="shared" ref="U16:U79" si="8">SUM(T10:T16)/7</f>
        <v>46.280000000000008</v>
      </c>
      <c r="V16" s="4">
        <v>70</v>
      </c>
      <c r="W16" s="4">
        <f t="shared" ref="W16:W79" si="9">SUM(F10:F16)</f>
        <v>65</v>
      </c>
      <c r="X16" s="868">
        <f t="shared" ref="X16:X79" si="10">SUM(W10:W16)/7</f>
        <v>18.285714285714285</v>
      </c>
      <c r="Y16" s="4"/>
      <c r="Z16" s="869">
        <f t="shared" ref="Z16:Z79" si="11">((0.182258*(1/((H16/G16)*1440)*1609.344)+(0.000104*(1/((H16/G16)*1440)*1609.344)^2)-4.6)/$K$3)</f>
        <v>0.58310519317019027</v>
      </c>
      <c r="AA16" s="4">
        <f>IF(H16*G16,LOOKUP(Z16,'Daniel''s Tables'!$Z$135:$Z$214,'Daniel''s Tables'!$AB$135:$AB$214),0)</f>
        <v>0.1</v>
      </c>
      <c r="AB16" s="869">
        <f t="shared" ref="AB16:AB79" si="12">H16*1440*AA16</f>
        <v>4.74</v>
      </c>
      <c r="AC16" s="871" t="e">
        <f t="shared" si="6"/>
        <v>#N/A</v>
      </c>
      <c r="AD16" s="838" t="e">
        <f t="shared" si="7"/>
        <v>#N/A</v>
      </c>
      <c r="AE16" s="838"/>
    </row>
    <row r="17" spans="1:32" ht="15.75" customHeight="1" x14ac:dyDescent="0.2">
      <c r="A17" s="916"/>
      <c r="B17" s="6">
        <v>118</v>
      </c>
      <c r="C17" s="17">
        <f t="shared" si="0"/>
        <v>45824</v>
      </c>
      <c r="D17" s="6" t="s">
        <v>33</v>
      </c>
      <c r="E17" s="4" t="s">
        <v>381</v>
      </c>
      <c r="F17" s="6">
        <v>6</v>
      </c>
      <c r="G17" s="6">
        <v>7.25</v>
      </c>
      <c r="H17" s="29">
        <v>4.0497685185185185E-2</v>
      </c>
      <c r="I17" s="6" t="str">
        <f t="shared" si="1"/>
        <v>8:03</v>
      </c>
      <c r="J17" s="6"/>
      <c r="K17" s="6"/>
      <c r="L17" s="6" t="str">
        <f t="shared" si="2"/>
        <v>0:00</v>
      </c>
      <c r="M17" s="6"/>
      <c r="N17" s="6"/>
      <c r="O17" s="16"/>
      <c r="P17" s="866"/>
      <c r="Q17" s="866"/>
      <c r="R17" s="4"/>
      <c r="T17" s="16">
        <f t="shared" si="5"/>
        <v>62.92</v>
      </c>
      <c r="U17" s="868">
        <f t="shared" si="8"/>
        <v>52.18571428571429</v>
      </c>
      <c r="V17" s="4">
        <v>70</v>
      </c>
      <c r="W17" s="4">
        <f t="shared" si="9"/>
        <v>64</v>
      </c>
      <c r="X17" s="868">
        <f t="shared" si="10"/>
        <v>27.428571428571427</v>
      </c>
      <c r="Y17" s="4"/>
      <c r="Z17" s="869">
        <f t="shared" si="11"/>
        <v>0.56667032033752884</v>
      </c>
      <c r="AA17" s="4">
        <f>IF(H17*G17,LOOKUP(Z17,'Daniel''s Tables'!$Z$135:$Z$214,'Daniel''s Tables'!$AB$135:$AB$214),0)</f>
        <v>0.1</v>
      </c>
      <c r="AB17" s="869">
        <f t="shared" si="12"/>
        <v>5.831666666666667</v>
      </c>
      <c r="AC17" s="871" t="e">
        <f t="shared" si="6"/>
        <v>#N/A</v>
      </c>
      <c r="AD17" s="838" t="e">
        <f t="shared" si="7"/>
        <v>#N/A</v>
      </c>
      <c r="AE17" s="838"/>
    </row>
    <row r="18" spans="1:32" ht="15.75" customHeight="1" x14ac:dyDescent="0.2">
      <c r="A18" s="916"/>
      <c r="B18" s="6">
        <v>117</v>
      </c>
      <c r="C18" s="17">
        <f t="shared" si="0"/>
        <v>45825</v>
      </c>
      <c r="D18" s="6" t="s">
        <v>34</v>
      </c>
      <c r="E18" s="4" t="s">
        <v>444</v>
      </c>
      <c r="F18" s="6">
        <v>15</v>
      </c>
      <c r="G18" s="6">
        <v>11.03</v>
      </c>
      <c r="H18" s="29">
        <v>5.0902777777777776E-2</v>
      </c>
      <c r="I18" s="6" t="str">
        <f t="shared" si="1"/>
        <v>6:39</v>
      </c>
      <c r="J18" s="29">
        <v>1.9050925925925926E-2</v>
      </c>
      <c r="K18" s="6">
        <v>5.25</v>
      </c>
      <c r="L18" s="6" t="str">
        <f t="shared" si="2"/>
        <v>5:14</v>
      </c>
      <c r="M18" s="6"/>
      <c r="N18" s="6"/>
      <c r="O18" s="16" t="s">
        <v>464</v>
      </c>
      <c r="P18" s="863"/>
      <c r="Q18" s="864"/>
      <c r="R18" s="4"/>
      <c r="S18" s="4"/>
      <c r="T18" s="16">
        <f t="shared" si="5"/>
        <v>61.11</v>
      </c>
      <c r="U18" s="868">
        <f t="shared" si="8"/>
        <v>55.998571428571431</v>
      </c>
      <c r="V18" s="4">
        <v>70</v>
      </c>
      <c r="W18" s="4">
        <f t="shared" si="9"/>
        <v>64</v>
      </c>
      <c r="X18" s="868">
        <f t="shared" si="10"/>
        <v>36.571428571428569</v>
      </c>
      <c r="Y18" s="4"/>
      <c r="Z18" s="869">
        <f t="shared" si="11"/>
        <v>0.71779037100624032</v>
      </c>
      <c r="AA18" s="4">
        <f>IF(H18*G18,LOOKUP(Z18,'Daniel''s Tables'!$Z$135:$Z$214,'Daniel''s Tables'!$AB$135:$AB$214),0)</f>
        <v>0.29149999999999998</v>
      </c>
      <c r="AB18" s="869">
        <f t="shared" si="12"/>
        <v>21.366949999999999</v>
      </c>
      <c r="AC18" s="871" t="e">
        <f t="shared" si="6"/>
        <v>#N/A</v>
      </c>
      <c r="AD18" s="838" t="e">
        <f t="shared" si="7"/>
        <v>#N/A</v>
      </c>
      <c r="AE18" s="838"/>
    </row>
    <row r="19" spans="1:32" ht="15.75" customHeight="1" x14ac:dyDescent="0.2">
      <c r="A19" s="916"/>
      <c r="B19" s="6">
        <v>116</v>
      </c>
      <c r="C19" s="17">
        <f t="shared" si="0"/>
        <v>45826</v>
      </c>
      <c r="D19" s="6" t="s">
        <v>34</v>
      </c>
      <c r="E19" s="4" t="s">
        <v>478</v>
      </c>
      <c r="F19" s="6">
        <v>6</v>
      </c>
      <c r="G19" s="6">
        <v>5.35</v>
      </c>
      <c r="H19" s="29">
        <v>2.7511574074074074E-2</v>
      </c>
      <c r="I19" s="6" t="str">
        <f t="shared" si="1"/>
        <v>7:24</v>
      </c>
      <c r="J19" s="29"/>
      <c r="K19" s="6"/>
      <c r="L19" s="6" t="str">
        <f t="shared" si="2"/>
        <v>0:00</v>
      </c>
      <c r="M19" s="6"/>
      <c r="N19" s="6"/>
      <c r="O19" s="16" t="s">
        <v>479</v>
      </c>
      <c r="P19" s="863"/>
      <c r="Q19" s="865"/>
      <c r="R19" s="4"/>
      <c r="S19" s="4"/>
      <c r="T19" s="16">
        <f t="shared" si="5"/>
        <v>57.76</v>
      </c>
      <c r="U19" s="868">
        <f t="shared" si="8"/>
        <v>58.089999999999996</v>
      </c>
      <c r="V19" s="4">
        <v>70</v>
      </c>
      <c r="W19" s="4">
        <f t="shared" si="9"/>
        <v>63</v>
      </c>
      <c r="X19" s="868">
        <f t="shared" si="10"/>
        <v>45.571428571428569</v>
      </c>
      <c r="Y19" s="4"/>
      <c r="Z19" s="869">
        <f t="shared" si="11"/>
        <v>0.62792192292046889</v>
      </c>
      <c r="AA19" s="4">
        <f>IF(H19*G19,LOOKUP(Z19,'Daniel''s Tables'!$Z$135:$Z$214,'Daniel''s Tables'!$AB$135:$AB$214),0)</f>
        <v>0.14250000000000002</v>
      </c>
      <c r="AB19" s="869">
        <f t="shared" si="12"/>
        <v>5.6453750000000005</v>
      </c>
      <c r="AC19" s="871">
        <f t="shared" si="6"/>
        <v>69.846400000000003</v>
      </c>
      <c r="AD19" s="838" t="e">
        <f t="shared" si="7"/>
        <v>#N/A</v>
      </c>
      <c r="AE19" s="838"/>
    </row>
    <row r="20" spans="1:32" ht="15.75" customHeight="1" x14ac:dyDescent="0.2">
      <c r="A20" s="916"/>
      <c r="B20" s="6">
        <v>115</v>
      </c>
      <c r="C20" s="17">
        <f t="shared" si="0"/>
        <v>45827</v>
      </c>
      <c r="D20" s="6" t="s">
        <v>27</v>
      </c>
      <c r="E20" s="4" t="s">
        <v>385</v>
      </c>
      <c r="F20" s="6">
        <v>8</v>
      </c>
      <c r="G20" s="6">
        <v>11.15</v>
      </c>
      <c r="H20" s="29">
        <v>6.475694444444445E-2</v>
      </c>
      <c r="I20" s="6" t="str">
        <f t="shared" si="1"/>
        <v>8:22</v>
      </c>
      <c r="J20" s="6"/>
      <c r="K20" s="6"/>
      <c r="L20" s="6" t="str">
        <f t="shared" si="2"/>
        <v>0:00</v>
      </c>
      <c r="M20" s="6"/>
      <c r="N20" s="28"/>
      <c r="O20" s="16"/>
      <c r="P20" s="861">
        <f>N21+P13</f>
        <v>0.57994212962962965</v>
      </c>
      <c r="Q20" s="865"/>
      <c r="R20" s="4"/>
      <c r="S20" s="4"/>
      <c r="T20" s="16">
        <f t="shared" si="5"/>
        <v>62.86</v>
      </c>
      <c r="U20" s="868">
        <f t="shared" si="8"/>
        <v>60.045714285714283</v>
      </c>
      <c r="V20" s="4">
        <v>70</v>
      </c>
      <c r="W20" s="4">
        <f t="shared" si="9"/>
        <v>65</v>
      </c>
      <c r="X20" s="868">
        <f t="shared" si="10"/>
        <v>54.857142857142854</v>
      </c>
      <c r="Y20" s="4"/>
      <c r="Z20" s="869">
        <f t="shared" si="11"/>
        <v>0.53984766565212916</v>
      </c>
      <c r="AA20" s="4">
        <f>IF(H20*G20,LOOKUP(Z20,'Daniel''s Tables'!$Z$135:$Z$214,'Daniel''s Tables'!$AB$135:$AB$214),0)</f>
        <v>0.1</v>
      </c>
      <c r="AB20" s="869">
        <f t="shared" si="12"/>
        <v>9.3250000000000011</v>
      </c>
      <c r="AC20" s="871">
        <f t="shared" si="6"/>
        <v>72.770775000000015</v>
      </c>
      <c r="AD20" s="838" t="e">
        <f t="shared" si="7"/>
        <v>#N/A</v>
      </c>
      <c r="AE20" s="838"/>
    </row>
    <row r="21" spans="1:32" ht="15.75" customHeight="1" x14ac:dyDescent="0.2">
      <c r="A21" s="916"/>
      <c r="B21" s="6">
        <v>114</v>
      </c>
      <c r="C21" s="17">
        <f t="shared" si="0"/>
        <v>45828</v>
      </c>
      <c r="D21" s="6" t="s">
        <v>28</v>
      </c>
      <c r="E21" s="4" t="s">
        <v>392</v>
      </c>
      <c r="F21" s="6">
        <v>19</v>
      </c>
      <c r="G21" s="6"/>
      <c r="H21" s="29"/>
      <c r="I21" s="6" t="str">
        <f t="shared" si="1"/>
        <v>0:00</v>
      </c>
      <c r="J21" s="6"/>
      <c r="K21" s="6"/>
      <c r="L21" s="6" t="str">
        <f t="shared" si="2"/>
        <v>0:00</v>
      </c>
      <c r="M21" s="6"/>
      <c r="N21" s="28">
        <f>SUM(H16:H22)</f>
        <v>0.21658564814814812</v>
      </c>
      <c r="O21" s="16" t="s">
        <v>481</v>
      </c>
      <c r="P21" s="863">
        <f>N22+P14</f>
        <v>99.6</v>
      </c>
      <c r="Q21" s="866"/>
      <c r="R21" s="4"/>
      <c r="S21" s="4"/>
      <c r="T21" s="16">
        <f t="shared" si="5"/>
        <v>56.85</v>
      </c>
      <c r="U21" s="868">
        <f t="shared" si="8"/>
        <v>60.284285714285716</v>
      </c>
      <c r="V21" s="4">
        <v>70</v>
      </c>
      <c r="W21" s="4">
        <f t="shared" si="9"/>
        <v>78</v>
      </c>
      <c r="X21" s="868">
        <f t="shared" si="10"/>
        <v>66</v>
      </c>
      <c r="Y21" s="4"/>
      <c r="Z21" s="869" t="e">
        <f t="shared" si="11"/>
        <v>#DIV/0!</v>
      </c>
      <c r="AA21" s="4">
        <f>IF(H21*G21,LOOKUP(Z21,'Daniel''s Tables'!$Z$135:$Z$214,'Daniel''s Tables'!$AB$135:$AB$214),0)</f>
        <v>0</v>
      </c>
      <c r="AB21" s="869">
        <f t="shared" si="12"/>
        <v>0</v>
      </c>
      <c r="AC21" s="871">
        <f t="shared" si="6"/>
        <v>67.217741666666669</v>
      </c>
      <c r="AD21" s="838" t="e">
        <f t="shared" si="7"/>
        <v>#N/A</v>
      </c>
      <c r="AE21" s="838"/>
    </row>
    <row r="22" spans="1:32" ht="15.75" customHeight="1" x14ac:dyDescent="0.2">
      <c r="A22" s="916"/>
      <c r="B22" s="6">
        <v>113</v>
      </c>
      <c r="C22" s="17">
        <f t="shared" si="0"/>
        <v>45829</v>
      </c>
      <c r="D22" s="6" t="s">
        <v>30</v>
      </c>
      <c r="E22" s="4" t="s">
        <v>385</v>
      </c>
      <c r="F22" s="6">
        <v>8</v>
      </c>
      <c r="G22" s="6"/>
      <c r="H22" s="29"/>
      <c r="I22" s="6" t="str">
        <f t="shared" si="1"/>
        <v>0:00</v>
      </c>
      <c r="J22" s="6"/>
      <c r="K22" s="6"/>
      <c r="L22" s="6" t="str">
        <f t="shared" si="2"/>
        <v>0:00</v>
      </c>
      <c r="M22" s="4">
        <f>SUM(F16:F22)</f>
        <v>70</v>
      </c>
      <c r="N22" s="6">
        <f>SUM(G16:G22)</f>
        <v>40.81</v>
      </c>
      <c r="O22" s="16" t="s">
        <v>480</v>
      </c>
      <c r="P22" s="863">
        <f>M22+P15</f>
        <v>133</v>
      </c>
      <c r="Q22" s="862">
        <f>P21/P22</f>
        <v>0.7488721804511278</v>
      </c>
      <c r="R22" s="4"/>
      <c r="S22" s="4"/>
      <c r="T22" s="16">
        <f t="shared" si="5"/>
        <v>40.81</v>
      </c>
      <c r="U22" s="868">
        <f t="shared" si="8"/>
        <v>57.715714285714292</v>
      </c>
      <c r="V22" s="4">
        <v>70</v>
      </c>
      <c r="W22" s="4">
        <f t="shared" si="9"/>
        <v>70</v>
      </c>
      <c r="X22" s="868">
        <f t="shared" si="10"/>
        <v>67</v>
      </c>
      <c r="Y22" s="4"/>
      <c r="Z22" s="869" t="e">
        <f t="shared" si="11"/>
        <v>#DIV/0!</v>
      </c>
      <c r="AA22" s="4">
        <f>IF(H22*G22,LOOKUP(Z22,'Daniel''s Tables'!$Z$135:$Z$214,'Daniel''s Tables'!$AB$135:$AB$214),0)</f>
        <v>0</v>
      </c>
      <c r="AB22" s="869">
        <f t="shared" si="12"/>
        <v>0</v>
      </c>
      <c r="AC22" s="871">
        <f t="shared" si="6"/>
        <v>46.908991666666672</v>
      </c>
      <c r="AD22" s="838" t="e">
        <f t="shared" si="7"/>
        <v>#N/A</v>
      </c>
      <c r="AE22" s="871">
        <f>AC22</f>
        <v>46.908991666666672</v>
      </c>
      <c r="AF22" s="838"/>
    </row>
    <row r="23" spans="1:32" ht="15.75" customHeight="1" x14ac:dyDescent="0.2">
      <c r="A23" s="915" t="s">
        <v>35</v>
      </c>
      <c r="B23" s="854">
        <v>112</v>
      </c>
      <c r="C23" s="855">
        <f t="shared" si="0"/>
        <v>45830</v>
      </c>
      <c r="D23" s="854" t="s">
        <v>31</v>
      </c>
      <c r="E23" s="856" t="s">
        <v>437</v>
      </c>
      <c r="F23" s="854">
        <v>10</v>
      </c>
      <c r="G23" s="854">
        <v>8.15</v>
      </c>
      <c r="H23" s="857">
        <v>4.3310185185185188E-2</v>
      </c>
      <c r="I23" s="854" t="str">
        <f t="shared" si="1"/>
        <v>7:39</v>
      </c>
      <c r="J23" s="854"/>
      <c r="K23" s="854"/>
      <c r="L23" s="854" t="str">
        <f t="shared" si="2"/>
        <v>0:00</v>
      </c>
      <c r="M23" s="856"/>
      <c r="N23" s="856"/>
      <c r="O23" s="858" t="s">
        <v>465</v>
      </c>
      <c r="P23" s="863"/>
      <c r="Q23" s="862"/>
      <c r="R23" s="4"/>
      <c r="S23" s="4"/>
      <c r="T23" s="16">
        <f t="shared" si="5"/>
        <v>42.93</v>
      </c>
      <c r="U23" s="868">
        <f t="shared" si="8"/>
        <v>55.034285714285716</v>
      </c>
      <c r="V23" s="4">
        <v>70</v>
      </c>
      <c r="W23" s="4">
        <f t="shared" si="9"/>
        <v>72</v>
      </c>
      <c r="X23" s="868">
        <f t="shared" si="10"/>
        <v>68</v>
      </c>
      <c r="Y23" s="4"/>
      <c r="Z23" s="869">
        <f t="shared" si="11"/>
        <v>0.60286833956937647</v>
      </c>
      <c r="AA23" s="4">
        <f>IF(H23*G23,LOOKUP(Z23,'Daniel''s Tables'!$Z$135:$Z$214,'Daniel''s Tables'!$AB$135:$AB$214),0)</f>
        <v>0.11</v>
      </c>
      <c r="AB23" s="869">
        <f t="shared" si="12"/>
        <v>6.8603333333333332</v>
      </c>
      <c r="AC23" s="871">
        <f t="shared" si="6"/>
        <v>49.029325</v>
      </c>
      <c r="AD23" s="838" t="e">
        <f t="shared" si="7"/>
        <v>#N/A</v>
      </c>
      <c r="AE23" s="838"/>
      <c r="AF23" s="838"/>
    </row>
    <row r="24" spans="1:32" ht="15.75" customHeight="1" x14ac:dyDescent="0.2">
      <c r="A24" s="915"/>
      <c r="B24" s="854">
        <v>111</v>
      </c>
      <c r="C24" s="855">
        <f t="shared" si="0"/>
        <v>45831</v>
      </c>
      <c r="D24" s="854" t="s">
        <v>33</v>
      </c>
      <c r="E24" s="856" t="s">
        <v>385</v>
      </c>
      <c r="F24" s="854">
        <v>8</v>
      </c>
      <c r="G24" s="854">
        <v>8.23</v>
      </c>
      <c r="H24" s="857">
        <v>4.4074074074074071E-2</v>
      </c>
      <c r="I24" s="854" t="str">
        <f t="shared" si="1"/>
        <v>7:43</v>
      </c>
      <c r="J24" s="854"/>
      <c r="K24" s="854"/>
      <c r="L24" s="854" t="str">
        <f t="shared" si="2"/>
        <v>0:00</v>
      </c>
      <c r="M24" s="854"/>
      <c r="N24" s="854"/>
      <c r="O24" s="858"/>
      <c r="P24" s="863"/>
      <c r="Q24" s="864"/>
      <c r="R24" s="4"/>
      <c r="S24" s="4"/>
      <c r="T24" s="16">
        <f t="shared" si="5"/>
        <v>43.91</v>
      </c>
      <c r="U24" s="868">
        <f t="shared" si="8"/>
        <v>52.318571428571431</v>
      </c>
      <c r="V24" s="4">
        <v>70</v>
      </c>
      <c r="W24" s="4">
        <f t="shared" si="9"/>
        <v>74</v>
      </c>
      <c r="X24" s="868">
        <f t="shared" si="10"/>
        <v>69.428571428571431</v>
      </c>
      <c r="Y24" s="4"/>
      <c r="Z24" s="869">
        <f t="shared" si="11"/>
        <v>0.59712673320166132</v>
      </c>
      <c r="AA24" s="4">
        <f>IF(H24*G24,LOOKUP(Z24,'Daniel''s Tables'!$Z$135:$Z$214,'Daniel''s Tables'!$AB$135:$AB$214),0)</f>
        <v>0.10500000000000001</v>
      </c>
      <c r="AB24" s="869">
        <f t="shared" si="12"/>
        <v>6.6639999999999997</v>
      </c>
      <c r="AC24" s="871">
        <f t="shared" si="6"/>
        <v>49.861658333333338</v>
      </c>
      <c r="AD24" s="838" t="e">
        <f t="shared" si="7"/>
        <v>#N/A</v>
      </c>
      <c r="AE24" s="838"/>
      <c r="AF24" s="838"/>
    </row>
    <row r="25" spans="1:32" ht="15.75" customHeight="1" x14ac:dyDescent="0.2">
      <c r="A25" s="915"/>
      <c r="B25" s="854">
        <v>110</v>
      </c>
      <c r="C25" s="855">
        <f t="shared" si="0"/>
        <v>45832</v>
      </c>
      <c r="D25" s="854" t="s">
        <v>34</v>
      </c>
      <c r="E25" s="856" t="s">
        <v>476</v>
      </c>
      <c r="F25" s="854">
        <v>10</v>
      </c>
      <c r="G25" s="854">
        <v>12.12</v>
      </c>
      <c r="H25" s="857">
        <v>5.7499999999999996E-2</v>
      </c>
      <c r="I25" s="854" t="str">
        <f t="shared" si="1"/>
        <v>6:50</v>
      </c>
      <c r="J25" s="857">
        <v>1.8356481481481481E-2</v>
      </c>
      <c r="K25" s="854">
        <v>5</v>
      </c>
      <c r="L25" s="854" t="str">
        <f t="shared" si="2"/>
        <v>5:17</v>
      </c>
      <c r="M25" s="854"/>
      <c r="N25" s="854"/>
      <c r="O25" s="858"/>
      <c r="P25" s="863"/>
      <c r="Q25" s="864"/>
      <c r="R25" s="4"/>
      <c r="S25" s="4"/>
      <c r="T25" s="16">
        <f t="shared" si="5"/>
        <v>44.999999999999993</v>
      </c>
      <c r="U25" s="868">
        <f t="shared" si="8"/>
        <v>50.017142857142858</v>
      </c>
      <c r="V25" s="4">
        <v>70</v>
      </c>
      <c r="W25" s="4">
        <f t="shared" si="9"/>
        <v>69</v>
      </c>
      <c r="X25" s="868">
        <f t="shared" si="10"/>
        <v>70.142857142857139</v>
      </c>
      <c r="Y25" s="4"/>
      <c r="Z25" s="869">
        <f t="shared" si="11"/>
        <v>0.69371517645911152</v>
      </c>
      <c r="AA25" s="4">
        <f>IF(H25*G25,LOOKUP(Z25,'Daniel''s Tables'!$Z$135:$Z$214,'Daniel''s Tables'!$AB$135:$AB$214),0)</f>
        <v>0.25</v>
      </c>
      <c r="AB25" s="869">
        <f t="shared" si="12"/>
        <v>20.7</v>
      </c>
      <c r="AC25" s="871">
        <f t="shared" si="6"/>
        <v>49.194708333333338</v>
      </c>
      <c r="AD25" s="838">
        <f t="shared" si="7"/>
        <v>57.832800000000006</v>
      </c>
      <c r="AE25" s="838"/>
      <c r="AF25" s="838"/>
    </row>
    <row r="26" spans="1:32" ht="15.75" customHeight="1" x14ac:dyDescent="0.2">
      <c r="A26" s="915"/>
      <c r="B26" s="854">
        <v>109</v>
      </c>
      <c r="C26" s="855">
        <f t="shared" si="0"/>
        <v>45833</v>
      </c>
      <c r="D26" s="854" t="s">
        <v>26</v>
      </c>
      <c r="E26" s="856" t="s">
        <v>381</v>
      </c>
      <c r="F26" s="854">
        <v>6</v>
      </c>
      <c r="G26" s="854">
        <v>8.61</v>
      </c>
      <c r="H26" s="857">
        <v>4.8773148148148149E-2</v>
      </c>
      <c r="I26" s="854" t="str">
        <f t="shared" si="1"/>
        <v>8:09</v>
      </c>
      <c r="J26" s="854"/>
      <c r="K26" s="854"/>
      <c r="L26" s="854" t="str">
        <f t="shared" si="2"/>
        <v>0:00</v>
      </c>
      <c r="M26" s="854"/>
      <c r="N26" s="854"/>
      <c r="O26" s="858"/>
      <c r="P26" s="861"/>
      <c r="Q26" s="865"/>
      <c r="R26" s="4"/>
      <c r="S26" s="4"/>
      <c r="T26" s="16">
        <f t="shared" si="5"/>
        <v>48.26</v>
      </c>
      <c r="U26" s="868">
        <f t="shared" si="8"/>
        <v>48.660000000000004</v>
      </c>
      <c r="V26" s="4">
        <v>70</v>
      </c>
      <c r="W26" s="4">
        <f t="shared" si="9"/>
        <v>69</v>
      </c>
      <c r="X26" s="868">
        <f t="shared" si="10"/>
        <v>71</v>
      </c>
      <c r="Y26" s="4"/>
      <c r="Z26" s="869">
        <f t="shared" si="11"/>
        <v>0.55688020075109956</v>
      </c>
      <c r="AA26" s="4">
        <f>IF(H26*G26,LOOKUP(Z26,'Daniel''s Tables'!$Z$135:$Z$214,'Daniel''s Tables'!$AB$135:$AB$214),0)</f>
        <v>0.1</v>
      </c>
      <c r="AB26" s="869">
        <f t="shared" si="12"/>
        <v>7.0233333333333334</v>
      </c>
      <c r="AC26" s="871">
        <f t="shared" si="6"/>
        <v>50.57266666666667</v>
      </c>
      <c r="AD26" s="838">
        <f t="shared" si="7"/>
        <v>55.079409523809531</v>
      </c>
      <c r="AE26" s="838"/>
      <c r="AF26" s="838"/>
    </row>
    <row r="27" spans="1:32" ht="15.75" customHeight="1" x14ac:dyDescent="0.2">
      <c r="A27" s="915"/>
      <c r="B27" s="854">
        <v>108</v>
      </c>
      <c r="C27" s="855">
        <f t="shared" si="0"/>
        <v>45834</v>
      </c>
      <c r="D27" s="854" t="s">
        <v>27</v>
      </c>
      <c r="E27" s="856" t="s">
        <v>403</v>
      </c>
      <c r="F27" s="854">
        <f>4+3+3+2+1+2</f>
        <v>15</v>
      </c>
      <c r="G27" s="854">
        <v>14.47</v>
      </c>
      <c r="H27" s="857">
        <v>6.4629629629629634E-2</v>
      </c>
      <c r="I27" s="854" t="str">
        <f t="shared" si="1"/>
        <v>6:26</v>
      </c>
      <c r="J27" s="857">
        <v>3.5891203703703703E-2</v>
      </c>
      <c r="K27" s="854">
        <v>9</v>
      </c>
      <c r="L27" s="854" t="str">
        <f t="shared" si="2"/>
        <v>5:45</v>
      </c>
      <c r="M27" s="854"/>
      <c r="N27" s="859"/>
      <c r="O27" s="858" t="s">
        <v>483</v>
      </c>
      <c r="P27" s="861">
        <f>N28+P20</f>
        <v>0.95483796296296297</v>
      </c>
      <c r="Q27" s="865"/>
      <c r="R27" s="4"/>
      <c r="S27" s="4"/>
      <c r="T27" s="16">
        <f t="shared" si="5"/>
        <v>51.58</v>
      </c>
      <c r="U27" s="868">
        <f t="shared" si="8"/>
        <v>47.048571428571428</v>
      </c>
      <c r="V27" s="4">
        <v>70</v>
      </c>
      <c r="W27" s="4">
        <f t="shared" si="9"/>
        <v>76</v>
      </c>
      <c r="X27" s="868">
        <f t="shared" si="10"/>
        <v>72.571428571428569</v>
      </c>
      <c r="Y27" s="4"/>
      <c r="Z27" s="869">
        <f t="shared" si="11"/>
        <v>0.7473528351051627</v>
      </c>
      <c r="AA27" s="4">
        <f>IF(H27*G27,LOOKUP(Z27,'Daniel''s Tables'!$Z$135:$Z$214,'Daniel''s Tables'!$AB$135:$AB$214),0)</f>
        <v>0.34150000000000003</v>
      </c>
      <c r="AB27" s="869">
        <f t="shared" si="12"/>
        <v>31.782266666666672</v>
      </c>
      <c r="AC27" s="871">
        <f t="shared" si="6"/>
        <v>73.029933333333332</v>
      </c>
      <c r="AD27" s="838">
        <f t="shared" si="7"/>
        <v>55.116432142857143</v>
      </c>
      <c r="AE27" s="838"/>
      <c r="AF27" s="838"/>
    </row>
    <row r="28" spans="1:32" ht="15.75" customHeight="1" x14ac:dyDescent="0.2">
      <c r="A28" s="915"/>
      <c r="B28" s="854">
        <v>107</v>
      </c>
      <c r="C28" s="855">
        <f t="shared" si="0"/>
        <v>45835</v>
      </c>
      <c r="D28" s="854" t="s">
        <v>28</v>
      </c>
      <c r="E28" s="856" t="s">
        <v>379</v>
      </c>
      <c r="F28" s="854">
        <v>6</v>
      </c>
      <c r="G28" s="854">
        <v>4.83</v>
      </c>
      <c r="H28" s="857">
        <v>2.6562499999999999E-2</v>
      </c>
      <c r="I28" s="854" t="str">
        <f t="shared" si="1"/>
        <v>7:55</v>
      </c>
      <c r="J28" s="854"/>
      <c r="K28" s="854"/>
      <c r="L28" s="854" t="str">
        <f>CONCATENATE(FLOOR((HOUR(J28)*60+MINUTE(J28)+SECOND(J28)/60)/IF(ISBLANK(K28),1,K28),1),":",TEXT(ROUND((((HOUR(J28)*60+MINUTE(J28)+SECOND(J28)/60)/IF(ISBLANK(K28),1,K28))-(FLOOR((HOUR(J28)*60+MINUTE(J28)+SECOND(J28)/60)/IF(ISBLANK(K28),1,K28),1)))*60,0),"00"))</f>
        <v>0:00</v>
      </c>
      <c r="M28" s="854"/>
      <c r="N28" s="859">
        <f>SUM(H23:H29)</f>
        <v>0.37489583333333332</v>
      </c>
      <c r="O28" s="858"/>
      <c r="P28" s="863">
        <f>N29+P21</f>
        <v>174.04</v>
      </c>
      <c r="Q28" s="866"/>
      <c r="R28" s="4"/>
      <c r="S28" s="16"/>
      <c r="T28" s="16">
        <f t="shared" si="5"/>
        <v>56.41</v>
      </c>
      <c r="U28" s="868">
        <f t="shared" si="8"/>
        <v>46.98571428571428</v>
      </c>
      <c r="V28" s="4">
        <v>70</v>
      </c>
      <c r="W28" s="4">
        <f t="shared" si="9"/>
        <v>63</v>
      </c>
      <c r="X28" s="868">
        <f t="shared" si="10"/>
        <v>70.428571428571431</v>
      </c>
      <c r="Y28" s="4"/>
      <c r="Z28" s="869">
        <f t="shared" si="11"/>
        <v>0.57775525389342886</v>
      </c>
      <c r="AA28" s="4">
        <f>IF(H28*G28,LOOKUP(Z28,'Daniel''s Tables'!$Z$135:$Z$214,'Daniel''s Tables'!$AB$135:$AB$214),0)</f>
        <v>0.1</v>
      </c>
      <c r="AB28" s="869">
        <f t="shared" si="12"/>
        <v>3.8250000000000002</v>
      </c>
      <c r="AC28" s="871">
        <f t="shared" si="6"/>
        <v>76.854933333333335</v>
      </c>
      <c r="AD28" s="838">
        <f t="shared" si="7"/>
        <v>56.49317380952381</v>
      </c>
      <c r="AE28" s="871">
        <f>AC28</f>
        <v>76.854933333333335</v>
      </c>
      <c r="AF28" s="838"/>
    </row>
    <row r="29" spans="1:32" ht="15.75" customHeight="1" x14ac:dyDescent="0.2">
      <c r="A29" s="915"/>
      <c r="B29" s="854">
        <v>106</v>
      </c>
      <c r="C29" s="855">
        <f t="shared" si="0"/>
        <v>45836</v>
      </c>
      <c r="D29" s="854" t="s">
        <v>30</v>
      </c>
      <c r="E29" s="856" t="s">
        <v>393</v>
      </c>
      <c r="F29" s="854">
        <v>18</v>
      </c>
      <c r="G29" s="854">
        <v>18.03</v>
      </c>
      <c r="H29" s="857">
        <v>9.0046296296296291E-2</v>
      </c>
      <c r="I29" s="854" t="str">
        <f t="shared" si="1"/>
        <v>7:12</v>
      </c>
      <c r="J29" s="854"/>
      <c r="K29" s="854"/>
      <c r="L29" s="854" t="str">
        <f>CONCATENATE(FLOOR((HOUR(J29)*60+MINUTE(J29)+SECOND(J29)/60)/IF(ISBLANK(K29),1,K29),1),":",TEXT(ROUND((((HOUR(J29)*60+MINUTE(J29)+SECOND(J29)/60)/IF(ISBLANK(K29),1,K29))-(FLOOR((HOUR(J29)*60+MINUTE(J29)+SECOND(J29)/60)/IF(ISBLANK(K29),1,K29),1)))*60,0),"00"))</f>
        <v>0:00</v>
      </c>
      <c r="M29" s="856">
        <f>SUM(F23:F29)</f>
        <v>73</v>
      </c>
      <c r="N29" s="854">
        <f>SUM(G23:G29)</f>
        <v>74.44</v>
      </c>
      <c r="O29" s="858"/>
      <c r="P29" s="863">
        <f>M29+P22</f>
        <v>206</v>
      </c>
      <c r="Q29" s="862">
        <f>P28/P29</f>
        <v>0.8448543689320388</v>
      </c>
      <c r="R29" s="4"/>
      <c r="T29" s="16">
        <f t="shared" si="5"/>
        <v>74.44</v>
      </c>
      <c r="U29" s="868">
        <f t="shared" si="8"/>
        <v>51.790000000000006</v>
      </c>
      <c r="V29" s="4">
        <v>70</v>
      </c>
      <c r="W29" s="4">
        <f t="shared" si="9"/>
        <v>73</v>
      </c>
      <c r="X29" s="868">
        <f t="shared" si="10"/>
        <v>70.857142857142861</v>
      </c>
      <c r="Y29" s="4"/>
      <c r="Z29" s="869">
        <f t="shared" si="11"/>
        <v>0.65104728003369916</v>
      </c>
      <c r="AA29" s="4">
        <f>IF(H29*G29,LOOKUP(Z29,'Daniel''s Tables'!$Z$135:$Z$214,'Daniel''s Tables'!$AB$135:$AB$214),0)</f>
        <v>0.183</v>
      </c>
      <c r="AB29" s="869">
        <f t="shared" si="12"/>
        <v>23.728999999999999</v>
      </c>
      <c r="AC29" s="871">
        <f t="shared" si="6"/>
        <v>100.58393333333333</v>
      </c>
      <c r="AD29" s="838">
        <f t="shared" si="7"/>
        <v>64.161022619047614</v>
      </c>
      <c r="AE29" s="838"/>
      <c r="AF29" s="838"/>
    </row>
    <row r="30" spans="1:32" ht="15.75" customHeight="1" x14ac:dyDescent="0.2">
      <c r="A30" s="916" t="s">
        <v>36</v>
      </c>
      <c r="B30" s="6">
        <v>105</v>
      </c>
      <c r="C30" s="17">
        <f t="shared" si="0"/>
        <v>45837</v>
      </c>
      <c r="D30" s="6" t="s">
        <v>31</v>
      </c>
      <c r="E30" s="4" t="s">
        <v>381</v>
      </c>
      <c r="F30" s="6">
        <v>6</v>
      </c>
      <c r="G30" s="6">
        <v>6.02</v>
      </c>
      <c r="H30" s="29">
        <v>3.3530092592592591E-2</v>
      </c>
      <c r="I30" s="6" t="str">
        <f t="shared" si="1"/>
        <v>8:01</v>
      </c>
      <c r="J30" s="6"/>
      <c r="K30" s="6"/>
      <c r="L30" s="6" t="str">
        <f t="shared" si="2"/>
        <v>0:00</v>
      </c>
      <c r="M30" s="4"/>
      <c r="N30" s="4"/>
      <c r="O30" s="16"/>
      <c r="P30" s="863"/>
      <c r="Q30" s="862"/>
      <c r="R30" s="4"/>
      <c r="T30" s="16">
        <f t="shared" si="5"/>
        <v>72.309999999999988</v>
      </c>
      <c r="U30" s="868">
        <f t="shared" si="8"/>
        <v>55.987142857142864</v>
      </c>
      <c r="V30" s="4">
        <v>70</v>
      </c>
      <c r="W30" s="4">
        <f t="shared" si="9"/>
        <v>69</v>
      </c>
      <c r="X30" s="868">
        <f t="shared" si="10"/>
        <v>70.428571428571431</v>
      </c>
      <c r="Y30" s="4"/>
      <c r="Z30" s="869">
        <f t="shared" si="11"/>
        <v>0.56870790057846932</v>
      </c>
      <c r="AA30" s="4">
        <f>IF(H30*G30,LOOKUP(Z30,'Daniel''s Tables'!$Z$135:$Z$214,'Daniel''s Tables'!$AB$135:$AB$214),0)</f>
        <v>0.1</v>
      </c>
      <c r="AB30" s="869">
        <f t="shared" si="12"/>
        <v>4.8283333333333331</v>
      </c>
      <c r="AC30" s="871">
        <f t="shared" si="6"/>
        <v>98.551933333333338</v>
      </c>
      <c r="AD30" s="838">
        <f t="shared" si="7"/>
        <v>71.23568095238096</v>
      </c>
      <c r="AE30" s="838"/>
      <c r="AF30" s="838"/>
    </row>
    <row r="31" spans="1:32" ht="15.75" customHeight="1" x14ac:dyDescent="0.2">
      <c r="A31" s="916"/>
      <c r="B31" s="6">
        <v>104</v>
      </c>
      <c r="C31" s="17">
        <f t="shared" si="0"/>
        <v>45838</v>
      </c>
      <c r="D31" s="6" t="s">
        <v>33</v>
      </c>
      <c r="E31" s="4" t="s">
        <v>385</v>
      </c>
      <c r="F31" s="6">
        <v>8</v>
      </c>
      <c r="G31" s="6">
        <v>8.08</v>
      </c>
      <c r="H31" s="29">
        <v>4.238425925925926E-2</v>
      </c>
      <c r="I31" s="6" t="str">
        <f t="shared" si="1"/>
        <v>7:33</v>
      </c>
      <c r="J31" s="29">
        <v>1.5740740740740741E-3</v>
      </c>
      <c r="K31" s="6">
        <v>0.41</v>
      </c>
      <c r="L31" s="6" t="str">
        <f t="shared" si="2"/>
        <v>5:32</v>
      </c>
      <c r="M31" s="6"/>
      <c r="N31" s="6"/>
      <c r="O31" s="16"/>
      <c r="P31" s="863"/>
      <c r="Q31" s="864"/>
      <c r="R31" s="4"/>
      <c r="T31" s="16">
        <f t="shared" si="5"/>
        <v>72.16</v>
      </c>
      <c r="U31" s="868">
        <f t="shared" si="8"/>
        <v>60.022857142857141</v>
      </c>
      <c r="V31" s="4">
        <v>70</v>
      </c>
      <c r="W31" s="4">
        <f t="shared" si="9"/>
        <v>69</v>
      </c>
      <c r="X31" s="868">
        <f t="shared" si="10"/>
        <v>69.714285714285708</v>
      </c>
      <c r="Y31" s="4"/>
      <c r="Z31" s="869">
        <f t="shared" si="11"/>
        <v>0.61265094063794134</v>
      </c>
      <c r="AA31" s="4">
        <f>IF(H31*G31,LOOKUP(Z31,'Daniel''s Tables'!$Z$135:$Z$214,'Daniel''s Tables'!$AB$135:$AB$214),0)</f>
        <v>0.122</v>
      </c>
      <c r="AB31" s="869">
        <f t="shared" si="12"/>
        <v>7.4460666666666659</v>
      </c>
      <c r="AC31" s="871">
        <f t="shared" si="6"/>
        <v>99.334000000000003</v>
      </c>
      <c r="AD31" s="838">
        <f t="shared" si="7"/>
        <v>78.303158333333343</v>
      </c>
      <c r="AE31" s="838"/>
      <c r="AF31" s="838"/>
    </row>
    <row r="32" spans="1:32" ht="15.75" customHeight="1" x14ac:dyDescent="0.2">
      <c r="A32" s="916"/>
      <c r="B32" s="6">
        <v>103</v>
      </c>
      <c r="C32" s="17">
        <f t="shared" si="0"/>
        <v>45839</v>
      </c>
      <c r="D32" s="6" t="s">
        <v>34</v>
      </c>
      <c r="E32" s="4" t="s">
        <v>399</v>
      </c>
      <c r="F32" s="6">
        <v>16</v>
      </c>
      <c r="G32" s="6">
        <v>13.02</v>
      </c>
      <c r="H32" s="29">
        <v>5.708333333333334E-2</v>
      </c>
      <c r="I32" s="6" t="str">
        <f t="shared" si="1"/>
        <v>6:19</v>
      </c>
      <c r="J32" s="29">
        <v>3.0381944444444444E-2</v>
      </c>
      <c r="K32" s="6">
        <f>4*2</f>
        <v>8</v>
      </c>
      <c r="L32" s="6" t="str">
        <f t="shared" si="2"/>
        <v>5:28</v>
      </c>
      <c r="M32" s="6"/>
      <c r="N32" s="6"/>
      <c r="O32" s="16" t="s">
        <v>484</v>
      </c>
      <c r="P32" s="863"/>
      <c r="Q32" s="864"/>
      <c r="R32" s="4"/>
      <c r="T32" s="16">
        <f t="shared" si="5"/>
        <v>73.059999999999988</v>
      </c>
      <c r="U32" s="868">
        <f t="shared" si="8"/>
        <v>64.031428571428563</v>
      </c>
      <c r="V32" s="4">
        <v>70</v>
      </c>
      <c r="W32" s="4">
        <f t="shared" si="9"/>
        <v>75</v>
      </c>
      <c r="X32" s="868">
        <f t="shared" si="10"/>
        <v>70.571428571428569</v>
      </c>
      <c r="Y32" s="4"/>
      <c r="Z32" s="869">
        <f t="shared" si="11"/>
        <v>0.76467242031868732</v>
      </c>
      <c r="AA32" s="4">
        <f>IF(H32*G32,LOOKUP(Z32,'Daniel''s Tables'!$Z$135:$Z$214,'Daniel''s Tables'!$AB$135:$AB$214),0)</f>
        <v>0.36699999999999999</v>
      </c>
      <c r="AB32" s="869">
        <f t="shared" si="12"/>
        <v>30.167400000000001</v>
      </c>
      <c r="AC32" s="871">
        <f t="shared" si="6"/>
        <v>108.8014</v>
      </c>
      <c r="AD32" s="838">
        <f t="shared" si="7"/>
        <v>86.818400000000011</v>
      </c>
      <c r="AE32" s="838"/>
      <c r="AF32" s="838"/>
    </row>
    <row r="33" spans="1:32" ht="15.75" customHeight="1" x14ac:dyDescent="0.2">
      <c r="A33" s="916"/>
      <c r="B33" s="6">
        <v>102</v>
      </c>
      <c r="C33" s="17">
        <f t="shared" si="0"/>
        <v>45840</v>
      </c>
      <c r="D33" s="6" t="s">
        <v>26</v>
      </c>
      <c r="E33" s="4" t="s">
        <v>385</v>
      </c>
      <c r="F33" s="6">
        <v>8</v>
      </c>
      <c r="G33" s="6">
        <f>5.93+2.68</f>
        <v>8.61</v>
      </c>
      <c r="H33" s="29">
        <v>4.5902777777777772E-2</v>
      </c>
      <c r="I33" s="6" t="str">
        <f t="shared" si="1"/>
        <v>7:41</v>
      </c>
      <c r="J33" s="6"/>
      <c r="K33" s="6"/>
      <c r="L33" s="6" t="str">
        <f t="shared" si="2"/>
        <v>0:00</v>
      </c>
      <c r="M33" s="6"/>
      <c r="N33" s="6"/>
      <c r="O33" s="16"/>
      <c r="P33" s="863"/>
      <c r="Q33" s="865"/>
      <c r="R33" s="4"/>
      <c r="T33" s="16">
        <f t="shared" si="5"/>
        <v>73.059999999999988</v>
      </c>
      <c r="U33" s="868">
        <f t="shared" si="8"/>
        <v>67.574285714285708</v>
      </c>
      <c r="V33" s="4">
        <v>70</v>
      </c>
      <c r="W33" s="4">
        <f t="shared" si="9"/>
        <v>77</v>
      </c>
      <c r="X33" s="868">
        <f t="shared" si="10"/>
        <v>71.714285714285708</v>
      </c>
      <c r="Y33" s="4"/>
      <c r="Z33" s="869">
        <f t="shared" si="11"/>
        <v>0.60045729631542544</v>
      </c>
      <c r="AA33" s="4">
        <f>IF(H33*G33,LOOKUP(Z33,'Daniel''s Tables'!$Z$135:$Z$214,'Daniel''s Tables'!$AB$135:$AB$214),0)</f>
        <v>0.11</v>
      </c>
      <c r="AB33" s="869">
        <f t="shared" si="12"/>
        <v>7.270999999999999</v>
      </c>
      <c r="AC33" s="871">
        <f t="shared" si="6"/>
        <v>109.04906666666668</v>
      </c>
      <c r="AD33" s="838">
        <f t="shared" si="7"/>
        <v>95.172171428571446</v>
      </c>
      <c r="AE33" s="838"/>
      <c r="AF33" s="838"/>
    </row>
    <row r="34" spans="1:32" ht="15.75" customHeight="1" x14ac:dyDescent="0.2">
      <c r="A34" s="916"/>
      <c r="B34" s="6">
        <v>101</v>
      </c>
      <c r="C34" s="17">
        <f t="shared" si="0"/>
        <v>45841</v>
      </c>
      <c r="D34" s="6" t="s">
        <v>27</v>
      </c>
      <c r="E34" s="4" t="s">
        <v>385</v>
      </c>
      <c r="F34" s="6">
        <v>8</v>
      </c>
      <c r="G34" s="6">
        <f>9.08+1.11</f>
        <v>10.19</v>
      </c>
      <c r="H34" s="29">
        <v>5.2337962962962968E-2</v>
      </c>
      <c r="I34" s="6" t="str">
        <f t="shared" si="1"/>
        <v>7:24</v>
      </c>
      <c r="J34" s="6"/>
      <c r="K34" s="6"/>
      <c r="L34" s="6" t="str">
        <f t="shared" si="2"/>
        <v>0:00</v>
      </c>
      <c r="M34" s="6"/>
      <c r="N34" s="28"/>
      <c r="O34" s="16"/>
      <c r="P34" s="861">
        <f>N35+P27</f>
        <v>1.3142592592592592</v>
      </c>
      <c r="Q34" s="865"/>
      <c r="R34" s="4"/>
      <c r="T34" s="16">
        <f t="shared" si="5"/>
        <v>68.78</v>
      </c>
      <c r="U34" s="868">
        <f t="shared" si="8"/>
        <v>70.031428571428563</v>
      </c>
      <c r="V34" s="4">
        <v>70</v>
      </c>
      <c r="W34" s="4">
        <f t="shared" si="9"/>
        <v>70</v>
      </c>
      <c r="X34" s="868">
        <f t="shared" si="10"/>
        <v>70.857142857142861</v>
      </c>
      <c r="Y34" s="4"/>
      <c r="Z34" s="869">
        <f t="shared" si="11"/>
        <v>0.62885182113978322</v>
      </c>
      <c r="AA34" s="4">
        <f>IF(H34*G34,LOOKUP(Z34,'Daniel''s Tables'!$Z$135:$Z$214,'Daniel''s Tables'!$AB$135:$AB$214),0)</f>
        <v>0.14250000000000002</v>
      </c>
      <c r="AB34" s="869">
        <f t="shared" si="12"/>
        <v>10.739750000000003</v>
      </c>
      <c r="AC34" s="871">
        <f t="shared" si="6"/>
        <v>88.006550000000004</v>
      </c>
      <c r="AD34" s="838">
        <f t="shared" si="7"/>
        <v>97.311688095238097</v>
      </c>
      <c r="AE34" s="838"/>
      <c r="AF34" s="838"/>
    </row>
    <row r="35" spans="1:32" ht="15.75" customHeight="1" x14ac:dyDescent="0.2">
      <c r="A35" s="916"/>
      <c r="B35" s="6">
        <v>100</v>
      </c>
      <c r="C35" s="17">
        <f t="shared" si="0"/>
        <v>45842</v>
      </c>
      <c r="D35" s="6" t="s">
        <v>28</v>
      </c>
      <c r="E35" s="4" t="s">
        <v>485</v>
      </c>
      <c r="F35" s="6">
        <v>18</v>
      </c>
      <c r="G35" s="6">
        <v>18.32</v>
      </c>
      <c r="H35" s="29">
        <v>8.0300925925925928E-2</v>
      </c>
      <c r="I35" s="6" t="str">
        <f t="shared" si="1"/>
        <v>6:19</v>
      </c>
      <c r="J35" s="29">
        <v>5.2511574074074072E-2</v>
      </c>
      <c r="K35" s="6">
        <f>8+1+2+2</f>
        <v>13</v>
      </c>
      <c r="L35" s="6" t="str">
        <f t="shared" si="2"/>
        <v>5:49</v>
      </c>
      <c r="M35" s="6"/>
      <c r="N35" s="28">
        <f>SUM(H30:H36)</f>
        <v>0.35942129629629632</v>
      </c>
      <c r="O35" s="16"/>
      <c r="P35" s="863">
        <f>N36+P28</f>
        <v>247.29</v>
      </c>
      <c r="Q35" s="866"/>
      <c r="R35" s="4"/>
      <c r="T35" s="16">
        <f t="shared" si="5"/>
        <v>82.27000000000001</v>
      </c>
      <c r="U35" s="868">
        <f t="shared" si="8"/>
        <v>73.725714285714275</v>
      </c>
      <c r="V35" s="4">
        <v>70</v>
      </c>
      <c r="W35" s="4">
        <f t="shared" si="9"/>
        <v>82</v>
      </c>
      <c r="X35" s="868">
        <f t="shared" si="10"/>
        <v>73.571428571428569</v>
      </c>
      <c r="Y35" s="4"/>
      <c r="Z35" s="869">
        <f t="shared" si="11"/>
        <v>0.76489673440007133</v>
      </c>
      <c r="AA35" s="4">
        <f>IF(H35*G35,LOOKUP(Z35,'Daniel''s Tables'!$Z$135:$Z$214,'Daniel''s Tables'!$AB$135:$AB$214),0)</f>
        <v>0.36699999999999999</v>
      </c>
      <c r="AB35" s="869">
        <f t="shared" si="12"/>
        <v>42.437433333333338</v>
      </c>
      <c r="AC35" s="871">
        <f t="shared" si="6"/>
        <v>126.61898333333335</v>
      </c>
      <c r="AD35" s="838">
        <f t="shared" si="7"/>
        <v>104.4208380952381</v>
      </c>
      <c r="AE35" s="838"/>
      <c r="AF35" s="838"/>
    </row>
    <row r="36" spans="1:32" ht="15.75" customHeight="1" x14ac:dyDescent="0.2">
      <c r="A36" s="916"/>
      <c r="B36" s="6">
        <v>99</v>
      </c>
      <c r="C36" s="17">
        <f t="shared" si="0"/>
        <v>45843</v>
      </c>
      <c r="D36" s="6" t="s">
        <v>30</v>
      </c>
      <c r="E36" s="4" t="s">
        <v>437</v>
      </c>
      <c r="F36" s="6">
        <v>10</v>
      </c>
      <c r="G36" s="6">
        <v>9.01</v>
      </c>
      <c r="H36" s="29">
        <v>4.7881944444444442E-2</v>
      </c>
      <c r="I36" s="6" t="str">
        <f t="shared" si="1"/>
        <v>7:39</v>
      </c>
      <c r="J36" s="6"/>
      <c r="K36" s="6"/>
      <c r="L36" s="6" t="str">
        <f t="shared" si="2"/>
        <v>0:00</v>
      </c>
      <c r="M36" s="4">
        <f>SUM(F30:F36)</f>
        <v>74</v>
      </c>
      <c r="N36" s="6">
        <f>SUM(G30:G36)</f>
        <v>73.25</v>
      </c>
      <c r="O36" s="16"/>
      <c r="P36" s="863">
        <f>M36+P29</f>
        <v>280</v>
      </c>
      <c r="Q36" s="862">
        <f>P35/P36</f>
        <v>0.88317857142857137</v>
      </c>
      <c r="R36" s="4"/>
      <c r="T36" s="16">
        <f t="shared" si="5"/>
        <v>73.25</v>
      </c>
      <c r="U36" s="868">
        <f t="shared" si="8"/>
        <v>73.555714285714288</v>
      </c>
      <c r="V36" s="4">
        <v>70</v>
      </c>
      <c r="W36" s="4">
        <f t="shared" si="9"/>
        <v>74</v>
      </c>
      <c r="X36" s="868">
        <f t="shared" si="10"/>
        <v>73.714285714285708</v>
      </c>
      <c r="Y36" s="4"/>
      <c r="Z36" s="869">
        <f t="shared" si="11"/>
        <v>0.60284328518008035</v>
      </c>
      <c r="AA36" s="4">
        <f>IF(H36*G36,LOOKUP(Z36,'Daniel''s Tables'!$Z$135:$Z$214,'Daniel''s Tables'!$AB$135:$AB$214),0)</f>
        <v>0.11</v>
      </c>
      <c r="AB36" s="869">
        <f t="shared" si="12"/>
        <v>7.5845000000000002</v>
      </c>
      <c r="AC36" s="871">
        <f t="shared" si="6"/>
        <v>110.47448333333334</v>
      </c>
      <c r="AD36" s="838">
        <f t="shared" si="7"/>
        <v>105.83377380952381</v>
      </c>
      <c r="AE36" s="871">
        <f>AC36</f>
        <v>110.47448333333334</v>
      </c>
      <c r="AF36" s="838"/>
    </row>
    <row r="37" spans="1:32" ht="15.75" customHeight="1" x14ac:dyDescent="0.2">
      <c r="A37" s="915" t="s">
        <v>37</v>
      </c>
      <c r="B37" s="854">
        <v>98</v>
      </c>
      <c r="C37" s="855">
        <f t="shared" si="0"/>
        <v>45844</v>
      </c>
      <c r="D37" s="854" t="s">
        <v>31</v>
      </c>
      <c r="E37" s="856" t="s">
        <v>381</v>
      </c>
      <c r="F37" s="854">
        <v>6</v>
      </c>
      <c r="G37" s="854">
        <v>5.59</v>
      </c>
      <c r="H37" s="857">
        <v>3.1481481481481478E-2</v>
      </c>
      <c r="I37" s="854" t="str">
        <f t="shared" si="1"/>
        <v>8:07</v>
      </c>
      <c r="J37" s="854"/>
      <c r="K37" s="854"/>
      <c r="L37" s="854" t="str">
        <f t="shared" si="2"/>
        <v>0:00</v>
      </c>
      <c r="M37" s="856"/>
      <c r="N37" s="856"/>
      <c r="O37" s="858"/>
      <c r="P37" s="863"/>
      <c r="Q37" s="862"/>
      <c r="R37" s="4"/>
      <c r="T37" s="16">
        <f t="shared" si="5"/>
        <v>72.820000000000007</v>
      </c>
      <c r="U37" s="868">
        <f t="shared" si="8"/>
        <v>73.628571428571419</v>
      </c>
      <c r="V37" s="4">
        <v>70</v>
      </c>
      <c r="W37" s="4">
        <f t="shared" si="9"/>
        <v>74</v>
      </c>
      <c r="X37" s="868">
        <f t="shared" si="10"/>
        <v>74.428571428571431</v>
      </c>
      <c r="Y37" s="4"/>
      <c r="Z37" s="869">
        <f t="shared" si="11"/>
        <v>0.56093755731451844</v>
      </c>
      <c r="AA37" s="4">
        <f>IF(H37*G37,LOOKUP(Z37,'Daniel''s Tables'!$Z$135:$Z$214,'Daniel''s Tables'!$AB$135:$AB$214),0)</f>
        <v>0.1</v>
      </c>
      <c r="AB37" s="869">
        <f t="shared" si="12"/>
        <v>4.5333333333333332</v>
      </c>
      <c r="AC37" s="871">
        <f t="shared" si="6"/>
        <v>110.17948333333335</v>
      </c>
      <c r="AD37" s="838">
        <f t="shared" si="7"/>
        <v>107.49485238095238</v>
      </c>
      <c r="AE37" s="838"/>
    </row>
    <row r="38" spans="1:32" ht="15.75" customHeight="1" x14ac:dyDescent="0.2">
      <c r="A38" s="915"/>
      <c r="B38" s="854">
        <v>97</v>
      </c>
      <c r="C38" s="855">
        <f t="shared" si="0"/>
        <v>45845</v>
      </c>
      <c r="D38" s="854" t="s">
        <v>33</v>
      </c>
      <c r="E38" s="856" t="s">
        <v>385</v>
      </c>
      <c r="F38" s="854">
        <v>8</v>
      </c>
      <c r="G38" s="854">
        <v>8.11</v>
      </c>
      <c r="H38" s="857">
        <v>4.2094907407407407E-2</v>
      </c>
      <c r="I38" s="854" t="str">
        <f t="shared" si="1"/>
        <v>7:28</v>
      </c>
      <c r="J38" s="854"/>
      <c r="K38" s="854"/>
      <c r="L38" s="854" t="str">
        <f t="shared" si="2"/>
        <v>0:00</v>
      </c>
      <c r="M38" s="854"/>
      <c r="N38" s="854"/>
      <c r="O38" s="858"/>
      <c r="P38" s="863"/>
      <c r="Q38" s="864"/>
      <c r="R38" s="4"/>
      <c r="T38" s="16">
        <f t="shared" si="5"/>
        <v>72.849999999999994</v>
      </c>
      <c r="U38" s="868">
        <f t="shared" si="8"/>
        <v>73.727142857142852</v>
      </c>
      <c r="V38" s="4">
        <v>70</v>
      </c>
      <c r="W38" s="4">
        <f t="shared" si="9"/>
        <v>74</v>
      </c>
      <c r="X38" s="868">
        <f t="shared" si="10"/>
        <v>75.142857142857139</v>
      </c>
      <c r="Y38" s="4"/>
      <c r="Z38" s="869">
        <f t="shared" si="11"/>
        <v>0.62071663640116581</v>
      </c>
      <c r="AA38" s="4">
        <f>IF(H38*G38,LOOKUP(Z38,'Daniel''s Tables'!$Z$135:$Z$214,'Daniel''s Tables'!$AB$135:$AB$214),0)</f>
        <v>0.13500000000000001</v>
      </c>
      <c r="AB38" s="869">
        <f t="shared" si="12"/>
        <v>8.183250000000001</v>
      </c>
      <c r="AC38" s="871">
        <f t="shared" si="6"/>
        <v>110.91666666666669</v>
      </c>
      <c r="AD38" s="838">
        <f t="shared" si="7"/>
        <v>109.14951904761905</v>
      </c>
      <c r="AE38" s="838"/>
    </row>
    <row r="39" spans="1:32" ht="15.75" customHeight="1" x14ac:dyDescent="0.2">
      <c r="A39" s="915"/>
      <c r="B39" s="854">
        <v>96</v>
      </c>
      <c r="C39" s="855">
        <f t="shared" si="0"/>
        <v>45846</v>
      </c>
      <c r="D39" s="854" t="s">
        <v>34</v>
      </c>
      <c r="E39" s="856" t="s">
        <v>487</v>
      </c>
      <c r="F39" s="854">
        <v>17</v>
      </c>
      <c r="G39" s="854">
        <f>11.1+5.03</f>
        <v>16.13</v>
      </c>
      <c r="H39" s="857">
        <f>TIME(1,28,49)  + TIME(0,37,5)</f>
        <v>8.7430555555555553E-2</v>
      </c>
      <c r="I39" s="854" t="str">
        <f>CONCATENATE(FLOOR((HOUR(H39)*60+MINUTE(H39)+SECOND(H39)/60)/IF(ISBLANK(G39),1,G39),1),":",TEXT(ROUND((((HOUR(H39)*60+MINUTE(H39)+SECOND(H39)/60)/IF(ISBLANK(G39),1,G39))-(FLOOR((HOUR(H39)*60+MINUTE(H39)+SECOND(H39)/60)/IF(ISBLANK(G39),1,G39),1)))*60,0),"00"))</f>
        <v>7:48</v>
      </c>
      <c r="J39" s="857">
        <v>1.6145833333333335E-2</v>
      </c>
      <c r="K39" s="854">
        <v>4.96</v>
      </c>
      <c r="L39" s="854" t="str">
        <f t="shared" si="2"/>
        <v>4:41</v>
      </c>
      <c r="M39" s="854"/>
      <c r="N39" s="854"/>
      <c r="O39" s="858"/>
      <c r="P39" s="863"/>
      <c r="Q39" s="864"/>
      <c r="R39" s="4"/>
      <c r="T39" s="16">
        <f>SUM(G33:G39)</f>
        <v>75.959999999999994</v>
      </c>
      <c r="U39" s="868">
        <f t="shared" si="8"/>
        <v>74.141428571428577</v>
      </c>
      <c r="V39" s="4">
        <v>70</v>
      </c>
      <c r="W39" s="4">
        <f t="shared" si="9"/>
        <v>75</v>
      </c>
      <c r="X39" s="868">
        <f t="shared" si="10"/>
        <v>75.142857142857139</v>
      </c>
      <c r="Y39" s="4"/>
      <c r="Z39" s="869">
        <f t="shared" si="11"/>
        <v>0.588244261434129</v>
      </c>
      <c r="AA39" s="4">
        <f>IF(H39*G39,LOOKUP(Z39,'Daniel''s Tables'!$Z$135:$Z$214,'Daniel''s Tables'!$AB$135:$AB$214),0)</f>
        <v>0.1</v>
      </c>
      <c r="AB39" s="869">
        <f t="shared" si="12"/>
        <v>12.59</v>
      </c>
      <c r="AC39" s="871">
        <f t="shared" si="6"/>
        <v>93.339266666666674</v>
      </c>
      <c r="AD39" s="838">
        <f t="shared" si="7"/>
        <v>106.94064285714288</v>
      </c>
      <c r="AE39" s="838"/>
    </row>
    <row r="40" spans="1:32" ht="15.75" customHeight="1" x14ac:dyDescent="0.2">
      <c r="A40" s="915"/>
      <c r="B40" s="854">
        <v>95</v>
      </c>
      <c r="C40" s="855">
        <f t="shared" si="0"/>
        <v>45847</v>
      </c>
      <c r="D40" s="854" t="s">
        <v>26</v>
      </c>
      <c r="E40" s="856" t="s">
        <v>384</v>
      </c>
      <c r="F40" s="854">
        <v>7</v>
      </c>
      <c r="G40" s="854">
        <v>7.1</v>
      </c>
      <c r="H40" s="857">
        <v>3.7395833333333336E-2</v>
      </c>
      <c r="I40" s="854" t="str">
        <f>CONCATENATE(FLOOR((HOUR(H40)*60+MINUTE(H40)+SECOND(H40)/60)/IF(ISBLANK(G40),1,G40),1),":",TEXT(ROUND((((HOUR(H40)*60+MINUTE(H40)+SECOND(H40)/60)/IF(ISBLANK(G40),1,G40))-(FLOOR((HOUR(H40)*60+MINUTE(H40)+SECOND(H40)/60)/IF(ISBLANK(G40),1,G40),1)))*60,0),"00"))</f>
        <v>7:35</v>
      </c>
      <c r="J40" s="854"/>
      <c r="K40" s="854"/>
      <c r="L40" s="854" t="str">
        <f t="shared" si="2"/>
        <v>0:00</v>
      </c>
      <c r="M40" s="854"/>
      <c r="N40" s="854"/>
      <c r="O40" s="858"/>
      <c r="P40" s="861"/>
      <c r="Q40" s="865"/>
      <c r="R40" s="4"/>
      <c r="T40" s="16">
        <f>SUM(G34:G40)</f>
        <v>74.449999999999989</v>
      </c>
      <c r="U40" s="868">
        <f t="shared" si="8"/>
        <v>74.34</v>
      </c>
      <c r="V40" s="4">
        <v>70</v>
      </c>
      <c r="W40" s="4">
        <f t="shared" si="9"/>
        <v>74</v>
      </c>
      <c r="X40" s="868">
        <f t="shared" si="10"/>
        <v>74.714285714285708</v>
      </c>
      <c r="Y40" s="4"/>
      <c r="Z40" s="869">
        <f t="shared" si="11"/>
        <v>0.60956123840745435</v>
      </c>
      <c r="AA40" s="4">
        <f>IF(H40*G40,LOOKUP(Z40,'Daniel''s Tables'!$Z$135:$Z$214,'Daniel''s Tables'!$AB$135:$AB$214),0)</f>
        <v>0.11599999999999999</v>
      </c>
      <c r="AB40" s="869">
        <f t="shared" si="12"/>
        <v>6.2465999999999999</v>
      </c>
      <c r="AC40" s="871">
        <f t="shared" si="6"/>
        <v>92.314866666666674</v>
      </c>
      <c r="AD40" s="838">
        <f t="shared" si="7"/>
        <v>104.55004285714288</v>
      </c>
      <c r="AE40" s="838"/>
    </row>
    <row r="41" spans="1:32" ht="15.75" customHeight="1" x14ac:dyDescent="0.2">
      <c r="A41" s="915"/>
      <c r="B41" s="854">
        <v>94</v>
      </c>
      <c r="C41" s="855">
        <f t="shared" si="0"/>
        <v>45848</v>
      </c>
      <c r="D41" s="854" t="s">
        <v>27</v>
      </c>
      <c r="E41" s="856" t="s">
        <v>437</v>
      </c>
      <c r="F41" s="854">
        <v>10</v>
      </c>
      <c r="G41" s="854">
        <v>8.01</v>
      </c>
      <c r="H41" s="857">
        <v>4.0740740740740737E-2</v>
      </c>
      <c r="I41" s="854" t="str">
        <f t="shared" si="1"/>
        <v>7:19</v>
      </c>
      <c r="J41" s="854"/>
      <c r="K41" s="854"/>
      <c r="L41" s="854" t="str">
        <f t="shared" si="2"/>
        <v>0:00</v>
      </c>
      <c r="M41" s="854"/>
      <c r="N41" s="859"/>
      <c r="O41" s="858"/>
      <c r="P41" s="861">
        <f>N42+P34</f>
        <v>1.6869791666666667</v>
      </c>
      <c r="Q41" s="865"/>
      <c r="R41" s="4"/>
      <c r="T41" s="16">
        <f t="shared" si="5"/>
        <v>72.27</v>
      </c>
      <c r="U41" s="868">
        <f t="shared" si="8"/>
        <v>74.838571428571427</v>
      </c>
      <c r="V41" s="4">
        <v>70</v>
      </c>
      <c r="W41" s="4">
        <f t="shared" si="9"/>
        <v>76</v>
      </c>
      <c r="X41" s="868">
        <f t="shared" si="10"/>
        <v>75.571428571428569</v>
      </c>
      <c r="Y41" s="4"/>
      <c r="Z41" s="869">
        <f t="shared" si="11"/>
        <v>0.63650972397460681</v>
      </c>
      <c r="AA41" s="4">
        <f>IF(H41*G41,LOOKUP(Z41,'Daniel''s Tables'!$Z$135:$Z$214,'Daniel''s Tables'!$AB$135:$AB$214),0)</f>
        <v>0.1585</v>
      </c>
      <c r="AB41" s="869">
        <f t="shared" si="12"/>
        <v>9.2986666666666657</v>
      </c>
      <c r="AC41" s="871">
        <f t="shared" si="6"/>
        <v>90.873783333333336</v>
      </c>
      <c r="AD41" s="838">
        <f t="shared" si="7"/>
        <v>104.95964761904763</v>
      </c>
      <c r="AE41" s="838"/>
    </row>
    <row r="42" spans="1:32" ht="15.75" customHeight="1" x14ac:dyDescent="0.2">
      <c r="A42" s="915"/>
      <c r="B42" s="854">
        <v>93</v>
      </c>
      <c r="C42" s="855">
        <f t="shared" si="0"/>
        <v>45849</v>
      </c>
      <c r="D42" s="854" t="s">
        <v>28</v>
      </c>
      <c r="E42" s="856" t="s">
        <v>381</v>
      </c>
      <c r="F42" s="854">
        <v>6</v>
      </c>
      <c r="G42" s="854">
        <v>8.02</v>
      </c>
      <c r="H42" s="857">
        <v>4.3599537037037034E-2</v>
      </c>
      <c r="I42" s="854" t="str">
        <f t="shared" si="1"/>
        <v>7:50</v>
      </c>
      <c r="J42" s="854"/>
      <c r="K42" s="854"/>
      <c r="L42" s="854" t="str">
        <f t="shared" si="2"/>
        <v>0:00</v>
      </c>
      <c r="M42" s="854"/>
      <c r="N42" s="859">
        <f>SUM(H37:H43)</f>
        <v>0.3727199074074074</v>
      </c>
      <c r="O42" s="858"/>
      <c r="P42" s="863">
        <f>N43+P35</f>
        <v>319.40999999999997</v>
      </c>
      <c r="Q42" s="866"/>
      <c r="R42" s="4"/>
      <c r="T42" s="16">
        <f t="shared" si="5"/>
        <v>61.97</v>
      </c>
      <c r="U42" s="868">
        <f t="shared" si="8"/>
        <v>71.938571428571422</v>
      </c>
      <c r="V42" s="4">
        <v>70</v>
      </c>
      <c r="W42" s="4">
        <f t="shared" si="9"/>
        <v>64</v>
      </c>
      <c r="X42" s="868">
        <f t="shared" si="10"/>
        <v>73</v>
      </c>
      <c r="Y42" s="4"/>
      <c r="Z42" s="869">
        <f t="shared" si="11"/>
        <v>0.58609838055916608</v>
      </c>
      <c r="AA42" s="4">
        <f>IF(H42*G42,LOOKUP(Z42,'Daniel''s Tables'!$Z$135:$Z$214,'Daniel''s Tables'!$AB$135:$AB$214),0)</f>
        <v>0.1</v>
      </c>
      <c r="AB42" s="869">
        <f t="shared" si="12"/>
        <v>6.2783333333333333</v>
      </c>
      <c r="AC42" s="871">
        <f t="shared" si="6"/>
        <v>54.71468333333334</v>
      </c>
      <c r="AD42" s="838">
        <f t="shared" si="7"/>
        <v>94.68760476190478</v>
      </c>
      <c r="AE42" s="838"/>
    </row>
    <row r="43" spans="1:32" ht="15.75" customHeight="1" x14ac:dyDescent="0.2">
      <c r="A43" s="915"/>
      <c r="B43" s="854">
        <v>92</v>
      </c>
      <c r="C43" s="855">
        <f t="shared" si="0"/>
        <v>45850</v>
      </c>
      <c r="D43" s="854" t="s">
        <v>30</v>
      </c>
      <c r="E43" s="856" t="s">
        <v>400</v>
      </c>
      <c r="F43" s="854">
        <f>2+(2*2) + (60/7.5) +2+2</f>
        <v>18</v>
      </c>
      <c r="G43" s="854">
        <v>19.16</v>
      </c>
      <c r="H43" s="857">
        <v>8.997685185185185E-2</v>
      </c>
      <c r="I43" s="854" t="str">
        <f t="shared" si="1"/>
        <v>6:46</v>
      </c>
      <c r="J43" s="857">
        <f>TIME(0,11,39) + TIME(0,11,22)+TIME(0,11,28)</f>
        <v>2.3946759259259258E-2</v>
      </c>
      <c r="K43" s="854">
        <v>6</v>
      </c>
      <c r="L43" s="854" t="str">
        <f t="shared" si="2"/>
        <v>5:45</v>
      </c>
      <c r="M43" s="856">
        <f>SUM(F37:F43)</f>
        <v>72</v>
      </c>
      <c r="N43" s="854">
        <f>SUM(G37:G43)</f>
        <v>72.11999999999999</v>
      </c>
      <c r="O43" s="858"/>
      <c r="P43" s="863">
        <f>M43+P36</f>
        <v>352</v>
      </c>
      <c r="Q43" s="862">
        <f>P42/P43</f>
        <v>0.90741477272727267</v>
      </c>
      <c r="R43" s="4"/>
      <c r="T43" s="16">
        <f t="shared" si="5"/>
        <v>72.11999999999999</v>
      </c>
      <c r="U43" s="868">
        <f t="shared" si="8"/>
        <v>71.777142857142849</v>
      </c>
      <c r="V43" s="4">
        <v>70</v>
      </c>
      <c r="W43" s="4">
        <f t="shared" si="9"/>
        <v>72</v>
      </c>
      <c r="X43" s="868">
        <f t="shared" si="10"/>
        <v>72.714285714285708</v>
      </c>
      <c r="Y43" s="4"/>
      <c r="Z43" s="869">
        <f t="shared" si="11"/>
        <v>0.70250946697766092</v>
      </c>
      <c r="AA43" s="4">
        <f>IF(H43*G43,LOOKUP(Z43,'Daniel''s Tables'!$Z$135:$Z$214,'Daniel''s Tables'!$AB$135:$AB$214),0)</f>
        <v>0.26649999999999996</v>
      </c>
      <c r="AB43" s="869">
        <f t="shared" si="12"/>
        <v>34.529516666666659</v>
      </c>
      <c r="AC43" s="871">
        <f t="shared" si="6"/>
        <v>81.659699999999987</v>
      </c>
      <c r="AD43" s="838">
        <f t="shared" si="7"/>
        <v>90.571207142857148</v>
      </c>
      <c r="AE43" s="838">
        <f>AC43</f>
        <v>81.659699999999987</v>
      </c>
    </row>
    <row r="44" spans="1:32" ht="15.75" customHeight="1" x14ac:dyDescent="0.2">
      <c r="A44" s="916" t="s">
        <v>38</v>
      </c>
      <c r="B44" s="6">
        <v>91</v>
      </c>
      <c r="C44" s="17">
        <f t="shared" si="0"/>
        <v>45851</v>
      </c>
      <c r="D44" s="6" t="s">
        <v>31</v>
      </c>
      <c r="E44" s="4" t="s">
        <v>381</v>
      </c>
      <c r="F44" s="6">
        <v>6</v>
      </c>
      <c r="G44" s="6">
        <v>6.13</v>
      </c>
      <c r="H44" s="29">
        <v>3.107638888888889E-2</v>
      </c>
      <c r="I44" s="6" t="str">
        <f t="shared" si="1"/>
        <v>7:18</v>
      </c>
      <c r="J44" s="6"/>
      <c r="K44" s="6"/>
      <c r="L44" s="6" t="str">
        <f t="shared" si="2"/>
        <v>0:00</v>
      </c>
      <c r="M44" s="4"/>
      <c r="N44" s="4"/>
      <c r="O44" s="16"/>
      <c r="P44" s="863"/>
      <c r="Q44" s="862"/>
      <c r="R44" s="4"/>
      <c r="T44" s="16">
        <f t="shared" si="5"/>
        <v>72.659999999999982</v>
      </c>
      <c r="U44" s="868">
        <f t="shared" si="8"/>
        <v>71.754285714285714</v>
      </c>
      <c r="V44" s="4">
        <v>70</v>
      </c>
      <c r="W44" s="4">
        <f t="shared" si="9"/>
        <v>72</v>
      </c>
      <c r="X44" s="868">
        <f t="shared" si="10"/>
        <v>72.428571428571431</v>
      </c>
      <c r="Y44" s="4"/>
      <c r="Z44" s="869">
        <f t="shared" si="11"/>
        <v>0.6391022850984307</v>
      </c>
      <c r="AA44" s="4">
        <f>IF(H44*G44,LOOKUP(Z44,'Daniel''s Tables'!$Z$135:$Z$214,'Daniel''s Tables'!$AB$135:$AB$214),0)</f>
        <v>0.1585</v>
      </c>
      <c r="AB44" s="869">
        <f t="shared" si="12"/>
        <v>7.0928750000000003</v>
      </c>
      <c r="AC44" s="871">
        <f t="shared" si="6"/>
        <v>84.219241666666662</v>
      </c>
      <c r="AD44" s="838">
        <f t="shared" si="7"/>
        <v>86.862601190476198</v>
      </c>
      <c r="AE44" s="838"/>
    </row>
    <row r="45" spans="1:32" ht="15.75" customHeight="1" x14ac:dyDescent="0.2">
      <c r="A45" s="916"/>
      <c r="B45" s="6">
        <v>90</v>
      </c>
      <c r="C45" s="17">
        <f t="shared" si="0"/>
        <v>45852</v>
      </c>
      <c r="D45" s="6" t="s">
        <v>33</v>
      </c>
      <c r="E45" s="4" t="s">
        <v>385</v>
      </c>
      <c r="F45" s="6">
        <v>8</v>
      </c>
      <c r="G45" s="6">
        <v>8.1</v>
      </c>
      <c r="H45" s="29">
        <v>4.4884259259259263E-2</v>
      </c>
      <c r="I45" s="6" t="str">
        <f t="shared" si="1"/>
        <v>7:59</v>
      </c>
      <c r="J45" s="6"/>
      <c r="K45" s="6"/>
      <c r="L45" s="6" t="str">
        <f t="shared" si="2"/>
        <v>0:00</v>
      </c>
      <c r="M45" s="6"/>
      <c r="N45" s="6"/>
      <c r="O45" s="16"/>
      <c r="P45" s="863"/>
      <c r="Q45" s="864"/>
      <c r="R45" s="4"/>
      <c r="T45" s="16">
        <f>SUM(G39:G45)</f>
        <v>72.649999999999977</v>
      </c>
      <c r="U45" s="868">
        <f t="shared" si="8"/>
        <v>71.725714285714275</v>
      </c>
      <c r="V45" s="4">
        <v>70</v>
      </c>
      <c r="W45" s="4">
        <f t="shared" si="9"/>
        <v>72</v>
      </c>
      <c r="X45" s="868">
        <f t="shared" si="10"/>
        <v>72.142857142857139</v>
      </c>
      <c r="Y45" s="4"/>
      <c r="Z45" s="869">
        <f t="shared" si="11"/>
        <v>0.57234755405808313</v>
      </c>
      <c r="AA45" s="4">
        <f>IF(H45*G45,LOOKUP(Z45,'Daniel''s Tables'!$Z$135:$Z$214,'Daniel''s Tables'!$AB$135:$AB$214),0)</f>
        <v>0.1</v>
      </c>
      <c r="AB45" s="869">
        <f t="shared" si="12"/>
        <v>6.4633333333333347</v>
      </c>
      <c r="AC45" s="871">
        <f t="shared" si="6"/>
        <v>82.499325000000013</v>
      </c>
      <c r="AD45" s="838">
        <f t="shared" si="7"/>
        <v>82.802980952380963</v>
      </c>
      <c r="AE45" s="838"/>
    </row>
    <row r="46" spans="1:32" ht="15.75" customHeight="1" x14ac:dyDescent="0.2">
      <c r="A46" s="916"/>
      <c r="B46" s="6">
        <v>89</v>
      </c>
      <c r="C46" s="17">
        <f t="shared" si="0"/>
        <v>45853</v>
      </c>
      <c r="D46" s="6" t="s">
        <v>34</v>
      </c>
      <c r="E46" s="4" t="s">
        <v>385</v>
      </c>
      <c r="F46" s="6">
        <v>8</v>
      </c>
      <c r="G46" s="828">
        <v>8.42</v>
      </c>
      <c r="H46" s="29">
        <v>4.4328703703703703E-2</v>
      </c>
      <c r="I46" s="6" t="str">
        <f t="shared" si="1"/>
        <v>7:35</v>
      </c>
      <c r="J46" s="6"/>
      <c r="K46" s="6"/>
      <c r="L46" s="6" t="str">
        <f t="shared" si="2"/>
        <v>0:00</v>
      </c>
      <c r="M46" s="6"/>
      <c r="N46" s="6"/>
      <c r="O46" s="16"/>
      <c r="P46" s="863"/>
      <c r="Q46" s="864"/>
      <c r="R46" s="4"/>
      <c r="T46" s="16">
        <f>SUM(G40:G46)</f>
        <v>64.94</v>
      </c>
      <c r="U46" s="868">
        <f t="shared" si="8"/>
        <v>70.151428571428553</v>
      </c>
      <c r="V46" s="4">
        <v>70</v>
      </c>
      <c r="W46" s="4">
        <f t="shared" si="9"/>
        <v>63</v>
      </c>
      <c r="X46" s="868">
        <f t="shared" si="10"/>
        <v>70.428571428571431</v>
      </c>
      <c r="Y46" s="4"/>
      <c r="Z46" s="869">
        <f t="shared" si="11"/>
        <v>0.60989522944953845</v>
      </c>
      <c r="AA46" s="4">
        <f>IF(H46*G46,LOOKUP(Z46,'Daniel''s Tables'!$Z$135:$Z$214,'Daniel''s Tables'!$AB$135:$AB$214),0)</f>
        <v>0.11599999999999999</v>
      </c>
      <c r="AB46" s="869">
        <f t="shared" si="12"/>
        <v>7.4046666666666665</v>
      </c>
      <c r="AC46" s="871">
        <f t="shared" si="6"/>
        <v>77.313991666666666</v>
      </c>
      <c r="AD46" s="838">
        <f t="shared" si="7"/>
        <v>80.513655952380958</v>
      </c>
      <c r="AE46" s="838"/>
    </row>
    <row r="47" spans="1:32" ht="15.75" customHeight="1" x14ac:dyDescent="0.2">
      <c r="A47" s="916"/>
      <c r="B47" s="6">
        <v>88</v>
      </c>
      <c r="C47" s="17">
        <f t="shared" si="0"/>
        <v>45854</v>
      </c>
      <c r="D47" s="6" t="s">
        <v>26</v>
      </c>
      <c r="E47" s="4" t="s">
        <v>381</v>
      </c>
      <c r="F47" s="6">
        <v>6</v>
      </c>
      <c r="G47" s="6">
        <v>6.1</v>
      </c>
      <c r="H47" s="29">
        <v>3.0914351851851853E-2</v>
      </c>
      <c r="I47" s="6" t="str">
        <f t="shared" si="1"/>
        <v>7:18</v>
      </c>
      <c r="J47" s="6"/>
      <c r="K47" s="6"/>
      <c r="L47" s="6" t="str">
        <f t="shared" si="2"/>
        <v>0:00</v>
      </c>
      <c r="M47" s="6"/>
      <c r="N47" s="6"/>
      <c r="O47" s="16"/>
      <c r="P47" s="863"/>
      <c r="Q47" s="865"/>
      <c r="R47" s="4"/>
      <c r="T47" s="16">
        <f t="shared" si="5"/>
        <v>63.940000000000005</v>
      </c>
      <c r="U47" s="868">
        <f t="shared" si="8"/>
        <v>68.649999999999991</v>
      </c>
      <c r="V47" s="4">
        <v>70</v>
      </c>
      <c r="W47" s="4">
        <f t="shared" si="9"/>
        <v>62</v>
      </c>
      <c r="X47" s="868">
        <f t="shared" si="10"/>
        <v>68.714285714285708</v>
      </c>
      <c r="Y47" s="4"/>
      <c r="Z47" s="869">
        <f t="shared" si="11"/>
        <v>0.6393568738119324</v>
      </c>
      <c r="AA47" s="4">
        <f>IF(H47*G47,LOOKUP(Z47,'Daniel''s Tables'!$Z$135:$Z$214,'Daniel''s Tables'!$AB$135:$AB$214),0)</f>
        <v>0.1585</v>
      </c>
      <c r="AB47" s="869">
        <f t="shared" si="12"/>
        <v>7.0558916666666667</v>
      </c>
      <c r="AC47" s="871">
        <f t="shared" si="6"/>
        <v>78.123283333333333</v>
      </c>
      <c r="AD47" s="838">
        <f t="shared" si="7"/>
        <v>78.486286904761897</v>
      </c>
      <c r="AE47" s="838"/>
    </row>
    <row r="48" spans="1:32" ht="15.75" customHeight="1" x14ac:dyDescent="0.2">
      <c r="A48" s="916"/>
      <c r="B48" s="6">
        <v>87</v>
      </c>
      <c r="C48" s="17">
        <f t="shared" si="0"/>
        <v>45855</v>
      </c>
      <c r="D48" s="6" t="s">
        <v>27</v>
      </c>
      <c r="E48" s="4" t="s">
        <v>446</v>
      </c>
      <c r="F48" s="6">
        <v>17</v>
      </c>
      <c r="G48" s="6">
        <v>14.04</v>
      </c>
      <c r="H48" s="29">
        <v>6.4895833333333333E-2</v>
      </c>
      <c r="I48" s="6" t="str">
        <f t="shared" si="1"/>
        <v>6:39</v>
      </c>
      <c r="J48" s="29">
        <f>TIME(0,11,15) + TIME(0,11,7) + TIME(0,11,6) + TIME(0,11,1)</f>
        <v>3.0891203703703705E-2</v>
      </c>
      <c r="K48" s="6">
        <v>8</v>
      </c>
      <c r="L48" s="6" t="str">
        <f t="shared" si="2"/>
        <v>5:34</v>
      </c>
      <c r="M48" s="6"/>
      <c r="N48" s="28"/>
      <c r="O48" s="16"/>
      <c r="P48" s="861">
        <f>N49+P41</f>
        <v>2.0303009259259261</v>
      </c>
      <c r="Q48" s="865"/>
      <c r="R48" s="4"/>
      <c r="T48" s="16">
        <f t="shared" si="5"/>
        <v>69.97</v>
      </c>
      <c r="U48" s="868">
        <f t="shared" si="8"/>
        <v>68.321428571428555</v>
      </c>
      <c r="V48" s="4">
        <v>70</v>
      </c>
      <c r="W48" s="4">
        <f t="shared" si="9"/>
        <v>69</v>
      </c>
      <c r="X48" s="868">
        <f t="shared" si="10"/>
        <v>67.714285714285708</v>
      </c>
      <c r="Y48" s="4"/>
      <c r="Z48" s="869">
        <f t="shared" si="11"/>
        <v>0.71639671037375352</v>
      </c>
      <c r="AA48" s="4">
        <f>IF(H48*G48,LOOKUP(Z48,'Daniel''s Tables'!$Z$135:$Z$214,'Daniel''s Tables'!$AB$135:$AB$214),0)</f>
        <v>0.29149999999999998</v>
      </c>
      <c r="AB48" s="869">
        <f t="shared" si="12"/>
        <v>27.240675</v>
      </c>
      <c r="AC48" s="871">
        <f t="shared" si="6"/>
        <v>96.065291666666653</v>
      </c>
      <c r="AD48" s="838">
        <f t="shared" si="7"/>
        <v>79.227930952380945</v>
      </c>
      <c r="AE48" s="838"/>
    </row>
    <row r="49" spans="1:31" ht="15.75" customHeight="1" x14ac:dyDescent="0.2">
      <c r="A49" s="916"/>
      <c r="B49" s="6">
        <v>86</v>
      </c>
      <c r="C49" s="17">
        <f t="shared" si="0"/>
        <v>45856</v>
      </c>
      <c r="D49" s="6" t="s">
        <v>28</v>
      </c>
      <c r="E49" s="4" t="s">
        <v>381</v>
      </c>
      <c r="F49" s="6">
        <v>6</v>
      </c>
      <c r="G49" s="6">
        <f>1.62+2.97+1.12</f>
        <v>5.71</v>
      </c>
      <c r="H49" s="29">
        <f>TIME(0,12,44) + TIME(0,16,13) + TIME(0,8,50)</f>
        <v>2.6238425925925925E-2</v>
      </c>
      <c r="I49" s="6" t="str">
        <f t="shared" si="1"/>
        <v>6:37</v>
      </c>
      <c r="J49" s="29">
        <v>1.1261574074074075E-2</v>
      </c>
      <c r="K49" s="6">
        <v>2.97</v>
      </c>
      <c r="L49" s="6" t="str">
        <f t="shared" si="2"/>
        <v>5:28</v>
      </c>
      <c r="M49" s="6"/>
      <c r="N49" s="28">
        <f>SUM(H44:H50)</f>
        <v>0.34332175925925928</v>
      </c>
      <c r="O49" s="16"/>
      <c r="P49" s="863">
        <f>N50+P42</f>
        <v>388</v>
      </c>
      <c r="Q49" s="866"/>
      <c r="R49" s="25"/>
      <c r="T49" s="16">
        <f t="shared" si="5"/>
        <v>67.66</v>
      </c>
      <c r="U49" s="868">
        <f t="shared" si="8"/>
        <v>69.13428571428571</v>
      </c>
      <c r="V49" s="4">
        <v>70</v>
      </c>
      <c r="W49" s="4">
        <f t="shared" si="9"/>
        <v>69</v>
      </c>
      <c r="X49" s="868">
        <f t="shared" si="10"/>
        <v>68.428571428571431</v>
      </c>
      <c r="Y49" s="4"/>
      <c r="Z49" s="869">
        <f t="shared" si="11"/>
        <v>0.72160397182671432</v>
      </c>
      <c r="AA49" s="4">
        <f>IF(H49*G49,LOOKUP(Z49,'Daniel''s Tables'!$Z$135:$Z$214,'Daniel''s Tables'!$AB$135:$AB$214),0)</f>
        <v>0.3</v>
      </c>
      <c r="AB49" s="869">
        <f t="shared" si="12"/>
        <v>11.334999999999999</v>
      </c>
      <c r="AC49" s="871">
        <f t="shared" si="6"/>
        <v>101.12195833333332</v>
      </c>
      <c r="AD49" s="838">
        <f t="shared" si="7"/>
        <v>85.857541666666663</v>
      </c>
      <c r="AE49" s="838"/>
    </row>
    <row r="50" spans="1:31" ht="15.75" customHeight="1" x14ac:dyDescent="0.2">
      <c r="A50" s="916"/>
      <c r="B50" s="6">
        <v>85</v>
      </c>
      <c r="C50" s="17">
        <f t="shared" si="0"/>
        <v>45857</v>
      </c>
      <c r="D50" s="6" t="s">
        <v>30</v>
      </c>
      <c r="E50" s="4" t="s">
        <v>397</v>
      </c>
      <c r="F50" s="6">
        <v>19</v>
      </c>
      <c r="G50" s="6">
        <v>20.09</v>
      </c>
      <c r="H50" s="29">
        <v>0.10098379629629629</v>
      </c>
      <c r="I50" s="6" t="str">
        <f t="shared" si="1"/>
        <v>7:14</v>
      </c>
      <c r="J50" s="29"/>
      <c r="K50" s="6"/>
      <c r="L50" s="6" t="str">
        <f t="shared" si="2"/>
        <v>0:00</v>
      </c>
      <c r="M50" s="4">
        <f>SUM(F44:F50)</f>
        <v>70</v>
      </c>
      <c r="N50" s="6">
        <f>SUM(G44:G50)</f>
        <v>68.59</v>
      </c>
      <c r="O50" s="16"/>
      <c r="P50" s="863">
        <f>M50+P43</f>
        <v>422</v>
      </c>
      <c r="Q50" s="862">
        <f>P49/P50</f>
        <v>0.91943127962085303</v>
      </c>
      <c r="R50" s="4"/>
      <c r="T50" s="16">
        <f t="shared" si="5"/>
        <v>68.59</v>
      </c>
      <c r="U50" s="868">
        <f t="shared" si="8"/>
        <v>68.63</v>
      </c>
      <c r="V50" s="4">
        <v>70</v>
      </c>
      <c r="W50" s="4">
        <f t="shared" si="9"/>
        <v>70</v>
      </c>
      <c r="X50" s="868">
        <f t="shared" si="10"/>
        <v>68.142857142857139</v>
      </c>
      <c r="Y50" s="4"/>
      <c r="Z50" s="869">
        <f t="shared" si="11"/>
        <v>0.6458723406490634</v>
      </c>
      <c r="AA50" s="4">
        <f>IF(H50*G50,LOOKUP(Z50,'Daniel''s Tables'!$Z$135:$Z$214,'Daniel''s Tables'!$AB$135:$AB$214),0)</f>
        <v>0.17499999999999999</v>
      </c>
      <c r="AB50" s="869">
        <f t="shared" si="12"/>
        <v>25.447916666666664</v>
      </c>
      <c r="AC50" s="871">
        <f t="shared" si="6"/>
        <v>92.04035833333333</v>
      </c>
      <c r="AD50" s="838">
        <f t="shared" si="7"/>
        <v>87.340492857142848</v>
      </c>
      <c r="AE50" s="838"/>
    </row>
    <row r="51" spans="1:31" ht="15.75" customHeight="1" x14ac:dyDescent="0.2">
      <c r="A51" s="915" t="s">
        <v>344</v>
      </c>
      <c r="B51" s="854">
        <v>84</v>
      </c>
      <c r="C51" s="855">
        <f t="shared" si="0"/>
        <v>45858</v>
      </c>
      <c r="D51" s="854" t="s">
        <v>31</v>
      </c>
      <c r="E51" s="856" t="s">
        <v>385</v>
      </c>
      <c r="F51" s="854">
        <v>8</v>
      </c>
      <c r="G51" s="854">
        <v>6.02</v>
      </c>
      <c r="H51" s="857">
        <v>3.1400462962962963E-2</v>
      </c>
      <c r="I51" s="854" t="str">
        <f t="shared" si="1"/>
        <v>7:31</v>
      </c>
      <c r="J51" s="854"/>
      <c r="K51" s="854"/>
      <c r="L51" s="854" t="str">
        <f t="shared" si="2"/>
        <v>0:00</v>
      </c>
      <c r="M51" s="856"/>
      <c r="N51" s="856"/>
      <c r="O51" s="858"/>
      <c r="P51" s="863"/>
      <c r="Q51" s="862"/>
      <c r="R51" s="4"/>
      <c r="T51" s="16">
        <f t="shared" si="5"/>
        <v>68.47999999999999</v>
      </c>
      <c r="U51" s="868">
        <f t="shared" si="8"/>
        <v>68.032857142857139</v>
      </c>
      <c r="V51" s="4">
        <v>70</v>
      </c>
      <c r="W51" s="4">
        <f t="shared" si="9"/>
        <v>72</v>
      </c>
      <c r="X51" s="868">
        <f t="shared" si="10"/>
        <v>68.142857142857139</v>
      </c>
      <c r="Y51" s="4"/>
      <c r="Z51" s="869">
        <f t="shared" si="11"/>
        <v>0.61695509015286509</v>
      </c>
      <c r="AA51" s="4">
        <f>IF(H51*G51,LOOKUP(Z51,'Daniel''s Tables'!$Z$135:$Z$214,'Daniel''s Tables'!$AB$135:$AB$214),0)</f>
        <v>0.1285</v>
      </c>
      <c r="AB51" s="869">
        <f t="shared" si="12"/>
        <v>5.810341666666667</v>
      </c>
      <c r="AC51" s="871">
        <f t="shared" si="6"/>
        <v>90.757825000000011</v>
      </c>
      <c r="AD51" s="838">
        <f t="shared" si="7"/>
        <v>88.274576190476196</v>
      </c>
      <c r="AE51" s="838"/>
    </row>
    <row r="52" spans="1:31" ht="15.75" customHeight="1" x14ac:dyDescent="0.2">
      <c r="A52" s="915"/>
      <c r="B52" s="854">
        <v>83</v>
      </c>
      <c r="C52" s="855">
        <f t="shared" si="0"/>
        <v>45859</v>
      </c>
      <c r="D52" s="854" t="s">
        <v>33</v>
      </c>
      <c r="E52" s="856" t="s">
        <v>437</v>
      </c>
      <c r="F52" s="854">
        <v>10</v>
      </c>
      <c r="G52" s="854">
        <f>6.01+5.95</f>
        <v>11.96</v>
      </c>
      <c r="H52" s="857">
        <f>TIME(0,50,25) + TIME(0,46,29)</f>
        <v>6.7291666666666666E-2</v>
      </c>
      <c r="I52" s="854" t="str">
        <f>CONCATENATE(FLOOR((HOUR(H52)*60+MINUTE(H52)+SECOND(H52)/60)/IF(ISBLANK(G52),1,G52),1),":",TEXT(ROUND((((HOUR(H52)*60+MINUTE(H52)+SECOND(H52)/60)/IF(ISBLANK(G52),1,G52))-(FLOOR((HOUR(H52)*60+MINUTE(H52)+SECOND(H52)/60)/IF(ISBLANK(G52),1,G52),1)))*60,0),"00"))</f>
        <v>8:06</v>
      </c>
      <c r="J52" s="854"/>
      <c r="K52" s="854"/>
      <c r="L52" s="854" t="str">
        <f t="shared" si="2"/>
        <v>0:00</v>
      </c>
      <c r="M52" s="854"/>
      <c r="N52" s="854"/>
      <c r="O52" s="858"/>
      <c r="P52" s="863"/>
      <c r="Q52" s="864"/>
      <c r="R52" s="4"/>
      <c r="T52" s="16">
        <f t="shared" si="5"/>
        <v>72.34</v>
      </c>
      <c r="U52" s="868">
        <f t="shared" si="8"/>
        <v>67.988571428571433</v>
      </c>
      <c r="V52" s="4">
        <v>70</v>
      </c>
      <c r="W52" s="4">
        <f t="shared" si="9"/>
        <v>74</v>
      </c>
      <c r="X52" s="868">
        <f t="shared" si="10"/>
        <v>68.428571428571431</v>
      </c>
      <c r="Y52" s="4"/>
      <c r="Z52" s="869">
        <f t="shared" si="11"/>
        <v>0.56160182602697439</v>
      </c>
      <c r="AA52" s="4">
        <f>IF(H52*G52,LOOKUP(Z52,'Daniel''s Tables'!$Z$135:$Z$214,'Daniel''s Tables'!$AB$135:$AB$214),0)</f>
        <v>0.1</v>
      </c>
      <c r="AB52" s="869">
        <f t="shared" si="12"/>
        <v>9.6900000000000013</v>
      </c>
      <c r="AC52" s="871">
        <f t="shared" si="6"/>
        <v>93.984491666666671</v>
      </c>
      <c r="AD52" s="838">
        <f t="shared" si="7"/>
        <v>89.915314285714302</v>
      </c>
      <c r="AE52" s="838"/>
    </row>
    <row r="53" spans="1:31" ht="15.75" customHeight="1" x14ac:dyDescent="0.2">
      <c r="A53" s="915"/>
      <c r="B53" s="854">
        <v>82</v>
      </c>
      <c r="C53" s="855">
        <f t="shared" si="0"/>
        <v>45860</v>
      </c>
      <c r="D53" s="854" t="s">
        <v>34</v>
      </c>
      <c r="E53" s="856" t="s">
        <v>394</v>
      </c>
      <c r="F53" s="854">
        <v>16</v>
      </c>
      <c r="G53" s="854">
        <v>17.350000000000001</v>
      </c>
      <c r="H53" s="857">
        <v>7.795138888888889E-2</v>
      </c>
      <c r="I53" s="854" t="str">
        <f t="shared" ref="I53:I58" si="13">CONCATENATE(FLOOR((HOUR(H53)*60+MINUTE(H53)+SECOND(H53)/60)/IF(ISBLANK(G53),1,G53),1),":",TEXT(ROUND((((HOUR(H53)*60+MINUTE(H53)+SECOND(H53)/60)/IF(ISBLANK(G53),1,G53))-(FLOOR((HOUR(H53)*60+MINUTE(H53)+SECOND(H53)/60)/IF(ISBLANK(G53),1,G53),1)))*60,0),"00"))</f>
        <v>6:28</v>
      </c>
      <c r="J53" s="857">
        <f>TIME(0,22,45) + TIME(0,17,6) + TIME(0,11,25) + TIME(0,5,37)</f>
        <v>3.950231481481481E-2</v>
      </c>
      <c r="K53" s="854">
        <v>10</v>
      </c>
      <c r="L53" s="854" t="str">
        <f>CONCATENATE(FLOOR((HOUR(J53)*60+MINUTE(J53)+SECOND(J53)/60)/IF(ISBLANK(K53),1,K53),1),":",TEXT(ROUND((((HOUR(J53)*60+MINUTE(J53)+SECOND(J53)/60)/IF(ISBLANK(K53),1,K53))-(FLOOR((HOUR(J53)*60+MINUTE(J53)+SECOND(J53)/60)/IF(ISBLANK(K53),1,K53),1)))*60,0),"00"))</f>
        <v>5:41</v>
      </c>
      <c r="M53" s="854"/>
      <c r="N53" s="854"/>
      <c r="O53" s="858"/>
      <c r="P53" s="863"/>
      <c r="Q53" s="864"/>
      <c r="R53" s="4"/>
      <c r="T53" s="16">
        <f t="shared" si="5"/>
        <v>81.27</v>
      </c>
      <c r="U53" s="868">
        <f t="shared" si="8"/>
        <v>70.321428571428569</v>
      </c>
      <c r="V53" s="4">
        <v>70</v>
      </c>
      <c r="W53" s="4">
        <f t="shared" si="9"/>
        <v>82</v>
      </c>
      <c r="X53" s="868">
        <f t="shared" si="10"/>
        <v>71.142857142857139</v>
      </c>
      <c r="Y53" s="4"/>
      <c r="Z53" s="869">
        <f t="shared" si="11"/>
        <v>0.74193420681726252</v>
      </c>
      <c r="AA53" s="4">
        <f>IF(H53*G53,LOOKUP(Z53,'Daniel''s Tables'!$Z$135:$Z$214,'Daniel''s Tables'!$AB$135:$AB$214),0)</f>
        <v>0.33300000000000002</v>
      </c>
      <c r="AB53" s="869">
        <f t="shared" si="12"/>
        <v>37.379249999999999</v>
      </c>
      <c r="AC53" s="871">
        <f t="shared" si="6"/>
        <v>123.959075</v>
      </c>
      <c r="AD53" s="838">
        <f t="shared" si="7"/>
        <v>96.578897619047623</v>
      </c>
      <c r="AE53" s="838"/>
    </row>
    <row r="54" spans="1:31" ht="15.75" customHeight="1" x14ac:dyDescent="0.2">
      <c r="A54" s="915"/>
      <c r="B54" s="854">
        <v>81</v>
      </c>
      <c r="C54" s="855">
        <f t="shared" si="0"/>
        <v>45861</v>
      </c>
      <c r="D54" s="854" t="s">
        <v>26</v>
      </c>
      <c r="E54" s="856" t="s">
        <v>385</v>
      </c>
      <c r="F54" s="854">
        <v>8</v>
      </c>
      <c r="G54" s="854">
        <v>8.0399999999999991</v>
      </c>
      <c r="H54" s="857">
        <v>4.1215277777777781E-2</v>
      </c>
      <c r="I54" s="854" t="str">
        <f t="shared" si="13"/>
        <v>7:23</v>
      </c>
      <c r="J54" s="857"/>
      <c r="K54" s="854"/>
      <c r="L54" s="854" t="str">
        <f>CONCATENATE(FLOOR((HOUR(J54)*60+MINUTE(J54)+SECOND(J54)/60)/IF(ISBLANK(K54),1,K54),1),":",TEXT(ROUND((((HOUR(J54)*60+MINUTE(J54)+SECOND(J54)/60)/IF(ISBLANK(K54),1,K54))-(FLOOR((HOUR(J54)*60+MINUTE(J54)+SECOND(J54)/60)/IF(ISBLANK(K54),1,K54),1)))*60,0),"00"))</f>
        <v>0:00</v>
      </c>
      <c r="M54" s="854"/>
      <c r="N54" s="854"/>
      <c r="O54" s="858"/>
      <c r="P54" s="861"/>
      <c r="Q54" s="865"/>
      <c r="R54" s="4"/>
      <c r="T54" s="16">
        <f t="shared" si="5"/>
        <v>83.210000000000008</v>
      </c>
      <c r="U54" s="868">
        <f t="shared" si="8"/>
        <v>73.074285714285708</v>
      </c>
      <c r="V54" s="4">
        <v>70</v>
      </c>
      <c r="W54" s="4">
        <f t="shared" si="9"/>
        <v>84</v>
      </c>
      <c r="X54" s="868">
        <f t="shared" si="10"/>
        <v>74.285714285714292</v>
      </c>
      <c r="Y54" s="4"/>
      <c r="Z54" s="869">
        <f t="shared" si="11"/>
        <v>0.63036041729566039</v>
      </c>
      <c r="AA54" s="4">
        <f>IF(H54*G54,LOOKUP(Z54,'Daniel''s Tables'!$Z$135:$Z$214,'Daniel''s Tables'!$AB$135:$AB$214),0)</f>
        <v>0.15</v>
      </c>
      <c r="AB54" s="869">
        <f t="shared" si="12"/>
        <v>8.9025000000000016</v>
      </c>
      <c r="AC54" s="871">
        <f t="shared" si="6"/>
        <v>125.80568333333333</v>
      </c>
      <c r="AD54" s="838">
        <f t="shared" si="7"/>
        <v>103.39066904761906</v>
      </c>
      <c r="AE54" s="838"/>
    </row>
    <row r="55" spans="1:31" ht="15.75" customHeight="1" x14ac:dyDescent="0.2">
      <c r="A55" s="915"/>
      <c r="B55" s="854">
        <v>80</v>
      </c>
      <c r="C55" s="855">
        <f t="shared" si="0"/>
        <v>45862</v>
      </c>
      <c r="D55" s="854" t="s">
        <v>27</v>
      </c>
      <c r="E55" s="856" t="s">
        <v>437</v>
      </c>
      <c r="F55" s="854">
        <v>10</v>
      </c>
      <c r="G55" s="854">
        <f>7.5+3.84</f>
        <v>11.34</v>
      </c>
      <c r="H55" s="857">
        <f>TIME(0,55,52) + TIME(0,34,57)</f>
        <v>6.3067129629629626E-2</v>
      </c>
      <c r="I55" s="854" t="str">
        <f t="shared" si="13"/>
        <v>8:01</v>
      </c>
      <c r="J55" s="857">
        <f>TIME(0,0,62) +TIME(0,0,75) + 4*(TIME(0,0,80)) + TIME(0,0,74) + TIME(0,0,79) + TIME(0,0,81) + TIME(0,0,56)</f>
        <v>8.6458333333333335E-3</v>
      </c>
      <c r="K55" s="854">
        <f>0.25*10</f>
        <v>2.5</v>
      </c>
      <c r="L55" s="854" t="str">
        <f t="shared" si="2"/>
        <v>4:59</v>
      </c>
      <c r="M55" s="854"/>
      <c r="N55" s="859"/>
      <c r="O55" s="858" t="s">
        <v>498</v>
      </c>
      <c r="P55" s="861">
        <f>N56+P48</f>
        <v>2.4422337962962963</v>
      </c>
      <c r="Q55" s="865"/>
      <c r="R55" s="4"/>
      <c r="T55" s="16">
        <f t="shared" si="5"/>
        <v>80.510000000000005</v>
      </c>
      <c r="U55" s="868">
        <f t="shared" si="8"/>
        <v>74.58</v>
      </c>
      <c r="V55" s="4">
        <v>70</v>
      </c>
      <c r="W55" s="4">
        <f t="shared" si="9"/>
        <v>77</v>
      </c>
      <c r="X55" s="868">
        <f t="shared" si="10"/>
        <v>75.428571428571431</v>
      </c>
      <c r="Y55" s="4"/>
      <c r="Z55" s="869">
        <f t="shared" si="11"/>
        <v>0.5697640169031698</v>
      </c>
      <c r="AA55" s="4">
        <f>IF(H55*G55,LOOKUP(Z55,'Daniel''s Tables'!$Z$135:$Z$214,'Daniel''s Tables'!$AB$135:$AB$214),0)</f>
        <v>0.1</v>
      </c>
      <c r="AB55" s="869">
        <f t="shared" si="12"/>
        <v>9.081666666666667</v>
      </c>
      <c r="AC55" s="871">
        <f t="shared" si="6"/>
        <v>107.646675</v>
      </c>
      <c r="AD55" s="838">
        <f t="shared" si="7"/>
        <v>105.04515238095237</v>
      </c>
      <c r="AE55" s="838"/>
    </row>
    <row r="56" spans="1:31" ht="15.75" customHeight="1" x14ac:dyDescent="0.2">
      <c r="A56" s="915"/>
      <c r="B56" s="854">
        <v>79</v>
      </c>
      <c r="C56" s="855">
        <f t="shared" si="0"/>
        <v>45863</v>
      </c>
      <c r="D56" s="854" t="s">
        <v>28</v>
      </c>
      <c r="E56" s="856" t="s">
        <v>385</v>
      </c>
      <c r="F56" s="854">
        <v>8</v>
      </c>
      <c r="G56" s="854">
        <v>7.5</v>
      </c>
      <c r="H56" s="857">
        <v>4.1134259259259259E-2</v>
      </c>
      <c r="I56" s="854" t="str">
        <f t="shared" si="13"/>
        <v>7:54</v>
      </c>
      <c r="J56" s="854"/>
      <c r="K56" s="854"/>
      <c r="L56" s="854" t="str">
        <f t="shared" si="2"/>
        <v>0:00</v>
      </c>
      <c r="M56" s="854"/>
      <c r="N56" s="859">
        <f>SUM(H51:H57)</f>
        <v>0.41193287037037041</v>
      </c>
      <c r="O56" s="858"/>
      <c r="P56" s="863">
        <f>N57+P49</f>
        <v>470.31</v>
      </c>
      <c r="Q56" s="866"/>
      <c r="R56" s="4"/>
      <c r="T56" s="16">
        <f t="shared" si="5"/>
        <v>82.3</v>
      </c>
      <c r="U56" s="868">
        <f t="shared" si="8"/>
        <v>76.671428571428564</v>
      </c>
      <c r="V56" s="4">
        <v>70</v>
      </c>
      <c r="W56" s="4">
        <f t="shared" si="9"/>
        <v>79</v>
      </c>
      <c r="X56" s="868">
        <f t="shared" si="10"/>
        <v>76.857142857142861</v>
      </c>
      <c r="Y56" s="4"/>
      <c r="Z56" s="869">
        <f t="shared" si="11"/>
        <v>0.57970732493414345</v>
      </c>
      <c r="AA56" s="4">
        <f>IF(H56*G56,LOOKUP(Z56,'Daniel''s Tables'!$Z$135:$Z$214,'Daniel''s Tables'!$AB$135:$AB$214),0)</f>
        <v>0.1</v>
      </c>
      <c r="AB56" s="869">
        <f t="shared" si="12"/>
        <v>5.9233333333333338</v>
      </c>
      <c r="AC56" s="871">
        <f t="shared" si="6"/>
        <v>102.23500833333333</v>
      </c>
      <c r="AD56" s="838">
        <f t="shared" si="7"/>
        <v>105.20415952380951</v>
      </c>
      <c r="AE56" s="838"/>
    </row>
    <row r="57" spans="1:31" ht="15.75" customHeight="1" x14ac:dyDescent="0.2">
      <c r="A57" s="915"/>
      <c r="B57" s="854">
        <v>78</v>
      </c>
      <c r="C57" s="855">
        <f t="shared" si="0"/>
        <v>45864</v>
      </c>
      <c r="D57" s="854" t="s">
        <v>30</v>
      </c>
      <c r="E57" s="856" t="s">
        <v>486</v>
      </c>
      <c r="F57" s="854">
        <v>20</v>
      </c>
      <c r="G57" s="854">
        <v>20.100000000000001</v>
      </c>
      <c r="H57" s="857">
        <v>8.987268518518518E-2</v>
      </c>
      <c r="I57" s="854" t="str">
        <f t="shared" si="13"/>
        <v>6:26</v>
      </c>
      <c r="J57" s="857">
        <f>TIME(0,47,2) +TIME(0,5,37) + TIME(0,23,20) +TIME(0,5,33)</f>
        <v>5.662037037037037E-2</v>
      </c>
      <c r="K57" s="854">
        <v>14</v>
      </c>
      <c r="L57" s="854" t="str">
        <f t="shared" si="2"/>
        <v>5:49</v>
      </c>
      <c r="M57" s="856">
        <f>SUM(F51:F57)</f>
        <v>80</v>
      </c>
      <c r="N57" s="854">
        <f>SUM(G51:G57)</f>
        <v>82.31</v>
      </c>
      <c r="O57" s="858"/>
      <c r="P57" s="863">
        <f>M57+P50</f>
        <v>502</v>
      </c>
      <c r="Q57" s="862">
        <f>P56/P57</f>
        <v>0.93687250996015936</v>
      </c>
      <c r="R57" s="4"/>
      <c r="T57" s="16">
        <f t="shared" si="5"/>
        <v>82.31</v>
      </c>
      <c r="U57" s="868">
        <f t="shared" si="8"/>
        <v>78.631428571428572</v>
      </c>
      <c r="V57" s="4">
        <v>70</v>
      </c>
      <c r="W57" s="4">
        <f t="shared" si="9"/>
        <v>80</v>
      </c>
      <c r="X57" s="868">
        <f t="shared" si="10"/>
        <v>78.285714285714292</v>
      </c>
      <c r="Y57" s="4"/>
      <c r="Z57" s="869">
        <f t="shared" si="11"/>
        <v>0.7463586938203387</v>
      </c>
      <c r="AA57" s="4">
        <f>IF(H57*G57,LOOKUP(Z57,'Daniel''s Tables'!$Z$135:$Z$214,'Daniel''s Tables'!$AB$135:$AB$214),0)</f>
        <v>0.34150000000000003</v>
      </c>
      <c r="AB57" s="869">
        <f t="shared" si="12"/>
        <v>44.195791666666665</v>
      </c>
      <c r="AC57" s="871">
        <f t="shared" si="6"/>
        <v>120.98288333333333</v>
      </c>
      <c r="AD57" s="838">
        <f t="shared" si="7"/>
        <v>109.33880595238095</v>
      </c>
      <c r="AE57" s="838">
        <f>AC57</f>
        <v>120.98288333333333</v>
      </c>
    </row>
    <row r="58" spans="1:31" ht="15.75" customHeight="1" x14ac:dyDescent="0.2">
      <c r="A58" s="916" t="s">
        <v>39</v>
      </c>
      <c r="B58" s="6">
        <v>77</v>
      </c>
      <c r="C58" s="17">
        <f t="shared" si="0"/>
        <v>45865</v>
      </c>
      <c r="D58" s="6" t="s">
        <v>31</v>
      </c>
      <c r="E58" s="4" t="s">
        <v>384</v>
      </c>
      <c r="F58" s="6">
        <v>7</v>
      </c>
      <c r="G58" s="6">
        <v>7.02</v>
      </c>
      <c r="H58" s="29">
        <v>4.0358796296296295E-2</v>
      </c>
      <c r="I58" s="6" t="str">
        <f t="shared" si="13"/>
        <v>8:17</v>
      </c>
      <c r="J58" s="6"/>
      <c r="K58" s="6"/>
      <c r="L58" s="6" t="str">
        <f t="shared" si="2"/>
        <v>0:00</v>
      </c>
      <c r="M58" s="4"/>
      <c r="N58" s="4"/>
      <c r="O58" s="16"/>
      <c r="P58" s="863"/>
      <c r="Q58" s="862"/>
      <c r="R58" s="4"/>
      <c r="T58" s="16">
        <f t="shared" si="5"/>
        <v>83.309999999999988</v>
      </c>
      <c r="U58" s="868">
        <f t="shared" si="8"/>
        <v>80.75</v>
      </c>
      <c r="V58" s="4">
        <v>70</v>
      </c>
      <c r="W58" s="4">
        <f t="shared" si="9"/>
        <v>79</v>
      </c>
      <c r="X58" s="868">
        <f t="shared" si="10"/>
        <v>79.285714285714292</v>
      </c>
      <c r="Y58" s="4"/>
      <c r="Z58" s="869">
        <f t="shared" si="11"/>
        <v>0.54672095771562268</v>
      </c>
      <c r="AA58" s="4">
        <f>IF(H58*G58,LOOKUP(Z58,'Daniel''s Tables'!$Z$135:$Z$214,'Daniel''s Tables'!$AB$135:$AB$214),0)</f>
        <v>0.1</v>
      </c>
      <c r="AB58" s="869">
        <f t="shared" si="12"/>
        <v>5.8116666666666674</v>
      </c>
      <c r="AC58" s="871">
        <f t="shared" si="6"/>
        <v>120.98420833333333</v>
      </c>
      <c r="AD58" s="838">
        <f t="shared" si="7"/>
        <v>113.65686071428571</v>
      </c>
      <c r="AE58" s="838"/>
    </row>
    <row r="59" spans="1:31" ht="15.75" customHeight="1" x14ac:dyDescent="0.2">
      <c r="A59" s="916"/>
      <c r="B59" s="6">
        <v>76</v>
      </c>
      <c r="C59" s="17">
        <f t="shared" si="0"/>
        <v>45866</v>
      </c>
      <c r="D59" s="6" t="s">
        <v>33</v>
      </c>
      <c r="E59" s="4" t="s">
        <v>384</v>
      </c>
      <c r="F59" s="6">
        <v>7</v>
      </c>
      <c r="G59" s="6">
        <v>7.6</v>
      </c>
      <c r="H59" s="29">
        <v>4.1967592592592591E-2</v>
      </c>
      <c r="I59" s="6" t="str">
        <f>CONCATENATE(FLOOR((HOUR(H59)*60+MINUTE(H59)+SECOND(H59)/60)/IF(ISBLANK(G59),1,G59),1),":",TEXT(ROUND((((HOUR(H59)*60+MINUTE(H59)+SECOND(H59)/60)/IF(ISBLANK(G59),1,G59))-(FLOOR((HOUR(H59)*60+MINUTE(H59)+SECOND(H59)/60)/IF(ISBLANK(G59),1,G59),1)))*60,0),"00"))</f>
        <v>7:57</v>
      </c>
      <c r="J59" s="6"/>
      <c r="K59" s="6"/>
      <c r="L59" s="6" t="str">
        <f t="shared" si="2"/>
        <v>0:00</v>
      </c>
      <c r="M59" s="6"/>
      <c r="N59" s="6"/>
      <c r="O59" s="16"/>
      <c r="P59" s="863"/>
      <c r="Q59" s="864"/>
      <c r="R59" s="4"/>
      <c r="T59" s="16">
        <f t="shared" si="5"/>
        <v>78.95</v>
      </c>
      <c r="U59" s="868">
        <f t="shared" si="8"/>
        <v>81.694285714285712</v>
      </c>
      <c r="V59" s="4">
        <v>70</v>
      </c>
      <c r="W59" s="4">
        <f t="shared" si="9"/>
        <v>76</v>
      </c>
      <c r="X59" s="868">
        <f t="shared" si="10"/>
        <v>79.571428571428569</v>
      </c>
      <c r="Y59" s="4"/>
      <c r="Z59" s="869">
        <f t="shared" si="11"/>
        <v>0.57482322786373818</v>
      </c>
      <c r="AA59" s="4">
        <f>IF(H59*G59,LOOKUP(Z59,'Daniel''s Tables'!$Z$135:$Z$214,'Daniel''s Tables'!$AB$135:$AB$214),0)</f>
        <v>0.1</v>
      </c>
      <c r="AB59" s="869">
        <f t="shared" si="12"/>
        <v>6.043333333333333</v>
      </c>
      <c r="AC59" s="871">
        <f t="shared" si="6"/>
        <v>117.33754166666667</v>
      </c>
      <c r="AD59" s="838">
        <f t="shared" si="7"/>
        <v>116.9930107142857</v>
      </c>
      <c r="AE59" s="838"/>
    </row>
    <row r="60" spans="1:31" ht="15.75" customHeight="1" x14ac:dyDescent="0.2">
      <c r="A60" s="916"/>
      <c r="B60" s="6">
        <v>75</v>
      </c>
      <c r="C60" s="17">
        <f t="shared" si="0"/>
        <v>45867</v>
      </c>
      <c r="D60" s="6" t="s">
        <v>34</v>
      </c>
      <c r="E60" s="4" t="s">
        <v>405</v>
      </c>
      <c r="F60" s="6">
        <v>17</v>
      </c>
      <c r="G60" s="6">
        <f>12.01 +5.53</f>
        <v>17.54</v>
      </c>
      <c r="H60" s="29">
        <f>TIME(1,23,17) + TIME(0,43,21)</f>
        <v>8.7939814814814818E-2</v>
      </c>
      <c r="I60" s="6" t="str">
        <f t="shared" ref="I60:I123" si="14">CONCATENATE(FLOOR((HOUR(H60)*60+MINUTE(H60)+SECOND(H60)/60)/IF(ISBLANK(G60),1,G60),1),":",TEXT(ROUND((((HOUR(H60)*60+MINUTE(H60)+SECOND(H60)/60)/IF(ISBLANK(G60),1,G60))-(FLOOR((HOUR(H60)*60+MINUTE(H60)+SECOND(H60)/60)/IF(ISBLANK(G60),1,G60),1)))*60,0),"00"))</f>
        <v>7:13</v>
      </c>
      <c r="J60" s="29">
        <f>TIME(0,3,15)+TIME(0,3,13)+TIME(0,3,18)+TIME(0,3,11)+TIME(0,3,13)+TIME(0,3,10)+TIME(0,1,11)+TIME(0,0,72)+TIME(0,0,69)+TIME(0,0,68)</f>
        <v>1.666666666666667E-2</v>
      </c>
      <c r="K60" s="6">
        <f>(6*0.63)+(4*0.25)</f>
        <v>4.78</v>
      </c>
      <c r="L60" s="6" t="str">
        <f t="shared" si="2"/>
        <v>5:01</v>
      </c>
      <c r="M60" s="6"/>
      <c r="N60" s="6"/>
      <c r="O60" s="16"/>
      <c r="P60" s="863"/>
      <c r="Q60" s="864"/>
      <c r="R60" s="4"/>
      <c r="T60" s="16">
        <f t="shared" si="5"/>
        <v>79.14</v>
      </c>
      <c r="U60" s="868">
        <f t="shared" si="8"/>
        <v>81.39</v>
      </c>
      <c r="V60" s="4">
        <v>70</v>
      </c>
      <c r="W60" s="4">
        <f t="shared" si="9"/>
        <v>77</v>
      </c>
      <c r="X60" s="868">
        <f t="shared" si="10"/>
        <v>78.857142857142861</v>
      </c>
      <c r="Y60" s="4"/>
      <c r="Z60" s="869">
        <f t="shared" si="11"/>
        <v>0.64792854235263231</v>
      </c>
      <c r="AA60" s="4">
        <f>IF(H60*G60,LOOKUP(Z60,'Daniel''s Tables'!$Z$135:$Z$214,'Daniel''s Tables'!$AB$135:$AB$214),0)</f>
        <v>0.17499999999999999</v>
      </c>
      <c r="AB60" s="869">
        <f t="shared" si="12"/>
        <v>22.160833333333333</v>
      </c>
      <c r="AC60" s="871">
        <f t="shared" si="6"/>
        <v>102.119125</v>
      </c>
      <c r="AD60" s="838">
        <f t="shared" si="7"/>
        <v>113.87301785714284</v>
      </c>
      <c r="AE60" s="838"/>
    </row>
    <row r="61" spans="1:31" ht="15.75" customHeight="1" x14ac:dyDescent="0.2">
      <c r="A61" s="916"/>
      <c r="B61" s="6">
        <v>74</v>
      </c>
      <c r="C61" s="17">
        <f t="shared" si="0"/>
        <v>45868</v>
      </c>
      <c r="D61" s="6" t="s">
        <v>26</v>
      </c>
      <c r="E61" s="4" t="s">
        <v>385</v>
      </c>
      <c r="F61" s="6">
        <v>8</v>
      </c>
      <c r="G61" s="6">
        <v>7.01</v>
      </c>
      <c r="H61" s="29">
        <v>3.6770833333333336E-2</v>
      </c>
      <c r="I61" s="6" t="str">
        <f t="shared" si="14"/>
        <v>7:33</v>
      </c>
      <c r="J61" s="6"/>
      <c r="K61" s="6"/>
      <c r="L61" s="6" t="str">
        <f t="shared" si="2"/>
        <v>0:00</v>
      </c>
      <c r="M61" s="6"/>
      <c r="N61" s="6"/>
      <c r="O61" s="16"/>
      <c r="P61" s="861"/>
      <c r="Q61" s="865"/>
      <c r="R61" s="4"/>
      <c r="T61" s="16">
        <f t="shared" si="5"/>
        <v>78.11</v>
      </c>
      <c r="U61" s="868">
        <f t="shared" si="8"/>
        <v>80.661428571428573</v>
      </c>
      <c r="V61" s="4">
        <v>70</v>
      </c>
      <c r="W61" s="4">
        <f t="shared" si="9"/>
        <v>77</v>
      </c>
      <c r="X61" s="868">
        <f t="shared" si="10"/>
        <v>77.857142857142861</v>
      </c>
      <c r="Y61" s="4"/>
      <c r="Z61" s="869">
        <f t="shared" si="11"/>
        <v>0.61266454619584332</v>
      </c>
      <c r="AA61" s="4">
        <f>IF(H61*G61,LOOKUP(Z61,'Daniel''s Tables'!$Z$135:$Z$214,'Daniel''s Tables'!$AB$135:$AB$214),0)</f>
        <v>0.122</v>
      </c>
      <c r="AB61" s="869">
        <f t="shared" si="12"/>
        <v>6.4599000000000002</v>
      </c>
      <c r="AC61" s="871">
        <f t="shared" si="6"/>
        <v>99.676525000000012</v>
      </c>
      <c r="AD61" s="838">
        <f t="shared" si="7"/>
        <v>110.14028095238095</v>
      </c>
      <c r="AE61" s="838"/>
    </row>
    <row r="62" spans="1:31" ht="15.75" customHeight="1" x14ac:dyDescent="0.2">
      <c r="A62" s="916"/>
      <c r="B62" s="6">
        <v>73</v>
      </c>
      <c r="C62" s="17">
        <f t="shared" si="0"/>
        <v>45869</v>
      </c>
      <c r="D62" s="6" t="s">
        <v>27</v>
      </c>
      <c r="E62" s="4" t="s">
        <v>433</v>
      </c>
      <c r="F62" s="6">
        <v>9</v>
      </c>
      <c r="G62" s="6">
        <v>11.02</v>
      </c>
      <c r="H62" s="29">
        <v>5.8611111111111114E-2</v>
      </c>
      <c r="I62" s="6" t="str">
        <f t="shared" si="14"/>
        <v>7:40</v>
      </c>
      <c r="J62" s="6"/>
      <c r="K62" s="6"/>
      <c r="L62" s="6" t="str">
        <f t="shared" si="2"/>
        <v>0:00</v>
      </c>
      <c r="M62" s="6"/>
      <c r="N62" s="28"/>
      <c r="O62" s="16"/>
      <c r="P62" s="861">
        <f>N63+P55</f>
        <v>2.8334722222222224</v>
      </c>
      <c r="Q62" s="865"/>
      <c r="R62" s="4"/>
      <c r="T62" s="16">
        <f t="shared" si="5"/>
        <v>77.790000000000006</v>
      </c>
      <c r="U62" s="868">
        <f t="shared" si="8"/>
        <v>80.272857142857134</v>
      </c>
      <c r="V62" s="4">
        <v>70</v>
      </c>
      <c r="W62" s="4">
        <f t="shared" si="9"/>
        <v>76</v>
      </c>
      <c r="X62" s="868">
        <f t="shared" si="10"/>
        <v>77.714285714285708</v>
      </c>
      <c r="Y62" s="4"/>
      <c r="Z62" s="869">
        <f t="shared" si="11"/>
        <v>0.60223877108743451</v>
      </c>
      <c r="AA62" s="4">
        <f>IF(H62*G62,LOOKUP(Z62,'Daniel''s Tables'!$Z$135:$Z$214,'Daniel''s Tables'!$AB$135:$AB$214),0)</f>
        <v>0.11</v>
      </c>
      <c r="AB62" s="869">
        <f t="shared" si="12"/>
        <v>9.2840000000000007</v>
      </c>
      <c r="AC62" s="871">
        <f t="shared" si="6"/>
        <v>99.878858333333341</v>
      </c>
      <c r="AD62" s="838">
        <f t="shared" si="7"/>
        <v>109.03059285714286</v>
      </c>
      <c r="AE62" s="838"/>
    </row>
    <row r="63" spans="1:31" ht="15.75" customHeight="1" x14ac:dyDescent="0.2">
      <c r="A63" s="916"/>
      <c r="B63" s="6">
        <v>72</v>
      </c>
      <c r="C63" s="17">
        <f t="shared" si="0"/>
        <v>45870</v>
      </c>
      <c r="D63" s="6" t="s">
        <v>28</v>
      </c>
      <c r="E63" s="4" t="s">
        <v>442</v>
      </c>
      <c r="F63" s="6">
        <v>5</v>
      </c>
      <c r="G63" s="6">
        <v>5.4</v>
      </c>
      <c r="H63" s="29">
        <v>2.9166666666666667E-2</v>
      </c>
      <c r="I63" s="6" t="str">
        <f t="shared" si="14"/>
        <v>7:47</v>
      </c>
      <c r="J63" s="6"/>
      <c r="K63" s="6"/>
      <c r="L63" s="6" t="str">
        <f t="shared" si="2"/>
        <v>0:00</v>
      </c>
      <c r="M63" s="6"/>
      <c r="N63" s="28">
        <f>SUM(H58:H64)</f>
        <v>0.39123842592592595</v>
      </c>
      <c r="O63" s="16"/>
      <c r="P63" s="863">
        <f>N64+P56</f>
        <v>546.08000000000004</v>
      </c>
      <c r="Q63" s="866"/>
      <c r="R63" s="4"/>
      <c r="T63" s="16">
        <f t="shared" si="5"/>
        <v>75.69</v>
      </c>
      <c r="U63" s="868">
        <f t="shared" si="8"/>
        <v>79.328571428571422</v>
      </c>
      <c r="V63" s="4">
        <v>70</v>
      </c>
      <c r="W63" s="4">
        <f t="shared" si="9"/>
        <v>73</v>
      </c>
      <c r="X63" s="868">
        <f t="shared" si="10"/>
        <v>76.857142857142861</v>
      </c>
      <c r="Y63" s="4"/>
      <c r="Z63" s="869">
        <f t="shared" si="11"/>
        <v>0.59083174089472845</v>
      </c>
      <c r="AA63" s="4">
        <f>IF(H63*G63,LOOKUP(Z63,'Daniel''s Tables'!$Z$135:$Z$214,'Daniel''s Tables'!$AB$135:$AB$214),0)</f>
        <v>0.1</v>
      </c>
      <c r="AB63" s="869">
        <f t="shared" si="12"/>
        <v>4.2</v>
      </c>
      <c r="AC63" s="871">
        <f t="shared" si="6"/>
        <v>98.155525000000011</v>
      </c>
      <c r="AD63" s="838">
        <f t="shared" si="7"/>
        <v>108.44780952380952</v>
      </c>
      <c r="AE63" s="838"/>
    </row>
    <row r="64" spans="1:31" ht="15.75" customHeight="1" x14ac:dyDescent="0.2">
      <c r="A64" s="916"/>
      <c r="B64" s="6">
        <v>71</v>
      </c>
      <c r="C64" s="17">
        <f t="shared" si="0"/>
        <v>45871</v>
      </c>
      <c r="D64" s="6" t="s">
        <v>30</v>
      </c>
      <c r="E64" s="4" t="s">
        <v>404</v>
      </c>
      <c r="F64" s="6">
        <v>19</v>
      </c>
      <c r="G64" s="6">
        <f>17.07+3.11</f>
        <v>20.18</v>
      </c>
      <c r="H64" s="29">
        <f>TIME(1,57,27) + TIME(0,21,24)</f>
        <v>9.6423611111111113E-2</v>
      </c>
      <c r="I64" s="6" t="str">
        <f t="shared" si="14"/>
        <v>6:53</v>
      </c>
      <c r="J64" s="29">
        <f>TIME(0,5,42)+TIME(0,5,38)+TIME(0,5,38)</f>
        <v>1.1782407407407408E-2</v>
      </c>
      <c r="K64" s="6">
        <v>3</v>
      </c>
      <c r="L64" s="6" t="str">
        <f t="shared" si="2"/>
        <v>5:39</v>
      </c>
      <c r="M64" s="4">
        <f>SUM(F58:F64)</f>
        <v>72</v>
      </c>
      <c r="N64" s="6">
        <f>SUM(G58:G64)</f>
        <v>75.77</v>
      </c>
      <c r="O64" s="16"/>
      <c r="P64" s="863">
        <f>M64+P57</f>
        <v>574</v>
      </c>
      <c r="Q64" s="862">
        <f>P63/P64</f>
        <v>0.95135888501742172</v>
      </c>
      <c r="R64" s="4"/>
      <c r="T64" s="16">
        <f t="shared" si="5"/>
        <v>75.77</v>
      </c>
      <c r="U64" s="868">
        <f t="shared" si="8"/>
        <v>78.394285714285715</v>
      </c>
      <c r="V64" s="4">
        <v>70</v>
      </c>
      <c r="W64" s="4">
        <f t="shared" si="9"/>
        <v>72</v>
      </c>
      <c r="X64" s="868">
        <f t="shared" si="10"/>
        <v>75.714285714285708</v>
      </c>
      <c r="Y64" s="4"/>
      <c r="Z64" s="869">
        <f t="shared" si="11"/>
        <v>0.68763127211701125</v>
      </c>
      <c r="AA64" s="4">
        <f>IF(H64*G64,LOOKUP(Z64,'Daniel''s Tables'!$Z$135:$Z$214,'Daniel''s Tables'!$AB$135:$AB$214),0)</f>
        <v>0.24149999999999999</v>
      </c>
      <c r="AB64" s="869">
        <f t="shared" si="12"/>
        <v>33.532274999999998</v>
      </c>
      <c r="AC64" s="871">
        <f t="shared" si="6"/>
        <v>87.492008333333331</v>
      </c>
      <c r="AD64" s="838">
        <f t="shared" si="7"/>
        <v>103.6633988095238</v>
      </c>
      <c r="AE64" s="838">
        <f>AC64</f>
        <v>87.492008333333331</v>
      </c>
    </row>
    <row r="65" spans="1:31" ht="15.75" customHeight="1" x14ac:dyDescent="0.2">
      <c r="A65" s="915" t="s">
        <v>40</v>
      </c>
      <c r="B65" s="854">
        <v>70</v>
      </c>
      <c r="C65" s="855">
        <f t="shared" si="0"/>
        <v>45872</v>
      </c>
      <c r="D65" s="854" t="s">
        <v>31</v>
      </c>
      <c r="E65" s="856" t="s">
        <v>380</v>
      </c>
      <c r="F65" s="854">
        <v>5</v>
      </c>
      <c r="G65" s="854">
        <v>5.0199999999999996</v>
      </c>
      <c r="H65" s="857">
        <v>2.7083333333333334E-2</v>
      </c>
      <c r="I65" s="854" t="str">
        <f t="shared" si="14"/>
        <v>7:46</v>
      </c>
      <c r="J65" s="854"/>
      <c r="K65" s="854"/>
      <c r="L65" s="854" t="str">
        <f t="shared" si="2"/>
        <v>0:00</v>
      </c>
      <c r="M65" s="856"/>
      <c r="N65" s="856"/>
      <c r="O65" s="858"/>
      <c r="P65" s="863"/>
      <c r="Q65" s="862"/>
      <c r="R65" s="4"/>
      <c r="T65" s="16">
        <f t="shared" si="5"/>
        <v>73.77</v>
      </c>
      <c r="U65" s="868">
        <f t="shared" si="8"/>
        <v>77.031428571428577</v>
      </c>
      <c r="V65" s="4">
        <v>70</v>
      </c>
      <c r="W65" s="4">
        <f t="shared" si="9"/>
        <v>70</v>
      </c>
      <c r="X65" s="868">
        <f t="shared" si="10"/>
        <v>74.428571428571431</v>
      </c>
      <c r="Y65" s="4"/>
      <c r="Z65" s="869">
        <f t="shared" si="11"/>
        <v>0.59166740503262205</v>
      </c>
      <c r="AA65" s="4">
        <f>IF(H65*G65,LOOKUP(Z65,'Daniel''s Tables'!$Z$135:$Z$214,'Daniel''s Tables'!$AB$135:$AB$214),0)</f>
        <v>0.1</v>
      </c>
      <c r="AB65" s="869">
        <f t="shared" si="12"/>
        <v>3.9000000000000004</v>
      </c>
      <c r="AC65" s="871">
        <f t="shared" si="6"/>
        <v>85.580341666666669</v>
      </c>
      <c r="AD65" s="838">
        <f t="shared" si="7"/>
        <v>98.605703571428563</v>
      </c>
      <c r="AE65" s="838"/>
    </row>
    <row r="66" spans="1:31" ht="15.75" customHeight="1" x14ac:dyDescent="0.2">
      <c r="A66" s="915"/>
      <c r="B66" s="854">
        <v>69</v>
      </c>
      <c r="C66" s="855">
        <f t="shared" si="0"/>
        <v>45873</v>
      </c>
      <c r="D66" s="854" t="s">
        <v>33</v>
      </c>
      <c r="E66" s="856" t="s">
        <v>500</v>
      </c>
      <c r="F66" s="854">
        <v>5</v>
      </c>
      <c r="G66" s="854">
        <v>5.01</v>
      </c>
      <c r="H66" s="857">
        <v>2.7511574074074074E-2</v>
      </c>
      <c r="I66" s="854" t="str">
        <f t="shared" si="14"/>
        <v>7:54</v>
      </c>
      <c r="J66" s="854"/>
      <c r="K66" s="854"/>
      <c r="L66" s="854" t="str">
        <f t="shared" si="2"/>
        <v>0:00</v>
      </c>
      <c r="M66" s="854"/>
      <c r="N66" s="854"/>
      <c r="O66" s="858"/>
      <c r="P66" s="863"/>
      <c r="Q66" s="864"/>
      <c r="R66" s="4"/>
      <c r="T66" s="16">
        <f t="shared" si="5"/>
        <v>71.179999999999993</v>
      </c>
      <c r="U66" s="868">
        <f t="shared" si="8"/>
        <v>75.921428571428564</v>
      </c>
      <c r="V66" s="4">
        <v>70</v>
      </c>
      <c r="W66" s="4">
        <f t="shared" si="9"/>
        <v>68</v>
      </c>
      <c r="X66" s="868">
        <f t="shared" si="10"/>
        <v>73.285714285714292</v>
      </c>
      <c r="Y66" s="4"/>
      <c r="Z66" s="869">
        <f t="shared" si="11"/>
        <v>0.57882055436716584</v>
      </c>
      <c r="AA66" s="4">
        <f>IF(H66*G66,LOOKUP(Z66,'Daniel''s Tables'!$Z$135:$Z$214,'Daniel''s Tables'!$AB$135:$AB$214),0)</f>
        <v>0.1</v>
      </c>
      <c r="AB66" s="869">
        <f t="shared" si="12"/>
        <v>3.9616666666666669</v>
      </c>
      <c r="AC66" s="871">
        <f t="shared" si="6"/>
        <v>83.49867500000002</v>
      </c>
      <c r="AD66" s="838">
        <f t="shared" si="7"/>
        <v>93.771579761904789</v>
      </c>
      <c r="AE66" s="838"/>
    </row>
    <row r="67" spans="1:31" ht="15.75" customHeight="1" x14ac:dyDescent="0.2">
      <c r="A67" s="915"/>
      <c r="B67" s="854">
        <v>68</v>
      </c>
      <c r="C67" s="855">
        <f t="shared" si="0"/>
        <v>45874</v>
      </c>
      <c r="D67" s="854" t="s">
        <v>34</v>
      </c>
      <c r="E67" s="856" t="s">
        <v>499</v>
      </c>
      <c r="F67" s="854">
        <v>10</v>
      </c>
      <c r="G67" s="854">
        <f>3.23+6.08+2</f>
        <v>11.31</v>
      </c>
      <c r="H67" s="857">
        <f>TIME(0,24,13) + TIME(0,34,38) + TIME(0,17,12)</f>
        <v>5.2812500000000005E-2</v>
      </c>
      <c r="I67" s="854" t="str">
        <f t="shared" si="14"/>
        <v>6:43</v>
      </c>
      <c r="J67" s="857">
        <f>TIME(0,34,38)</f>
        <v>2.4050925925925927E-2</v>
      </c>
      <c r="K67" s="854">
        <v>6.08</v>
      </c>
      <c r="L67" s="854" t="str">
        <f t="shared" si="2"/>
        <v>5:42</v>
      </c>
      <c r="M67" s="854"/>
      <c r="N67" s="854"/>
      <c r="O67" s="858"/>
      <c r="P67" s="863"/>
      <c r="Q67" s="864"/>
      <c r="R67" s="4"/>
      <c r="T67" s="16">
        <f t="shared" si="5"/>
        <v>64.949999999999989</v>
      </c>
      <c r="U67" s="868">
        <f t="shared" si="8"/>
        <v>73.894285714285715</v>
      </c>
      <c r="V67" s="4">
        <v>70</v>
      </c>
      <c r="W67" s="4">
        <f t="shared" si="9"/>
        <v>61</v>
      </c>
      <c r="X67" s="868">
        <f t="shared" si="10"/>
        <v>71</v>
      </c>
      <c r="Y67" s="4"/>
      <c r="Z67" s="869">
        <f t="shared" si="11"/>
        <v>0.70744260517745194</v>
      </c>
      <c r="AA67" s="4">
        <f>IF(H67*G67,LOOKUP(Z67,'Daniel''s Tables'!$Z$135:$Z$214,'Daniel''s Tables'!$AB$135:$AB$214),0)</f>
        <v>0.26649999999999996</v>
      </c>
      <c r="AB67" s="869">
        <f t="shared" si="12"/>
        <v>20.267325</v>
      </c>
      <c r="AC67" s="871">
        <f t="shared" si="6"/>
        <v>81.605166666666662</v>
      </c>
      <c r="AD67" s="838">
        <f t="shared" si="7"/>
        <v>90.841014285714309</v>
      </c>
      <c r="AE67" s="838"/>
    </row>
    <row r="68" spans="1:31" ht="15.75" customHeight="1" x14ac:dyDescent="0.2">
      <c r="A68" s="915"/>
      <c r="B68" s="854">
        <v>67</v>
      </c>
      <c r="C68" s="855">
        <f t="shared" si="0"/>
        <v>45875</v>
      </c>
      <c r="D68" s="854" t="s">
        <v>26</v>
      </c>
      <c r="E68" s="856" t="s">
        <v>380</v>
      </c>
      <c r="F68" s="854">
        <v>5</v>
      </c>
      <c r="G68" s="854">
        <v>5.07</v>
      </c>
      <c r="H68" s="857">
        <v>2.9212962962962961E-2</v>
      </c>
      <c r="I68" s="854" t="str">
        <f t="shared" si="14"/>
        <v>8:18</v>
      </c>
      <c r="J68" s="854"/>
      <c r="K68" s="854"/>
      <c r="L68" s="854" t="str">
        <f t="shared" si="2"/>
        <v>0:00</v>
      </c>
      <c r="M68" s="854"/>
      <c r="N68" s="854"/>
      <c r="O68" s="858"/>
      <c r="P68" s="861"/>
      <c r="Q68" s="865"/>
      <c r="R68" s="4"/>
      <c r="T68" s="16">
        <f t="shared" si="5"/>
        <v>63.010000000000005</v>
      </c>
      <c r="U68" s="868">
        <f t="shared" si="8"/>
        <v>71.737142857142857</v>
      </c>
      <c r="V68" s="4">
        <v>70</v>
      </c>
      <c r="W68" s="4">
        <f t="shared" si="9"/>
        <v>58</v>
      </c>
      <c r="X68" s="868">
        <f t="shared" si="10"/>
        <v>68.285714285714292</v>
      </c>
      <c r="Y68" s="4"/>
      <c r="Z68" s="869">
        <f t="shared" si="11"/>
        <v>0.54520758455221374</v>
      </c>
      <c r="AA68" s="4">
        <f>IF(H68*G68,LOOKUP(Z68,'Daniel''s Tables'!$Z$135:$Z$214,'Daniel''s Tables'!$AB$135:$AB$214),0)</f>
        <v>0.1</v>
      </c>
      <c r="AB68" s="869">
        <f t="shared" si="12"/>
        <v>4.2066666666666661</v>
      </c>
      <c r="AC68" s="871">
        <f t="shared" si="6"/>
        <v>79.351933333333321</v>
      </c>
      <c r="AD68" s="838">
        <f t="shared" si="7"/>
        <v>87.937501190476198</v>
      </c>
      <c r="AE68" s="838"/>
    </row>
    <row r="69" spans="1:31" ht="15.75" customHeight="1" x14ac:dyDescent="0.2">
      <c r="A69" s="915"/>
      <c r="B69" s="854">
        <v>66</v>
      </c>
      <c r="C69" s="855">
        <f t="shared" si="0"/>
        <v>45876</v>
      </c>
      <c r="D69" s="854" t="s">
        <v>27</v>
      </c>
      <c r="E69" s="856" t="s">
        <v>406</v>
      </c>
      <c r="F69" s="854">
        <v>18</v>
      </c>
      <c r="G69" s="854">
        <v>18.03</v>
      </c>
      <c r="H69" s="857">
        <v>7.8333333333333338E-2</v>
      </c>
      <c r="I69" s="854" t="str">
        <f t="shared" si="14"/>
        <v>6:15</v>
      </c>
      <c r="J69" s="857">
        <v>5.7118055555555554E-2</v>
      </c>
      <c r="K69" s="854">
        <v>14</v>
      </c>
      <c r="L69" s="854" t="str">
        <f t="shared" si="2"/>
        <v>5:53</v>
      </c>
      <c r="M69" s="854"/>
      <c r="N69" s="859"/>
      <c r="O69" s="858"/>
      <c r="P69" s="861">
        <f>N70+P62</f>
        <v>3.1807754629629632</v>
      </c>
      <c r="Q69" s="865"/>
      <c r="R69" s="4"/>
      <c r="T69" s="16">
        <f t="shared" si="5"/>
        <v>70.02000000000001</v>
      </c>
      <c r="U69" s="868">
        <f t="shared" si="8"/>
        <v>70.627142857142857</v>
      </c>
      <c r="V69" s="4">
        <v>70</v>
      </c>
      <c r="W69" s="4">
        <f t="shared" si="9"/>
        <v>67</v>
      </c>
      <c r="X69" s="868">
        <f t="shared" si="10"/>
        <v>67</v>
      </c>
      <c r="Y69" s="4"/>
      <c r="Z69" s="869">
        <f t="shared" si="11"/>
        <v>0.7732944832054508</v>
      </c>
      <c r="AA69" s="4">
        <f>IF(H69*G69,LOOKUP(Z69,'Daniel''s Tables'!$Z$135:$Z$214,'Daniel''s Tables'!$AB$135:$AB$214),0)</f>
        <v>0.39200000000000002</v>
      </c>
      <c r="AB69" s="869">
        <f t="shared" si="12"/>
        <v>44.217600000000004</v>
      </c>
      <c r="AC69" s="871">
        <f t="shared" si="6"/>
        <v>114.28553333333333</v>
      </c>
      <c r="AD69" s="838">
        <f t="shared" si="7"/>
        <v>89.995597619047629</v>
      </c>
      <c r="AE69" s="838"/>
    </row>
    <row r="70" spans="1:31" ht="15.75" customHeight="1" x14ac:dyDescent="0.2">
      <c r="A70" s="915"/>
      <c r="B70" s="854">
        <v>65</v>
      </c>
      <c r="C70" s="855">
        <f t="shared" si="0"/>
        <v>45877</v>
      </c>
      <c r="D70" s="854" t="s">
        <v>28</v>
      </c>
      <c r="E70" s="856" t="s">
        <v>442</v>
      </c>
      <c r="F70" s="854">
        <v>5</v>
      </c>
      <c r="G70" s="854">
        <v>5.01</v>
      </c>
      <c r="H70" s="857">
        <v>2.8275462962962964E-2</v>
      </c>
      <c r="I70" s="854" t="str">
        <f t="shared" si="14"/>
        <v>8:08</v>
      </c>
      <c r="J70" s="854"/>
      <c r="K70" s="854"/>
      <c r="L70" s="854" t="str">
        <f t="shared" si="2"/>
        <v>0:00</v>
      </c>
      <c r="M70" s="854"/>
      <c r="N70" s="859">
        <f>SUM(H65:H71)</f>
        <v>0.34730324074074076</v>
      </c>
      <c r="O70" s="858"/>
      <c r="P70" s="863">
        <f>N71+P63</f>
        <v>615.63</v>
      </c>
      <c r="Q70" s="866"/>
      <c r="R70" s="4"/>
      <c r="T70" s="16">
        <f t="shared" si="5"/>
        <v>69.63000000000001</v>
      </c>
      <c r="U70" s="868">
        <f t="shared" si="8"/>
        <v>69.761428571428567</v>
      </c>
      <c r="V70" s="4">
        <v>70</v>
      </c>
      <c r="W70" s="4">
        <f t="shared" si="9"/>
        <v>67</v>
      </c>
      <c r="X70" s="868">
        <f t="shared" si="10"/>
        <v>66.142857142857139</v>
      </c>
      <c r="Y70" s="4"/>
      <c r="Z70" s="869">
        <f t="shared" si="11"/>
        <v>0.55944755257261436</v>
      </c>
      <c r="AA70" s="4">
        <f>IF(H70*G70,LOOKUP(Z70,'Daniel''s Tables'!$Z$135:$Z$214,'Daniel''s Tables'!$AB$135:$AB$214),0)</f>
        <v>0.1</v>
      </c>
      <c r="AB70" s="869">
        <f t="shared" si="12"/>
        <v>4.0716666666666672</v>
      </c>
      <c r="AC70" s="871">
        <f t="shared" si="6"/>
        <v>114.1572</v>
      </c>
      <c r="AD70" s="838">
        <f t="shared" si="7"/>
        <v>92.281551190476193</v>
      </c>
      <c r="AE70" s="838"/>
    </row>
    <row r="71" spans="1:31" ht="15.75" customHeight="1" x14ac:dyDescent="0.2">
      <c r="A71" s="915"/>
      <c r="B71" s="854">
        <v>64</v>
      </c>
      <c r="C71" s="855">
        <f t="shared" si="0"/>
        <v>45878</v>
      </c>
      <c r="D71" s="854" t="s">
        <v>30</v>
      </c>
      <c r="E71" s="856" t="s">
        <v>411</v>
      </c>
      <c r="F71" s="854">
        <v>20</v>
      </c>
      <c r="G71" s="854">
        <v>20.100000000000001</v>
      </c>
      <c r="H71" s="857">
        <v>0.10407407407407407</v>
      </c>
      <c r="I71" s="854" t="str">
        <f t="shared" si="14"/>
        <v>7:27</v>
      </c>
      <c r="J71" s="857"/>
      <c r="K71" s="854"/>
      <c r="L71" s="854" t="str">
        <f t="shared" si="2"/>
        <v>0:00</v>
      </c>
      <c r="M71" s="856">
        <f>SUM(F65:F71)</f>
        <v>68</v>
      </c>
      <c r="N71" s="854">
        <f>SUM(G65:G71)</f>
        <v>69.55</v>
      </c>
      <c r="O71" s="858"/>
      <c r="P71" s="863">
        <f>M71+P64</f>
        <v>642</v>
      </c>
      <c r="Q71" s="862">
        <f>P70/P71</f>
        <v>0.95892523364485982</v>
      </c>
      <c r="R71" s="4"/>
      <c r="T71" s="16">
        <f t="shared" si="5"/>
        <v>69.55</v>
      </c>
      <c r="U71" s="868">
        <f t="shared" si="8"/>
        <v>68.872857142857143</v>
      </c>
      <c r="V71" s="4">
        <v>70</v>
      </c>
      <c r="W71" s="4">
        <f t="shared" si="9"/>
        <v>68</v>
      </c>
      <c r="X71" s="868">
        <f t="shared" si="10"/>
        <v>65.571428571428569</v>
      </c>
      <c r="Y71" s="4"/>
      <c r="Z71" s="869">
        <f t="shared" si="11"/>
        <v>0.62259999023522994</v>
      </c>
      <c r="AA71" s="4">
        <f>IF(H71*G71,LOOKUP(Z71,'Daniel''s Tables'!$Z$135:$Z$214,'Daniel''s Tables'!$AB$135:$AB$214),0)</f>
        <v>0.13500000000000001</v>
      </c>
      <c r="AB71" s="869">
        <f t="shared" si="12"/>
        <v>20.231999999999999</v>
      </c>
      <c r="AC71" s="871">
        <f t="shared" si="6"/>
        <v>100.856925</v>
      </c>
      <c r="AD71" s="838">
        <f t="shared" si="7"/>
        <v>94.190825000000004</v>
      </c>
      <c r="AE71" s="838">
        <f>AC71</f>
        <v>100.856925</v>
      </c>
    </row>
    <row r="72" spans="1:31" ht="15.75" customHeight="1" x14ac:dyDescent="0.2">
      <c r="A72" s="916" t="s">
        <v>41</v>
      </c>
      <c r="B72" s="6">
        <v>63</v>
      </c>
      <c r="C72" s="17">
        <f t="shared" si="0"/>
        <v>45879</v>
      </c>
      <c r="D72" s="6" t="s">
        <v>31</v>
      </c>
      <c r="E72" s="4" t="s">
        <v>437</v>
      </c>
      <c r="F72" s="6">
        <v>10</v>
      </c>
      <c r="G72" s="6">
        <f>4+1.2+2.34</f>
        <v>7.54</v>
      </c>
      <c r="H72" s="29">
        <f>TIME(0,33,57) + TIME(0,5,56) + TIME(0,18,27)</f>
        <v>4.0509259259259259E-2</v>
      </c>
      <c r="I72" s="6" t="str">
        <f t="shared" si="14"/>
        <v>7:44</v>
      </c>
      <c r="J72" s="29">
        <v>4.1203703703703706E-3</v>
      </c>
      <c r="K72" s="6">
        <v>1.2</v>
      </c>
      <c r="L72" s="6" t="str">
        <f t="shared" si="2"/>
        <v>4:57</v>
      </c>
      <c r="M72" s="4"/>
      <c r="N72" s="4"/>
      <c r="O72" s="16"/>
      <c r="P72" s="863"/>
      <c r="Q72" s="862"/>
      <c r="R72" s="4"/>
      <c r="T72" s="16">
        <f t="shared" si="5"/>
        <v>72.070000000000007</v>
      </c>
      <c r="U72" s="868">
        <f t="shared" si="8"/>
        <v>68.63</v>
      </c>
      <c r="V72" s="4">
        <v>70</v>
      </c>
      <c r="W72" s="4">
        <f t="shared" si="9"/>
        <v>73</v>
      </c>
      <c r="X72" s="868">
        <f t="shared" si="10"/>
        <v>66</v>
      </c>
      <c r="Y72" s="4"/>
      <c r="Z72" s="869">
        <f t="shared" si="11"/>
        <v>0.59474421546259426</v>
      </c>
      <c r="AA72" s="4">
        <f>IF(H72*G72,LOOKUP(Z72,'Daniel''s Tables'!$Z$135:$Z$214,'Daniel''s Tables'!$AB$135:$AB$214),0)</f>
        <v>0.1</v>
      </c>
      <c r="AB72" s="869">
        <f t="shared" si="12"/>
        <v>5.8333333333333339</v>
      </c>
      <c r="AC72" s="871">
        <f t="shared" si="6"/>
        <v>102.79025833333334</v>
      </c>
      <c r="AD72" s="838">
        <f t="shared" si="7"/>
        <v>96.64938452380953</v>
      </c>
      <c r="AE72" s="838"/>
    </row>
    <row r="73" spans="1:31" ht="15.75" customHeight="1" x14ac:dyDescent="0.2">
      <c r="A73" s="916"/>
      <c r="B73" s="6">
        <v>62</v>
      </c>
      <c r="C73" s="17">
        <f t="shared" si="0"/>
        <v>45880</v>
      </c>
      <c r="D73" s="6" t="s">
        <v>33</v>
      </c>
      <c r="E73" s="4" t="s">
        <v>408</v>
      </c>
      <c r="F73" s="6">
        <v>16</v>
      </c>
      <c r="G73" s="6">
        <v>14.15</v>
      </c>
      <c r="H73" s="29">
        <v>6.519675925925926E-2</v>
      </c>
      <c r="I73" s="6" t="str">
        <f t="shared" si="14"/>
        <v>6:38</v>
      </c>
      <c r="J73" s="29">
        <f>TIME(0,17,22)+TIME(0,17,2)+TIME(0,11,18)</f>
        <v>3.1736111111111111E-2</v>
      </c>
      <c r="K73" s="6">
        <f>3+3+2</f>
        <v>8</v>
      </c>
      <c r="L73" s="6" t="str">
        <f t="shared" si="2"/>
        <v>5:43</v>
      </c>
      <c r="M73" s="6"/>
      <c r="N73" s="6"/>
      <c r="O73" s="16"/>
      <c r="P73" s="863"/>
      <c r="Q73" s="864"/>
      <c r="R73" s="4"/>
      <c r="T73" s="16">
        <f t="shared" si="5"/>
        <v>81.210000000000008</v>
      </c>
      <c r="U73" s="868">
        <f t="shared" si="8"/>
        <v>70.062857142857155</v>
      </c>
      <c r="V73" s="4">
        <v>70</v>
      </c>
      <c r="W73" s="4">
        <f t="shared" si="9"/>
        <v>84</v>
      </c>
      <c r="X73" s="868">
        <f t="shared" si="10"/>
        <v>68.285714285714292</v>
      </c>
      <c r="Y73" s="4"/>
      <c r="Z73" s="869">
        <f t="shared" si="11"/>
        <v>0.71921259425306705</v>
      </c>
      <c r="AA73" s="4">
        <f>IF(H73*G73,LOOKUP(Z73,'Daniel''s Tables'!$Z$135:$Z$214,'Daniel''s Tables'!$AB$135:$AB$214),0)</f>
        <v>0.29149999999999998</v>
      </c>
      <c r="AB73" s="869">
        <f t="shared" si="12"/>
        <v>27.366991666666667</v>
      </c>
      <c r="AC73" s="871">
        <f t="shared" si="6"/>
        <v>126.19558333333333</v>
      </c>
      <c r="AD73" s="838">
        <f t="shared" si="7"/>
        <v>102.74894285714286</v>
      </c>
      <c r="AE73" s="838"/>
    </row>
    <row r="74" spans="1:31" ht="15.75" customHeight="1" x14ac:dyDescent="0.2">
      <c r="A74" s="916"/>
      <c r="B74" s="6">
        <v>61</v>
      </c>
      <c r="C74" s="17">
        <f t="shared" si="0"/>
        <v>45881</v>
      </c>
      <c r="D74" s="6" t="s">
        <v>34</v>
      </c>
      <c r="E74" s="4" t="s">
        <v>385</v>
      </c>
      <c r="F74" s="6">
        <v>8</v>
      </c>
      <c r="G74" s="6">
        <v>9.2799999999999994</v>
      </c>
      <c r="H74" s="29">
        <v>5.0543981481481481E-2</v>
      </c>
      <c r="I74" s="6" t="str">
        <f t="shared" si="14"/>
        <v>7:51</v>
      </c>
      <c r="J74" s="29"/>
      <c r="K74" s="6"/>
      <c r="L74" s="6" t="str">
        <f t="shared" si="2"/>
        <v>0:00</v>
      </c>
      <c r="M74" s="6"/>
      <c r="N74" s="6"/>
      <c r="O74" s="16"/>
      <c r="P74" s="863"/>
      <c r="Q74" s="864"/>
      <c r="R74" s="4"/>
      <c r="T74" s="16">
        <f t="shared" si="5"/>
        <v>79.180000000000007</v>
      </c>
      <c r="U74" s="868">
        <f t="shared" si="8"/>
        <v>72.095714285714294</v>
      </c>
      <c r="V74" s="4">
        <v>70</v>
      </c>
      <c r="W74" s="4">
        <f t="shared" si="9"/>
        <v>82</v>
      </c>
      <c r="X74" s="868">
        <f t="shared" si="10"/>
        <v>71.285714285714292</v>
      </c>
      <c r="Y74" s="4"/>
      <c r="Z74" s="869">
        <f t="shared" si="11"/>
        <v>0.58473625392200979</v>
      </c>
      <c r="AA74" s="4">
        <f>IF(H74*G74,LOOKUP(Z74,'Daniel''s Tables'!$Z$135:$Z$214,'Daniel''s Tables'!$AB$135:$AB$214),0)</f>
        <v>0.1</v>
      </c>
      <c r="AB74" s="869">
        <f t="shared" si="12"/>
        <v>7.2783333333333333</v>
      </c>
      <c r="AC74" s="871">
        <f t="shared" si="6"/>
        <v>113.20659166666667</v>
      </c>
      <c r="AD74" s="838">
        <f t="shared" si="7"/>
        <v>107.26343214285714</v>
      </c>
      <c r="AE74" s="838"/>
    </row>
    <row r="75" spans="1:31" ht="15.75" customHeight="1" x14ac:dyDescent="0.2">
      <c r="A75" s="916"/>
      <c r="B75" s="6">
        <v>60</v>
      </c>
      <c r="C75" s="17">
        <f t="shared" si="0"/>
        <v>45882</v>
      </c>
      <c r="D75" s="6" t="s">
        <v>26</v>
      </c>
      <c r="E75" s="4" t="s">
        <v>477</v>
      </c>
      <c r="F75" s="6">
        <v>20</v>
      </c>
      <c r="G75" s="6">
        <v>20.02</v>
      </c>
      <c r="H75" s="29">
        <v>9.1712962962962968E-2</v>
      </c>
      <c r="I75" s="6" t="str">
        <f t="shared" si="14"/>
        <v>6:36</v>
      </c>
      <c r="J75" s="29">
        <f>TIME(0,35,48)+TIME(0,5,38)+TIME(0,29,14)</f>
        <v>4.9074074074074076E-2</v>
      </c>
      <c r="K75" s="6">
        <v>12</v>
      </c>
      <c r="L75" s="6" t="str">
        <f t="shared" si="2"/>
        <v>5:53</v>
      </c>
      <c r="M75" s="6"/>
      <c r="N75" s="6"/>
      <c r="O75" s="16"/>
      <c r="P75" s="861"/>
      <c r="Q75" s="865"/>
      <c r="R75" s="4"/>
      <c r="S75" s="4"/>
      <c r="T75" s="16">
        <f t="shared" si="5"/>
        <v>94.13</v>
      </c>
      <c r="U75" s="868">
        <f t="shared" si="8"/>
        <v>76.541428571428568</v>
      </c>
      <c r="V75" s="4">
        <v>70</v>
      </c>
      <c r="W75" s="4">
        <f t="shared" si="9"/>
        <v>97</v>
      </c>
      <c r="X75" s="868">
        <f t="shared" si="10"/>
        <v>76.857142857142861</v>
      </c>
      <c r="Y75" s="4"/>
      <c r="Z75" s="869">
        <f t="shared" si="11"/>
        <v>0.72434714542116752</v>
      </c>
      <c r="AA75" s="4">
        <f>IF(H75*G75,LOOKUP(Z75,'Daniel''s Tables'!$Z$135:$Z$214,'Daniel''s Tables'!$AB$135:$AB$214),0)</f>
        <v>0.3</v>
      </c>
      <c r="AB75" s="869">
        <f t="shared" si="12"/>
        <v>39.619999999999997</v>
      </c>
      <c r="AC75" s="871">
        <f t="shared" si="6"/>
        <v>148.61992499999999</v>
      </c>
      <c r="AD75" s="838">
        <f t="shared" si="7"/>
        <v>117.15885952380951</v>
      </c>
      <c r="AE75" s="838"/>
    </row>
    <row r="76" spans="1:31" ht="15.75" customHeight="1" x14ac:dyDescent="0.2">
      <c r="A76" s="916"/>
      <c r="B76" s="6">
        <v>59</v>
      </c>
      <c r="C76" s="17">
        <f t="shared" si="0"/>
        <v>45883</v>
      </c>
      <c r="D76" s="6" t="s">
        <v>27</v>
      </c>
      <c r="E76" s="4" t="s">
        <v>385</v>
      </c>
      <c r="F76" s="6">
        <v>8</v>
      </c>
      <c r="G76" s="6">
        <v>5.0999999999999996</v>
      </c>
      <c r="H76" s="29">
        <v>2.7939814814814813E-2</v>
      </c>
      <c r="I76" s="6" t="str">
        <f t="shared" si="14"/>
        <v>7:53</v>
      </c>
      <c r="J76" s="6"/>
      <c r="K76" s="6"/>
      <c r="L76" s="6" t="str">
        <f t="shared" si="2"/>
        <v>0:00</v>
      </c>
      <c r="M76" s="6"/>
      <c r="N76" s="28"/>
      <c r="O76" s="16"/>
      <c r="P76" s="861">
        <f>N77+P69</f>
        <v>3.4974652777777782</v>
      </c>
      <c r="Q76" s="865"/>
      <c r="R76" s="4"/>
      <c r="S76" s="4"/>
      <c r="T76" s="16">
        <f t="shared" si="5"/>
        <v>81.199999999999989</v>
      </c>
      <c r="U76" s="868">
        <f t="shared" si="8"/>
        <v>78.138571428571439</v>
      </c>
      <c r="V76" s="4">
        <v>70</v>
      </c>
      <c r="W76" s="4">
        <f t="shared" si="9"/>
        <v>87</v>
      </c>
      <c r="X76" s="868">
        <f t="shared" si="10"/>
        <v>79.714285714285708</v>
      </c>
      <c r="Y76" s="4"/>
      <c r="Z76" s="869">
        <f t="shared" si="11"/>
        <v>0.58051865514777801</v>
      </c>
      <c r="AA76" s="4">
        <f>IF(H76*G76,LOOKUP(Z76,'Daniel''s Tables'!$Z$135:$Z$214,'Daniel''s Tables'!$AB$135:$AB$214),0)</f>
        <v>0.1</v>
      </c>
      <c r="AB76" s="869">
        <f t="shared" si="12"/>
        <v>4.0233333333333334</v>
      </c>
      <c r="AC76" s="871">
        <f t="shared" si="6"/>
        <v>108.42565833333333</v>
      </c>
      <c r="AD76" s="838">
        <f t="shared" si="7"/>
        <v>116.32173452380951</v>
      </c>
      <c r="AE76" s="838"/>
    </row>
    <row r="77" spans="1:31" ht="15.75" customHeight="1" x14ac:dyDescent="0.2">
      <c r="A77" s="916"/>
      <c r="B77" s="6">
        <v>58</v>
      </c>
      <c r="C77" s="17">
        <f t="shared" si="0"/>
        <v>45884</v>
      </c>
      <c r="D77" s="6" t="s">
        <v>28</v>
      </c>
      <c r="E77" s="4" t="s">
        <v>437</v>
      </c>
      <c r="F77" s="6">
        <v>10</v>
      </c>
      <c r="G77" s="6">
        <v>7.09</v>
      </c>
      <c r="H77" s="29">
        <v>4.0787037037037038E-2</v>
      </c>
      <c r="I77" s="6" t="str">
        <f t="shared" si="14"/>
        <v>8:17</v>
      </c>
      <c r="J77" s="6"/>
      <c r="K77" s="6"/>
      <c r="L77" s="6" t="str">
        <f t="shared" si="2"/>
        <v>0:00</v>
      </c>
      <c r="M77" s="6"/>
      <c r="N77" s="28">
        <f>SUM(H72:H78)</f>
        <v>0.31668981481481484</v>
      </c>
      <c r="O77" s="16"/>
      <c r="P77" s="863">
        <f>N78+P70</f>
        <v>678.81</v>
      </c>
      <c r="Q77" s="866"/>
      <c r="R77" s="4"/>
      <c r="T77" s="16">
        <f t="shared" si="5"/>
        <v>83.28</v>
      </c>
      <c r="U77" s="868">
        <f t="shared" si="8"/>
        <v>80.088571428571427</v>
      </c>
      <c r="V77" s="4">
        <v>70</v>
      </c>
      <c r="W77" s="4">
        <f t="shared" si="9"/>
        <v>92</v>
      </c>
      <c r="X77" s="868">
        <f t="shared" si="10"/>
        <v>83.285714285714292</v>
      </c>
      <c r="Y77" s="4"/>
      <c r="Z77" s="869">
        <f t="shared" si="11"/>
        <v>0.54629024215985345</v>
      </c>
      <c r="AA77" s="4">
        <f>IF(H77*G77,LOOKUP(Z77,'Daniel''s Tables'!$Z$135:$Z$214,'Daniel''s Tables'!$AB$135:$AB$214),0)</f>
        <v>0.1</v>
      </c>
      <c r="AB77" s="869">
        <f t="shared" si="12"/>
        <v>5.873333333333334</v>
      </c>
      <c r="AC77" s="871">
        <f t="shared" si="6"/>
        <v>110.22732500000001</v>
      </c>
      <c r="AD77" s="838">
        <f t="shared" si="7"/>
        <v>115.7603238095238</v>
      </c>
      <c r="AE77" s="838"/>
    </row>
    <row r="78" spans="1:31" ht="15.75" customHeight="1" x14ac:dyDescent="0.2">
      <c r="A78" s="916"/>
      <c r="B78" s="6">
        <v>57</v>
      </c>
      <c r="C78" s="17">
        <f t="shared" si="0"/>
        <v>45885</v>
      </c>
      <c r="D78" s="6" t="s">
        <v>30</v>
      </c>
      <c r="E78" s="4" t="s">
        <v>385</v>
      </c>
      <c r="F78" s="6">
        <v>8</v>
      </c>
      <c r="G78" s="6"/>
      <c r="H78" s="29"/>
      <c r="I78" s="6" t="str">
        <f t="shared" si="14"/>
        <v>0:00</v>
      </c>
      <c r="J78" s="29"/>
      <c r="K78" s="6"/>
      <c r="L78" s="6" t="str">
        <f t="shared" si="2"/>
        <v>0:00</v>
      </c>
      <c r="M78" s="4">
        <f>SUM(F72:F78)</f>
        <v>80</v>
      </c>
      <c r="N78" s="6">
        <f>SUM(G72:G78)</f>
        <v>63.179999999999993</v>
      </c>
      <c r="O78" s="16"/>
      <c r="P78" s="863">
        <f>M78+P71</f>
        <v>722</v>
      </c>
      <c r="Q78" s="862">
        <f>P77/P78</f>
        <v>0.94018005540166194</v>
      </c>
      <c r="R78" s="4"/>
      <c r="T78" s="16">
        <f t="shared" ref="T78:T135" si="15">SUM(G72:G78)</f>
        <v>63.179999999999993</v>
      </c>
      <c r="U78" s="868">
        <f t="shared" si="8"/>
        <v>79.178571428571431</v>
      </c>
      <c r="V78" s="4">
        <v>70</v>
      </c>
      <c r="W78" s="4">
        <f t="shared" si="9"/>
        <v>80</v>
      </c>
      <c r="X78" s="868">
        <f t="shared" si="10"/>
        <v>85</v>
      </c>
      <c r="Y78" s="4"/>
      <c r="Z78" s="869" t="e">
        <f t="shared" si="11"/>
        <v>#DIV/0!</v>
      </c>
      <c r="AA78" s="4">
        <f>IF(H78*G78,LOOKUP(Z78,'Daniel''s Tables'!$Z$135:$Z$214,'Daniel''s Tables'!$AB$135:$AB$214),0)</f>
        <v>0</v>
      </c>
      <c r="AB78" s="869">
        <f t="shared" si="12"/>
        <v>0</v>
      </c>
      <c r="AC78" s="871">
        <f t="shared" si="6"/>
        <v>89.995325000000008</v>
      </c>
      <c r="AD78" s="838">
        <f t="shared" si="7"/>
        <v>114.20866666666667</v>
      </c>
      <c r="AE78" s="838">
        <f>AC78</f>
        <v>89.995325000000008</v>
      </c>
    </row>
    <row r="79" spans="1:31" ht="15.75" customHeight="1" x14ac:dyDescent="0.2">
      <c r="A79" s="915" t="s">
        <v>345</v>
      </c>
      <c r="B79" s="854">
        <v>56</v>
      </c>
      <c r="C79" s="855">
        <f t="shared" si="0"/>
        <v>45886</v>
      </c>
      <c r="D79" s="854" t="s">
        <v>31</v>
      </c>
      <c r="E79" s="856" t="s">
        <v>384</v>
      </c>
      <c r="F79" s="854">
        <v>7</v>
      </c>
      <c r="G79" s="854">
        <v>4.7</v>
      </c>
      <c r="H79" s="857">
        <v>2.6203703703703705E-2</v>
      </c>
      <c r="I79" s="854" t="str">
        <f t="shared" si="14"/>
        <v>8:02</v>
      </c>
      <c r="J79" s="854"/>
      <c r="K79" s="854"/>
      <c r="L79" s="854" t="str">
        <f t="shared" si="2"/>
        <v>0:00</v>
      </c>
      <c r="M79" s="856"/>
      <c r="N79" s="856"/>
      <c r="O79" s="858"/>
      <c r="P79" s="863"/>
      <c r="Q79" s="862"/>
      <c r="R79" s="4"/>
      <c r="T79" s="16">
        <f t="shared" si="15"/>
        <v>60.34</v>
      </c>
      <c r="U79" s="868">
        <f t="shared" si="8"/>
        <v>77.502857142857138</v>
      </c>
      <c r="V79" s="4">
        <v>70</v>
      </c>
      <c r="W79" s="4">
        <f t="shared" si="9"/>
        <v>77</v>
      </c>
      <c r="X79" s="868">
        <f t="shared" si="10"/>
        <v>85.571428571428569</v>
      </c>
      <c r="Y79" s="4"/>
      <c r="Z79" s="869">
        <f t="shared" si="11"/>
        <v>0.56801397640258766</v>
      </c>
      <c r="AA79" s="4">
        <f>IF(H79*G79,LOOKUP(Z79,'Daniel''s Tables'!$Z$135:$Z$214,'Daniel''s Tables'!$AB$135:$AB$214),0)</f>
        <v>0.1</v>
      </c>
      <c r="AB79" s="869">
        <f t="shared" si="12"/>
        <v>3.7733333333333334</v>
      </c>
      <c r="AC79" s="871">
        <f t="shared" ref="AC79:AC135" si="16">SUM(AB73:AB79)</f>
        <v>87.935325000000006</v>
      </c>
      <c r="AD79" s="838">
        <f t="shared" ref="AD79:AD135" si="17">SUM(AC73:AC79)/7</f>
        <v>112.08653333333334</v>
      </c>
      <c r="AE79" s="838"/>
    </row>
    <row r="80" spans="1:31" ht="15.75" customHeight="1" x14ac:dyDescent="0.2">
      <c r="A80" s="915"/>
      <c r="B80" s="854">
        <v>55</v>
      </c>
      <c r="C80" s="855">
        <f t="shared" si="0"/>
        <v>45887</v>
      </c>
      <c r="D80" s="854" t="s">
        <v>33</v>
      </c>
      <c r="E80" s="856" t="s">
        <v>385</v>
      </c>
      <c r="F80" s="854">
        <v>8</v>
      </c>
      <c r="G80" s="854">
        <v>10.66</v>
      </c>
      <c r="H80" s="857">
        <v>5.6562500000000002E-2</v>
      </c>
      <c r="I80" s="854" t="str">
        <f t="shared" si="14"/>
        <v>7:38</v>
      </c>
      <c r="J80" s="854"/>
      <c r="K80" s="854"/>
      <c r="L80" s="854" t="str">
        <f t="shared" si="2"/>
        <v>0:00</v>
      </c>
      <c r="M80" s="854"/>
      <c r="N80" s="854"/>
      <c r="O80" s="858"/>
      <c r="P80" s="863"/>
      <c r="Q80" s="864"/>
      <c r="R80" s="4"/>
      <c r="T80" s="16">
        <f t="shared" si="15"/>
        <v>56.849999999999994</v>
      </c>
      <c r="U80" s="868">
        <f t="shared" ref="U80:U135" si="18">SUM(T74:T80)/7</f>
        <v>74.022857142857134</v>
      </c>
      <c r="V80" s="4">
        <v>70</v>
      </c>
      <c r="W80" s="4">
        <f t="shared" ref="W80:W135" si="19">SUM(F74:F80)</f>
        <v>69</v>
      </c>
      <c r="X80" s="868">
        <f t="shared" ref="X80:X135" si="20">SUM(W74:W80)/7</f>
        <v>83.428571428571431</v>
      </c>
      <c r="Y80" s="4"/>
      <c r="Z80" s="869">
        <f t="shared" ref="Z80:Z135" si="21">((0.182258*(1/((H80/G80)*1440)*1609.344)+(0.000104*(1/((H80/G80)*1440)*1609.344)^2)-4.6)/$K$3)</f>
        <v>0.60400724583212329</v>
      </c>
      <c r="AA80" s="4">
        <f>IF(H80*G80,LOOKUP(Z80,'Daniel''s Tables'!$Z$135:$Z$214,'Daniel''s Tables'!$AB$135:$AB$214),0)</f>
        <v>0.11</v>
      </c>
      <c r="AB80" s="869">
        <f t="shared" ref="AB80:AB135" si="22">H80*1440*AA80</f>
        <v>8.9595000000000002</v>
      </c>
      <c r="AC80" s="871">
        <f t="shared" si="16"/>
        <v>69.527833333333334</v>
      </c>
      <c r="AD80" s="838">
        <f t="shared" si="17"/>
        <v>103.99114047619048</v>
      </c>
      <c r="AE80" s="838"/>
    </row>
    <row r="81" spans="1:31" ht="15.75" customHeight="1" x14ac:dyDescent="0.2">
      <c r="A81" s="915"/>
      <c r="B81" s="854">
        <v>54</v>
      </c>
      <c r="C81" s="855">
        <f t="shared" si="0"/>
        <v>45888</v>
      </c>
      <c r="D81" s="854" t="s">
        <v>34</v>
      </c>
      <c r="E81" s="856" t="s">
        <v>410</v>
      </c>
      <c r="F81" s="854">
        <v>17</v>
      </c>
      <c r="G81" s="854">
        <v>16.03</v>
      </c>
      <c r="H81" s="857">
        <v>7.9675925925925928E-2</v>
      </c>
      <c r="I81" s="854" t="str">
        <f t="shared" si="14"/>
        <v>7:09</v>
      </c>
      <c r="J81" s="857">
        <f>TIME(0,3,35) + TIME(0,3,26) + TIME(0,3,18) +  TIME(0,3,17) + TIME(0,3,17) + TIME(0,3,16) + TIME(0,3,18) + TIME(0,3,14)</f>
        <v>1.8530092592592591E-2</v>
      </c>
      <c r="K81" s="854">
        <f>0.621*8</f>
        <v>4.968</v>
      </c>
      <c r="L81" s="854" t="str">
        <f t="shared" si="2"/>
        <v>5:22</v>
      </c>
      <c r="M81" s="854"/>
      <c r="N81" s="854"/>
      <c r="O81" s="858"/>
      <c r="P81" s="863"/>
      <c r="Q81" s="864"/>
      <c r="R81" s="4"/>
      <c r="T81" s="16">
        <f t="shared" si="15"/>
        <v>63.599999999999994</v>
      </c>
      <c r="U81" s="868">
        <f t="shared" si="18"/>
        <v>71.797142857142859</v>
      </c>
      <c r="V81" s="4">
        <v>70</v>
      </c>
      <c r="W81" s="4">
        <f t="shared" si="19"/>
        <v>78</v>
      </c>
      <c r="X81" s="868">
        <f t="shared" si="20"/>
        <v>82.857142857142861</v>
      </c>
      <c r="Y81" s="4"/>
      <c r="Z81" s="869">
        <f t="shared" si="21"/>
        <v>0.6549088834363288</v>
      </c>
      <c r="AA81" s="4">
        <f>IF(H81*G81,LOOKUP(Z81,'Daniel''s Tables'!$Z$135:$Z$214,'Daniel''s Tables'!$AB$135:$AB$214),0)</f>
        <v>0.183</v>
      </c>
      <c r="AB81" s="869">
        <f t="shared" si="22"/>
        <v>20.996199999999998</v>
      </c>
      <c r="AC81" s="871">
        <f t="shared" si="16"/>
        <v>83.245699999999999</v>
      </c>
      <c r="AD81" s="838">
        <f t="shared" si="17"/>
        <v>99.711013095238087</v>
      </c>
      <c r="AE81" s="838"/>
    </row>
    <row r="82" spans="1:31" ht="15.75" customHeight="1" x14ac:dyDescent="0.2">
      <c r="A82" s="915"/>
      <c r="B82" s="854">
        <v>53</v>
      </c>
      <c r="C82" s="855">
        <f t="shared" si="0"/>
        <v>45889</v>
      </c>
      <c r="D82" s="854" t="s">
        <v>26</v>
      </c>
      <c r="E82" s="856" t="s">
        <v>384</v>
      </c>
      <c r="F82" s="854">
        <v>7</v>
      </c>
      <c r="G82" s="854">
        <v>8.0299999999999994</v>
      </c>
      <c r="H82" s="857">
        <v>4.3472222222222225E-2</v>
      </c>
      <c r="I82" s="854" t="str">
        <f t="shared" si="14"/>
        <v>7:48</v>
      </c>
      <c r="J82" s="854"/>
      <c r="K82" s="854"/>
      <c r="L82" s="854" t="str">
        <f t="shared" si="2"/>
        <v>0:00</v>
      </c>
      <c r="M82" s="854"/>
      <c r="N82" s="854"/>
      <c r="O82" s="858"/>
      <c r="P82" s="861"/>
      <c r="Q82" s="865"/>
      <c r="R82" s="4"/>
      <c r="T82" s="16">
        <f t="shared" si="15"/>
        <v>51.61</v>
      </c>
      <c r="U82" s="868">
        <f t="shared" si="18"/>
        <v>65.722857142857151</v>
      </c>
      <c r="V82" s="4">
        <v>70</v>
      </c>
      <c r="W82" s="4">
        <f t="shared" si="19"/>
        <v>65</v>
      </c>
      <c r="X82" s="868">
        <f t="shared" si="20"/>
        <v>78.285714285714292</v>
      </c>
      <c r="Y82" s="4"/>
      <c r="Z82" s="869">
        <f t="shared" si="21"/>
        <v>0.58914027827902449</v>
      </c>
      <c r="AA82" s="4">
        <f>IF(H82*G82,LOOKUP(Z82,'Daniel''s Tables'!$Z$135:$Z$214,'Daniel''s Tables'!$AB$135:$AB$214),0)</f>
        <v>0.1</v>
      </c>
      <c r="AB82" s="869">
        <f t="shared" si="22"/>
        <v>6.2600000000000007</v>
      </c>
      <c r="AC82" s="871">
        <f t="shared" si="16"/>
        <v>49.885699999999993</v>
      </c>
      <c r="AD82" s="838">
        <f t="shared" si="17"/>
        <v>85.606123809523822</v>
      </c>
      <c r="AE82" s="838"/>
    </row>
    <row r="83" spans="1:31" ht="15.75" customHeight="1" x14ac:dyDescent="0.2">
      <c r="A83" s="915"/>
      <c r="B83" s="854">
        <v>52</v>
      </c>
      <c r="C83" s="855">
        <f t="shared" si="0"/>
        <v>45890</v>
      </c>
      <c r="D83" s="854" t="s">
        <v>27</v>
      </c>
      <c r="E83" s="856" t="s">
        <v>437</v>
      </c>
      <c r="F83" s="854">
        <v>10</v>
      </c>
      <c r="G83" s="854">
        <v>6.12</v>
      </c>
      <c r="H83" s="857">
        <v>3.3090277777777781E-2</v>
      </c>
      <c r="I83" s="854" t="str">
        <f t="shared" si="14"/>
        <v>7:47</v>
      </c>
      <c r="J83" s="854"/>
      <c r="K83" s="854"/>
      <c r="L83" s="854" t="str">
        <f t="shared" si="2"/>
        <v>0:00</v>
      </c>
      <c r="M83" s="854"/>
      <c r="N83" s="859"/>
      <c r="O83" s="858"/>
      <c r="P83" s="861">
        <f>N84+P76</f>
        <v>3.8748032407407411</v>
      </c>
      <c r="Q83" s="865"/>
      <c r="R83" s="4"/>
      <c r="S83" s="4"/>
      <c r="T83" s="16">
        <f t="shared" si="15"/>
        <v>52.63</v>
      </c>
      <c r="U83" s="868">
        <f t="shared" si="18"/>
        <v>61.64142857142857</v>
      </c>
      <c r="V83" s="4">
        <v>70</v>
      </c>
      <c r="W83" s="4">
        <f t="shared" si="19"/>
        <v>67</v>
      </c>
      <c r="X83" s="868">
        <f t="shared" si="20"/>
        <v>75.428571428571431</v>
      </c>
      <c r="Y83" s="4"/>
      <c r="Z83" s="869">
        <f t="shared" si="21"/>
        <v>0.59006244185590329</v>
      </c>
      <c r="AA83" s="4">
        <f>IF(H83*G83,LOOKUP(Z83,'Daniel''s Tables'!$Z$135:$Z$214,'Daniel''s Tables'!$AB$135:$AB$214),0)</f>
        <v>0.1</v>
      </c>
      <c r="AB83" s="869">
        <f t="shared" si="22"/>
        <v>4.7650000000000006</v>
      </c>
      <c r="AC83" s="871">
        <f t="shared" si="16"/>
        <v>50.627366666666667</v>
      </c>
      <c r="AD83" s="838">
        <f t="shared" si="17"/>
        <v>77.349225000000004</v>
      </c>
      <c r="AE83" s="838"/>
    </row>
    <row r="84" spans="1:31" ht="15.75" customHeight="1" x14ac:dyDescent="0.2">
      <c r="A84" s="915"/>
      <c r="B84" s="854">
        <v>51</v>
      </c>
      <c r="C84" s="855">
        <f t="shared" si="0"/>
        <v>45891</v>
      </c>
      <c r="D84" s="854" t="s">
        <v>28</v>
      </c>
      <c r="E84" s="856" t="s">
        <v>440</v>
      </c>
      <c r="F84" s="854">
        <v>7</v>
      </c>
      <c r="G84" s="854">
        <v>10.220000000000001</v>
      </c>
      <c r="H84" s="857">
        <v>5.513888888888889E-2</v>
      </c>
      <c r="I84" s="854" t="str">
        <f t="shared" si="14"/>
        <v>7:46</v>
      </c>
      <c r="J84" s="857">
        <v>3.9120370370370368E-3</v>
      </c>
      <c r="K84" s="854">
        <v>0.83</v>
      </c>
      <c r="L84" s="854" t="str">
        <f t="shared" si="2"/>
        <v>6:47</v>
      </c>
      <c r="M84" s="854"/>
      <c r="N84" s="859">
        <f>SUM(H79:H85)</f>
        <v>0.37733796296296296</v>
      </c>
      <c r="O84" s="858"/>
      <c r="P84" s="863">
        <f>N85+P77</f>
        <v>752.59999999999991</v>
      </c>
      <c r="Q84" s="866"/>
      <c r="R84" s="4"/>
      <c r="S84" s="4"/>
      <c r="T84" s="16">
        <f t="shared" si="15"/>
        <v>55.76</v>
      </c>
      <c r="U84" s="868">
        <f t="shared" si="18"/>
        <v>57.709999999999994</v>
      </c>
      <c r="V84" s="4">
        <v>70</v>
      </c>
      <c r="W84" s="4">
        <f t="shared" si="19"/>
        <v>64</v>
      </c>
      <c r="X84" s="868">
        <f t="shared" si="20"/>
        <v>71.428571428571431</v>
      </c>
      <c r="Y84" s="4"/>
      <c r="Z84" s="869">
        <f t="shared" si="21"/>
        <v>0.59165266882506606</v>
      </c>
      <c r="AA84" s="4">
        <f>IF(H84*G84,LOOKUP(Z84,'Daniel''s Tables'!$Z$135:$Z$214,'Daniel''s Tables'!$AB$135:$AB$214),0)</f>
        <v>0.1</v>
      </c>
      <c r="AB84" s="869">
        <f t="shared" si="22"/>
        <v>7.9400000000000013</v>
      </c>
      <c r="AC84" s="871">
        <f t="shared" si="16"/>
        <v>52.694033333333337</v>
      </c>
      <c r="AD84" s="838">
        <f t="shared" si="17"/>
        <v>69.130183333333335</v>
      </c>
      <c r="AE84" s="838"/>
    </row>
    <row r="85" spans="1:31" ht="15.75" customHeight="1" x14ac:dyDescent="0.2">
      <c r="A85" s="915"/>
      <c r="B85" s="854">
        <v>50</v>
      </c>
      <c r="C85" s="855">
        <f t="shared" si="0"/>
        <v>45892</v>
      </c>
      <c r="D85" s="854" t="s">
        <v>30</v>
      </c>
      <c r="E85" s="856" t="s">
        <v>482</v>
      </c>
      <c r="F85" s="854">
        <v>18</v>
      </c>
      <c r="G85" s="854">
        <v>18.03</v>
      </c>
      <c r="H85" s="857">
        <v>8.3194444444444446E-2</v>
      </c>
      <c r="I85" s="854" t="str">
        <f t="shared" si="14"/>
        <v>6:39</v>
      </c>
      <c r="J85" s="857">
        <f>TIME(0,16,55) + TIME(0,16,50)</f>
        <v>2.34375E-2</v>
      </c>
      <c r="K85" s="854">
        <v>6</v>
      </c>
      <c r="L85" s="854" t="str">
        <f t="shared" si="2"/>
        <v>5:38</v>
      </c>
      <c r="M85" s="856">
        <f>SUM(F79:F85)</f>
        <v>74</v>
      </c>
      <c r="N85" s="854">
        <f>SUM(G79:G85)</f>
        <v>73.789999999999992</v>
      </c>
      <c r="O85" s="858"/>
      <c r="P85" s="863">
        <f>M85+P78</f>
        <v>796</v>
      </c>
      <c r="Q85" s="862">
        <f>P84/P85</f>
        <v>0.9454773869346732</v>
      </c>
      <c r="R85" s="4"/>
      <c r="S85" s="4"/>
      <c r="T85" s="16">
        <f t="shared" si="15"/>
        <v>73.789999999999992</v>
      </c>
      <c r="U85" s="868">
        <f t="shared" si="18"/>
        <v>59.225714285714275</v>
      </c>
      <c r="V85" s="4">
        <v>70</v>
      </c>
      <c r="W85" s="4">
        <f t="shared" si="19"/>
        <v>74</v>
      </c>
      <c r="X85" s="868">
        <f t="shared" si="20"/>
        <v>70.571428571428569</v>
      </c>
      <c r="Y85" s="4"/>
      <c r="Z85" s="869">
        <f t="shared" si="21"/>
        <v>0.71792783776584135</v>
      </c>
      <c r="AA85" s="4">
        <f>IF(H85*G85,LOOKUP(Z85,'Daniel''s Tables'!$Z$135:$Z$214,'Daniel''s Tables'!$AB$135:$AB$214),0)</f>
        <v>0.29149999999999998</v>
      </c>
      <c r="AB85" s="869">
        <f t="shared" si="22"/>
        <v>34.921699999999994</v>
      </c>
      <c r="AC85" s="871">
        <f t="shared" si="16"/>
        <v>87.615733333333338</v>
      </c>
      <c r="AD85" s="838">
        <f t="shared" si="17"/>
        <v>68.790241666666674</v>
      </c>
      <c r="AE85" s="838">
        <f>AC85</f>
        <v>87.615733333333338</v>
      </c>
    </row>
    <row r="86" spans="1:31" ht="15.75" customHeight="1" x14ac:dyDescent="0.2">
      <c r="A86" s="916" t="s">
        <v>42</v>
      </c>
      <c r="B86" s="6">
        <v>49</v>
      </c>
      <c r="C86" s="17">
        <f t="shared" si="0"/>
        <v>45893</v>
      </c>
      <c r="D86" s="6" t="s">
        <v>31</v>
      </c>
      <c r="E86" s="4" t="s">
        <v>385</v>
      </c>
      <c r="F86" s="6">
        <v>8</v>
      </c>
      <c r="G86" s="6">
        <v>8.1999999999999993</v>
      </c>
      <c r="H86" s="29">
        <v>4.6249999999999999E-2</v>
      </c>
      <c r="I86" s="6" t="str">
        <f t="shared" si="14"/>
        <v>8:07</v>
      </c>
      <c r="J86" s="6"/>
      <c r="K86" s="6"/>
      <c r="L86" s="6" t="str">
        <f t="shared" si="2"/>
        <v>0:00</v>
      </c>
      <c r="M86" s="4"/>
      <c r="N86" s="4"/>
      <c r="O86" s="16"/>
      <c r="P86" s="863"/>
      <c r="Q86" s="862"/>
      <c r="R86" s="4"/>
      <c r="S86" s="4"/>
      <c r="T86" s="16">
        <f t="shared" si="15"/>
        <v>77.290000000000006</v>
      </c>
      <c r="U86" s="868">
        <f t="shared" si="18"/>
        <v>61.64714285714286</v>
      </c>
      <c r="V86" s="4">
        <v>70</v>
      </c>
      <c r="W86" s="4">
        <f t="shared" si="19"/>
        <v>75</v>
      </c>
      <c r="X86" s="868">
        <f t="shared" si="20"/>
        <v>70.285714285714292</v>
      </c>
      <c r="Y86" s="4"/>
      <c r="Z86" s="869">
        <f t="shared" si="21"/>
        <v>0.55988697408858001</v>
      </c>
      <c r="AA86" s="4">
        <f>IF(H86*G86,LOOKUP(Z86,'Daniel''s Tables'!$Z$135:$Z$214,'Daniel''s Tables'!$AB$135:$AB$214),0)</f>
        <v>0.1</v>
      </c>
      <c r="AB86" s="869">
        <f t="shared" si="22"/>
        <v>6.66</v>
      </c>
      <c r="AC86" s="871">
        <f t="shared" si="16"/>
        <v>90.502399999999994</v>
      </c>
      <c r="AD86" s="838">
        <f t="shared" si="17"/>
        <v>69.156966666666662</v>
      </c>
      <c r="AE86" s="838"/>
    </row>
    <row r="87" spans="1:31" ht="15.75" customHeight="1" x14ac:dyDescent="0.2">
      <c r="A87" s="916"/>
      <c r="B87" s="6">
        <v>48</v>
      </c>
      <c r="C87" s="17">
        <f t="shared" si="0"/>
        <v>45894</v>
      </c>
      <c r="D87" s="6" t="s">
        <v>33</v>
      </c>
      <c r="E87" s="4" t="s">
        <v>501</v>
      </c>
      <c r="F87" s="6">
        <v>8</v>
      </c>
      <c r="G87" s="6">
        <v>6.02</v>
      </c>
      <c r="H87" s="29">
        <v>3.0115740740740742E-2</v>
      </c>
      <c r="I87" s="6" t="str">
        <f t="shared" si="14"/>
        <v>7:12</v>
      </c>
      <c r="J87" s="6"/>
      <c r="K87" s="6"/>
      <c r="L87" s="6" t="str">
        <f t="shared" si="2"/>
        <v>0:00</v>
      </c>
      <c r="M87" s="6"/>
      <c r="N87" s="6"/>
      <c r="O87" s="16"/>
      <c r="P87" s="863"/>
      <c r="Q87" s="864"/>
      <c r="R87" s="4"/>
      <c r="S87" s="4"/>
      <c r="T87" s="16">
        <f t="shared" si="15"/>
        <v>72.650000000000006</v>
      </c>
      <c r="U87" s="868">
        <f t="shared" si="18"/>
        <v>63.90428571428572</v>
      </c>
      <c r="V87" s="4">
        <v>70</v>
      </c>
      <c r="W87" s="4">
        <f t="shared" si="19"/>
        <v>75</v>
      </c>
      <c r="X87" s="868">
        <f t="shared" si="20"/>
        <v>71.142857142857139</v>
      </c>
      <c r="Y87" s="4"/>
      <c r="Z87" s="869">
        <f t="shared" si="21"/>
        <v>0.64970069240602024</v>
      </c>
      <c r="AA87" s="4">
        <f>IF(H87*G87,LOOKUP(Z87,'Daniel''s Tables'!$Z$135:$Z$214,'Daniel''s Tables'!$AB$135:$AB$214),0)</f>
        <v>0.17499999999999999</v>
      </c>
      <c r="AB87" s="869">
        <f t="shared" si="22"/>
        <v>7.5891666666666664</v>
      </c>
      <c r="AC87" s="871">
        <f t="shared" si="16"/>
        <v>89.132066666666674</v>
      </c>
      <c r="AD87" s="838">
        <f t="shared" si="17"/>
        <v>71.957571428571427</v>
      </c>
      <c r="AE87" s="838"/>
    </row>
    <row r="88" spans="1:31" ht="15.75" customHeight="1" x14ac:dyDescent="0.2">
      <c r="A88" s="916"/>
      <c r="B88" s="6">
        <v>47</v>
      </c>
      <c r="C88" s="17">
        <f t="shared" si="0"/>
        <v>45895</v>
      </c>
      <c r="D88" s="6" t="s">
        <v>34</v>
      </c>
      <c r="E88" s="4" t="s">
        <v>437</v>
      </c>
      <c r="F88" s="6">
        <v>10</v>
      </c>
      <c r="G88" s="6">
        <v>11.74</v>
      </c>
      <c r="H88" s="29">
        <v>5.7013888888888892E-2</v>
      </c>
      <c r="I88" s="6" t="str">
        <f t="shared" si="14"/>
        <v>6:60</v>
      </c>
      <c r="J88" s="29">
        <f>TIME(0,5,13) + TIME(0,2,34) + TIME(0,2,33) +  TIME(0,1,10) + TIME(0,1,9) + TIME(0,0,33) + TIME(0,0,33) + TIME(0,5,5)</f>
        <v>1.3078703703703707E-2</v>
      </c>
      <c r="K88" s="828">
        <f>(1600+800+800+400+400+200+200+1600)/1609</f>
        <v>3.7290242386575514</v>
      </c>
      <c r="L88" s="6" t="str">
        <f t="shared" si="2"/>
        <v>5:03</v>
      </c>
      <c r="M88" s="6"/>
      <c r="N88" s="6"/>
      <c r="O88" s="16"/>
      <c r="P88" s="863"/>
      <c r="Q88" s="864"/>
      <c r="R88" s="4"/>
      <c r="S88" s="4"/>
      <c r="T88" s="16">
        <f t="shared" si="15"/>
        <v>68.359999999999985</v>
      </c>
      <c r="U88" s="868">
        <f t="shared" si="18"/>
        <v>64.584285714285713</v>
      </c>
      <c r="V88" s="4">
        <v>70</v>
      </c>
      <c r="W88" s="4">
        <f t="shared" si="19"/>
        <v>68</v>
      </c>
      <c r="X88" s="868">
        <f t="shared" si="20"/>
        <v>69.714285714285708</v>
      </c>
      <c r="Y88" s="4"/>
      <c r="Z88" s="869">
        <f t="shared" si="21"/>
        <v>0.67397551129051136</v>
      </c>
      <c r="AA88" s="4">
        <f>IF(H88*G88,LOOKUP(Z88,'Daniel''s Tables'!$Z$135:$Z$214,'Daniel''s Tables'!$AB$135:$AB$214),0)</f>
        <v>0.217</v>
      </c>
      <c r="AB88" s="869">
        <f t="shared" si="22"/>
        <v>17.815700000000003</v>
      </c>
      <c r="AC88" s="871">
        <f t="shared" si="16"/>
        <v>85.951566666666679</v>
      </c>
      <c r="AD88" s="838">
        <f t="shared" si="17"/>
        <v>72.344123809523822</v>
      </c>
      <c r="AE88" s="838"/>
    </row>
    <row r="89" spans="1:31" ht="15.75" customHeight="1" x14ac:dyDescent="0.2">
      <c r="A89" s="916"/>
      <c r="B89" s="6">
        <v>46</v>
      </c>
      <c r="C89" s="17">
        <f t="shared" si="0"/>
        <v>45896</v>
      </c>
      <c r="D89" s="6" t="s">
        <v>26</v>
      </c>
      <c r="E89" s="4" t="s">
        <v>380</v>
      </c>
      <c r="F89" s="6">
        <v>5</v>
      </c>
      <c r="G89" s="6">
        <v>8.5500000000000007</v>
      </c>
      <c r="H89" s="29">
        <v>4.4479166666666667E-2</v>
      </c>
      <c r="I89" s="6" t="str">
        <f t="shared" si="14"/>
        <v>7:29</v>
      </c>
      <c r="J89" s="6"/>
      <c r="K89" s="6"/>
      <c r="L89" s="6" t="str">
        <f t="shared" si="2"/>
        <v>0:00</v>
      </c>
      <c r="M89" s="6"/>
      <c r="N89" s="6"/>
      <c r="O89" s="16"/>
      <c r="P89" s="861"/>
      <c r="Q89" s="865"/>
      <c r="R89" s="4"/>
      <c r="S89" s="4"/>
      <c r="T89" s="16">
        <f t="shared" si="15"/>
        <v>68.88000000000001</v>
      </c>
      <c r="U89" s="868">
        <f t="shared" si="18"/>
        <v>67.051428571428573</v>
      </c>
      <c r="V89" s="4">
        <v>70</v>
      </c>
      <c r="W89" s="4">
        <f t="shared" si="19"/>
        <v>66</v>
      </c>
      <c r="X89" s="868">
        <f t="shared" si="20"/>
        <v>69.857142857142861</v>
      </c>
      <c r="Y89" s="4"/>
      <c r="Z89" s="869">
        <f t="shared" si="21"/>
        <v>0.61898070458796339</v>
      </c>
      <c r="AA89" s="4">
        <f>IF(H89*G89,LOOKUP(Z89,'Daniel''s Tables'!$Z$135:$Z$214,'Daniel''s Tables'!$AB$135:$AB$214),0)</f>
        <v>0.1285</v>
      </c>
      <c r="AB89" s="869">
        <f t="shared" si="22"/>
        <v>8.2304250000000003</v>
      </c>
      <c r="AC89" s="871">
        <f t="shared" si="16"/>
        <v>87.921991666666656</v>
      </c>
      <c r="AD89" s="838">
        <f t="shared" si="17"/>
        <v>77.777879761904757</v>
      </c>
      <c r="AE89" s="838"/>
    </row>
    <row r="90" spans="1:31" ht="15.75" customHeight="1" x14ac:dyDescent="0.2">
      <c r="A90" s="916"/>
      <c r="B90" s="6">
        <v>45</v>
      </c>
      <c r="C90" s="17">
        <f t="shared" si="0"/>
        <v>45897</v>
      </c>
      <c r="D90" s="6" t="s">
        <v>27</v>
      </c>
      <c r="E90" s="4" t="s">
        <v>412</v>
      </c>
      <c r="F90" s="6">
        <v>15</v>
      </c>
      <c r="G90" s="6">
        <v>15.09</v>
      </c>
      <c r="H90" s="29">
        <v>6.5659722222222217E-2</v>
      </c>
      <c r="I90" s="6" t="str">
        <f>CONCATENATE(FLOOR((HOUR(H90)*60+MINUTE(H90)+SECOND(H90)/60)/IF(ISBLANK(G90),1,G90),1),":",TEXT(ROUND((((HOUR(H90)*60+MINUTE(H90)+SECOND(H90)/60)/IF(ISBLANK(G90),1,G90))-(FLOOR((HOUR(H90)*60+MINUTE(H90)+SECOND(H90)/60)/IF(ISBLANK(G90),1,G90),1)))*60,0),"00"))</f>
        <v>6:16</v>
      </c>
      <c r="J90" s="29">
        <f>TIME(0,46,30) + TIME(0,16,41)</f>
        <v>4.387731481481482E-2</v>
      </c>
      <c r="K90" s="6">
        <f>8+3</f>
        <v>11</v>
      </c>
      <c r="L90" s="6" t="str">
        <f t="shared" si="2"/>
        <v>5:45</v>
      </c>
      <c r="M90" s="6"/>
      <c r="N90" s="28"/>
      <c r="O90" s="16"/>
      <c r="P90" s="861">
        <f>N91+P83</f>
        <v>4.2494212962962967</v>
      </c>
      <c r="Q90" s="865"/>
      <c r="R90" s="4"/>
      <c r="S90" s="4"/>
      <c r="T90" s="16">
        <f t="shared" si="15"/>
        <v>77.850000000000009</v>
      </c>
      <c r="U90" s="868">
        <f t="shared" si="18"/>
        <v>70.65428571428572</v>
      </c>
      <c r="V90" s="4">
        <v>70</v>
      </c>
      <c r="W90" s="4">
        <f t="shared" si="19"/>
        <v>71</v>
      </c>
      <c r="X90" s="868">
        <f t="shared" si="20"/>
        <v>70.428571428571431</v>
      </c>
      <c r="Y90" s="4"/>
      <c r="Z90" s="869">
        <f t="shared" si="21"/>
        <v>0.77184857527700201</v>
      </c>
      <c r="AA90" s="4">
        <f>IF(H90*G90,LOOKUP(Z90,'Daniel''s Tables'!$Z$135:$Z$214,'Daniel''s Tables'!$AB$135:$AB$214),0)</f>
        <v>0.39200000000000002</v>
      </c>
      <c r="AB90" s="869">
        <f t="shared" si="22"/>
        <v>37.063600000000001</v>
      </c>
      <c r="AC90" s="871">
        <f t="shared" si="16"/>
        <v>120.22059166666665</v>
      </c>
      <c r="AD90" s="838">
        <f t="shared" si="17"/>
        <v>87.719769047619053</v>
      </c>
      <c r="AE90" s="838"/>
    </row>
    <row r="91" spans="1:31" ht="15.75" customHeight="1" x14ac:dyDescent="0.2">
      <c r="A91" s="916"/>
      <c r="B91" s="6">
        <v>44</v>
      </c>
      <c r="C91" s="17">
        <f t="shared" si="0"/>
        <v>45898</v>
      </c>
      <c r="D91" s="6" t="s">
        <v>28</v>
      </c>
      <c r="E91" s="4" t="s">
        <v>442</v>
      </c>
      <c r="F91" s="6">
        <v>5</v>
      </c>
      <c r="G91" s="6">
        <v>5.05</v>
      </c>
      <c r="H91" s="29">
        <v>2.869212962962963E-2</v>
      </c>
      <c r="I91" s="6" t="str">
        <f>CONCATENATE(FLOOR((HOUR(H91)*60+MINUTE(H91)+SECOND(H91)/60)/IF(ISBLANK(G91),1,G91),1),":",TEXT(ROUND((((HOUR(H91)*60+MINUTE(H91)+SECOND(H91)/60)/IF(ISBLANK(G91),1,G91))-(FLOOR((HOUR(H91)*60+MINUTE(H91)+SECOND(H91)/60)/IF(ISBLANK(G91),1,G91),1)))*60,0),"00"))</f>
        <v>8:11</v>
      </c>
      <c r="J91" s="6"/>
      <c r="K91" s="6"/>
      <c r="L91" s="6" t="str">
        <f t="shared" si="2"/>
        <v>0:00</v>
      </c>
      <c r="M91" s="6"/>
      <c r="N91" s="28">
        <f>SUM(H86:H92)</f>
        <v>0.37461805555555555</v>
      </c>
      <c r="O91" s="16"/>
      <c r="P91" s="863">
        <f>N92+P84</f>
        <v>827.43</v>
      </c>
      <c r="Q91" s="866"/>
      <c r="R91" s="4"/>
      <c r="S91" s="6"/>
      <c r="T91" s="16">
        <f t="shared" si="15"/>
        <v>72.680000000000007</v>
      </c>
      <c r="U91" s="868">
        <f t="shared" si="18"/>
        <v>73.071428571428569</v>
      </c>
      <c r="V91" s="4">
        <v>70</v>
      </c>
      <c r="W91" s="4">
        <f t="shared" si="19"/>
        <v>69</v>
      </c>
      <c r="X91" s="868">
        <f t="shared" si="20"/>
        <v>71.142857142857139</v>
      </c>
      <c r="Y91" s="4"/>
      <c r="Z91" s="869">
        <f t="shared" si="21"/>
        <v>0.55481967550996958</v>
      </c>
      <c r="AA91" s="4">
        <f>IF(H91*G91,LOOKUP(Z91,'Daniel''s Tables'!$Z$135:$Z$214,'Daniel''s Tables'!$AB$135:$AB$214),0)</f>
        <v>0.1</v>
      </c>
      <c r="AB91" s="869">
        <f t="shared" si="22"/>
        <v>4.1316666666666668</v>
      </c>
      <c r="AC91" s="871">
        <f t="shared" si="16"/>
        <v>116.41225833333331</v>
      </c>
      <c r="AD91" s="838">
        <f t="shared" si="17"/>
        <v>96.822372619047613</v>
      </c>
      <c r="AE91" s="838"/>
    </row>
    <row r="92" spans="1:31" ht="15.75" customHeight="1" x14ac:dyDescent="0.2">
      <c r="A92" s="916"/>
      <c r="B92" s="6">
        <v>43</v>
      </c>
      <c r="C92" s="17">
        <f t="shared" si="0"/>
        <v>45899</v>
      </c>
      <c r="D92" s="6" t="s">
        <v>30</v>
      </c>
      <c r="E92" s="4" t="s">
        <v>411</v>
      </c>
      <c r="F92" s="6">
        <v>20</v>
      </c>
      <c r="G92" s="6">
        <v>20.18</v>
      </c>
      <c r="H92" s="29">
        <v>0.10240740740740741</v>
      </c>
      <c r="I92" s="6" t="str">
        <f t="shared" si="14"/>
        <v>7:18</v>
      </c>
      <c r="J92" s="29"/>
      <c r="K92" s="6"/>
      <c r="L92" s="6" t="str">
        <f t="shared" si="2"/>
        <v>0:00</v>
      </c>
      <c r="M92" s="4">
        <f>SUM(F86:F92)</f>
        <v>71</v>
      </c>
      <c r="N92" s="6">
        <f>SUM(G86:G92)</f>
        <v>74.830000000000013</v>
      </c>
      <c r="O92" s="16"/>
      <c r="P92" s="863">
        <f>M92+P85</f>
        <v>867</v>
      </c>
      <c r="Q92" s="862">
        <f>P91/P92</f>
        <v>0.95435986159169539</v>
      </c>
      <c r="R92" s="4"/>
      <c r="S92" s="6"/>
      <c r="T92" s="16">
        <f t="shared" si="15"/>
        <v>74.830000000000013</v>
      </c>
      <c r="U92" s="868">
        <f t="shared" si="18"/>
        <v>73.220000000000013</v>
      </c>
      <c r="V92" s="4">
        <v>70</v>
      </c>
      <c r="W92" s="4">
        <f t="shared" si="19"/>
        <v>71</v>
      </c>
      <c r="X92" s="868">
        <f t="shared" si="20"/>
        <v>70.714285714285708</v>
      </c>
      <c r="Y92" s="4"/>
      <c r="Z92" s="869">
        <f t="shared" si="21"/>
        <v>0.63830118332345787</v>
      </c>
      <c r="AA92" s="4">
        <f>IF(H92*G92,LOOKUP(Z92,'Daniel''s Tables'!$Z$135:$Z$214,'Daniel''s Tables'!$AB$135:$AB$214),0)</f>
        <v>0.1585</v>
      </c>
      <c r="AB92" s="869">
        <f t="shared" si="22"/>
        <v>23.373466666666666</v>
      </c>
      <c r="AC92" s="871">
        <f t="shared" si="16"/>
        <v>104.864025</v>
      </c>
      <c r="AD92" s="838">
        <f t="shared" si="17"/>
        <v>99.286414285714272</v>
      </c>
      <c r="AE92" s="838">
        <f>AC92</f>
        <v>104.864025</v>
      </c>
    </row>
    <row r="93" spans="1:31" ht="15.75" customHeight="1" x14ac:dyDescent="0.2">
      <c r="A93" s="915" t="s">
        <v>43</v>
      </c>
      <c r="B93" s="854">
        <v>42</v>
      </c>
      <c r="C93" s="855">
        <f t="shared" si="0"/>
        <v>45900</v>
      </c>
      <c r="D93" s="854" t="s">
        <v>31</v>
      </c>
      <c r="E93" s="856" t="s">
        <v>385</v>
      </c>
      <c r="F93" s="854">
        <v>8</v>
      </c>
      <c r="G93" s="854">
        <v>8.01</v>
      </c>
      <c r="H93" s="857">
        <v>4.6400462962962963E-2</v>
      </c>
      <c r="I93" s="854" t="str">
        <f t="shared" si="14"/>
        <v>8:20</v>
      </c>
      <c r="J93" s="854"/>
      <c r="K93" s="854"/>
      <c r="L93" s="854" t="str">
        <f t="shared" si="2"/>
        <v>0:00</v>
      </c>
      <c r="M93" s="856"/>
      <c r="N93" s="856"/>
      <c r="O93" s="858"/>
      <c r="P93" s="863"/>
      <c r="Q93" s="862"/>
      <c r="R93" s="4"/>
      <c r="S93" s="4"/>
      <c r="T93" s="16">
        <f t="shared" si="15"/>
        <v>74.64</v>
      </c>
      <c r="U93" s="868">
        <f t="shared" si="18"/>
        <v>72.841428571428565</v>
      </c>
      <c r="V93" s="4">
        <v>70</v>
      </c>
      <c r="W93" s="4">
        <f t="shared" si="19"/>
        <v>71</v>
      </c>
      <c r="X93" s="868">
        <f t="shared" si="20"/>
        <v>70.142857142857139</v>
      </c>
      <c r="Y93" s="4"/>
      <c r="Z93" s="869">
        <f t="shared" si="21"/>
        <v>0.54158792640852371</v>
      </c>
      <c r="AA93" s="4">
        <f>IF(H93*G93,LOOKUP(Z93,'Daniel''s Tables'!$Z$135:$Z$214,'Daniel''s Tables'!$AB$135:$AB$214),0)</f>
        <v>0.1</v>
      </c>
      <c r="AB93" s="869">
        <f t="shared" si="22"/>
        <v>6.6816666666666666</v>
      </c>
      <c r="AC93" s="871">
        <f t="shared" si="16"/>
        <v>104.88569166666667</v>
      </c>
      <c r="AD93" s="838">
        <f t="shared" si="17"/>
        <v>101.34117023809524</v>
      </c>
      <c r="AE93" s="838"/>
    </row>
    <row r="94" spans="1:31" ht="15.75" customHeight="1" x14ac:dyDescent="0.2">
      <c r="A94" s="915"/>
      <c r="B94" s="854">
        <v>41</v>
      </c>
      <c r="C94" s="855">
        <f t="shared" si="0"/>
        <v>45901</v>
      </c>
      <c r="D94" s="854" t="s">
        <v>33</v>
      </c>
      <c r="E94" s="856" t="s">
        <v>437</v>
      </c>
      <c r="F94" s="854">
        <v>10</v>
      </c>
      <c r="G94" s="854">
        <v>10</v>
      </c>
      <c r="H94" s="857">
        <v>5.3888888888888889E-2</v>
      </c>
      <c r="I94" s="854" t="str">
        <f t="shared" si="14"/>
        <v>7:46</v>
      </c>
      <c r="J94" s="854"/>
      <c r="K94" s="854"/>
      <c r="L94" s="854" t="str">
        <f t="shared" si="2"/>
        <v>0:00</v>
      </c>
      <c r="M94" s="854"/>
      <c r="N94" s="854"/>
      <c r="O94" s="858"/>
      <c r="P94" s="863"/>
      <c r="Q94" s="864"/>
      <c r="R94" s="4"/>
      <c r="S94" s="4"/>
      <c r="T94" s="16">
        <f t="shared" si="15"/>
        <v>78.61999999999999</v>
      </c>
      <c r="U94" s="868">
        <f t="shared" si="18"/>
        <v>73.694285714285712</v>
      </c>
      <c r="V94" s="4">
        <v>70</v>
      </c>
      <c r="W94" s="4">
        <f t="shared" si="19"/>
        <v>73</v>
      </c>
      <c r="X94" s="868">
        <f t="shared" si="20"/>
        <v>69.857142857142861</v>
      </c>
      <c r="Y94" s="4"/>
      <c r="Z94" s="869">
        <f t="shared" si="21"/>
        <v>0.59251186899025055</v>
      </c>
      <c r="AA94" s="4">
        <f>IF(H94*G94,LOOKUP(Z94,'Daniel''s Tables'!$Z$135:$Z$214,'Daniel''s Tables'!$AB$135:$AB$214),0)</f>
        <v>0.1</v>
      </c>
      <c r="AB94" s="869">
        <f t="shared" si="22"/>
        <v>7.76</v>
      </c>
      <c r="AC94" s="871">
        <f t="shared" si="16"/>
        <v>105.05652500000001</v>
      </c>
      <c r="AD94" s="838">
        <f t="shared" si="17"/>
        <v>103.61609285714283</v>
      </c>
      <c r="AE94" s="838"/>
    </row>
    <row r="95" spans="1:31" ht="15.75" customHeight="1" x14ac:dyDescent="0.2">
      <c r="A95" s="915"/>
      <c r="B95" s="854">
        <v>40</v>
      </c>
      <c r="C95" s="855">
        <f t="shared" si="0"/>
        <v>45902</v>
      </c>
      <c r="D95" s="854" t="s">
        <v>34</v>
      </c>
      <c r="E95" s="856" t="s">
        <v>414</v>
      </c>
      <c r="F95" s="854">
        <v>14</v>
      </c>
      <c r="G95" s="854">
        <v>14.01</v>
      </c>
      <c r="H95" s="857">
        <v>6.4872685185185186E-2</v>
      </c>
      <c r="I95" s="854" t="str">
        <f t="shared" si="14"/>
        <v>6:40</v>
      </c>
      <c r="J95" s="857">
        <f>TIME(0,11,12)+TIME(0,11,7)+TIME(0,11,7)+TIME(0,10,49)</f>
        <v>3.0729166666666665E-2</v>
      </c>
      <c r="K95" s="854">
        <f>4*2</f>
        <v>8</v>
      </c>
      <c r="L95" s="854" t="str">
        <f t="shared" si="2"/>
        <v>5:32</v>
      </c>
      <c r="M95" s="854"/>
      <c r="N95" s="854"/>
      <c r="O95" s="858"/>
      <c r="P95" s="863"/>
      <c r="Q95" s="864"/>
      <c r="R95" s="4"/>
      <c r="S95" s="4"/>
      <c r="T95" s="16">
        <f t="shared" si="15"/>
        <v>80.89</v>
      </c>
      <c r="U95" s="868">
        <f t="shared" si="18"/>
        <v>75.484285714285718</v>
      </c>
      <c r="V95" s="4">
        <v>70</v>
      </c>
      <c r="W95" s="4">
        <f t="shared" si="19"/>
        <v>77</v>
      </c>
      <c r="X95" s="868">
        <f t="shared" si="20"/>
        <v>71.142857142857139</v>
      </c>
      <c r="Y95" s="4"/>
      <c r="Z95" s="869">
        <f t="shared" si="21"/>
        <v>0.7148222129929056</v>
      </c>
      <c r="AA95" s="4">
        <f>IF(H95*G95,LOOKUP(Z95,'Daniel''s Tables'!$Z$135:$Z$214,'Daniel''s Tables'!$AB$135:$AB$214),0)</f>
        <v>0.28299999999999997</v>
      </c>
      <c r="AB95" s="869">
        <f t="shared" si="22"/>
        <v>26.436916666666665</v>
      </c>
      <c r="AC95" s="871">
        <f t="shared" si="16"/>
        <v>113.67774166666668</v>
      </c>
      <c r="AD95" s="838">
        <f t="shared" si="17"/>
        <v>107.57697499999998</v>
      </c>
      <c r="AE95" s="838"/>
    </row>
    <row r="96" spans="1:31" ht="15.75" customHeight="1" x14ac:dyDescent="0.2">
      <c r="A96" s="915"/>
      <c r="B96" s="854">
        <v>39</v>
      </c>
      <c r="C96" s="855">
        <f t="shared" si="0"/>
        <v>45903</v>
      </c>
      <c r="D96" s="854" t="s">
        <v>26</v>
      </c>
      <c r="E96" s="856" t="s">
        <v>437</v>
      </c>
      <c r="F96" s="854">
        <v>10</v>
      </c>
      <c r="G96" s="854">
        <f>8.14+5.03</f>
        <v>13.170000000000002</v>
      </c>
      <c r="H96" s="857">
        <f>TIME(1,6,36) + TIME(0,37,48)</f>
        <v>7.2499999999999995E-2</v>
      </c>
      <c r="I96" s="854" t="str">
        <f t="shared" si="14"/>
        <v>7:56</v>
      </c>
      <c r="J96" s="857">
        <f>TIME(0,3,41)</f>
        <v>2.5578703703703705E-3</v>
      </c>
      <c r="K96" s="854">
        <v>0.8</v>
      </c>
      <c r="L96" s="854" t="str">
        <f t="shared" si="2"/>
        <v>4:36</v>
      </c>
      <c r="M96" s="854"/>
      <c r="N96" s="854"/>
      <c r="O96" s="858"/>
      <c r="P96" s="861"/>
      <c r="Q96" s="865"/>
      <c r="R96" s="4"/>
      <c r="S96" s="4"/>
      <c r="T96" s="16">
        <f t="shared" si="15"/>
        <v>85.51</v>
      </c>
      <c r="U96" s="868">
        <f t="shared" si="18"/>
        <v>77.860000000000014</v>
      </c>
      <c r="V96" s="4">
        <v>70</v>
      </c>
      <c r="W96" s="4">
        <f t="shared" si="19"/>
        <v>82</v>
      </c>
      <c r="X96" s="868">
        <f t="shared" si="20"/>
        <v>73.428571428571431</v>
      </c>
      <c r="Y96" s="4"/>
      <c r="Z96" s="869">
        <f t="shared" si="21"/>
        <v>0.57704442423750801</v>
      </c>
      <c r="AA96" s="4">
        <f>IF(H96*G96,LOOKUP(Z96,'Daniel''s Tables'!$Z$135:$Z$214,'Daniel''s Tables'!$AB$135:$AB$214),0)</f>
        <v>0.1</v>
      </c>
      <c r="AB96" s="869">
        <f t="shared" si="22"/>
        <v>10.44</v>
      </c>
      <c r="AC96" s="871">
        <f t="shared" si="16"/>
        <v>115.88731666666668</v>
      </c>
      <c r="AD96" s="838">
        <f t="shared" si="17"/>
        <v>111.57202142857143</v>
      </c>
      <c r="AE96" s="838"/>
    </row>
    <row r="97" spans="1:31" ht="15.75" customHeight="1" x14ac:dyDescent="0.2">
      <c r="A97" s="915"/>
      <c r="B97" s="854">
        <v>38</v>
      </c>
      <c r="C97" s="855">
        <f t="shared" si="0"/>
        <v>45904</v>
      </c>
      <c r="D97" s="854" t="s">
        <v>27</v>
      </c>
      <c r="E97" s="856" t="s">
        <v>443</v>
      </c>
      <c r="F97" s="854">
        <v>12</v>
      </c>
      <c r="G97" s="854">
        <v>10.11</v>
      </c>
      <c r="H97" s="857">
        <v>5.2743055555555557E-2</v>
      </c>
      <c r="I97" s="854" t="str">
        <f t="shared" si="14"/>
        <v>7:31</v>
      </c>
      <c r="J97" s="854"/>
      <c r="K97" s="854"/>
      <c r="L97" s="854" t="str">
        <f t="shared" si="2"/>
        <v>0:00</v>
      </c>
      <c r="M97" s="854"/>
      <c r="N97" s="859"/>
      <c r="O97" s="858"/>
      <c r="P97" s="861">
        <f>N98+P90</f>
        <v>4.6558217592592595</v>
      </c>
      <c r="Q97" s="865"/>
      <c r="R97" s="4"/>
      <c r="S97" s="4"/>
      <c r="T97" s="16">
        <f t="shared" si="15"/>
        <v>80.53</v>
      </c>
      <c r="U97" s="868">
        <f t="shared" si="18"/>
        <v>78.242857142857147</v>
      </c>
      <c r="V97" s="4">
        <v>70</v>
      </c>
      <c r="W97" s="4">
        <f t="shared" si="19"/>
        <v>79</v>
      </c>
      <c r="X97" s="868">
        <f t="shared" si="20"/>
        <v>74.571428571428569</v>
      </c>
      <c r="Y97" s="4"/>
      <c r="Z97" s="869">
        <f t="shared" si="21"/>
        <v>0.61682385230994796</v>
      </c>
      <c r="AA97" s="4">
        <f>IF(H97*G97,LOOKUP(Z97,'Daniel''s Tables'!$Z$135:$Z$214,'Daniel''s Tables'!$AB$135:$AB$214),0)</f>
        <v>0.1285</v>
      </c>
      <c r="AB97" s="869">
        <f t="shared" si="22"/>
        <v>9.7595749999999999</v>
      </c>
      <c r="AC97" s="871">
        <f t="shared" si="16"/>
        <v>88.583291666666653</v>
      </c>
      <c r="AD97" s="838">
        <f t="shared" si="17"/>
        <v>107.05240714285716</v>
      </c>
      <c r="AE97" s="838"/>
    </row>
    <row r="98" spans="1:31" ht="15.75" customHeight="1" x14ac:dyDescent="0.2">
      <c r="A98" s="915"/>
      <c r="B98" s="854">
        <v>37</v>
      </c>
      <c r="C98" s="855">
        <f t="shared" si="0"/>
        <v>45905</v>
      </c>
      <c r="D98" s="854" t="s">
        <v>28</v>
      </c>
      <c r="E98" s="856" t="s">
        <v>440</v>
      </c>
      <c r="F98" s="854">
        <v>7</v>
      </c>
      <c r="G98" s="854">
        <v>5.04</v>
      </c>
      <c r="H98" s="857">
        <v>2.8483796296296295E-2</v>
      </c>
      <c r="I98" s="854" t="str">
        <f t="shared" si="14"/>
        <v>8:08</v>
      </c>
      <c r="J98" s="854"/>
      <c r="K98" s="854"/>
      <c r="L98" s="854" t="str">
        <f t="shared" si="2"/>
        <v>0:00</v>
      </c>
      <c r="M98" s="854"/>
      <c r="N98" s="859">
        <f>SUM(H93:H99)</f>
        <v>0.40640046296296295</v>
      </c>
      <c r="O98" s="858"/>
      <c r="P98" s="863">
        <f>N99+P91</f>
        <v>907.78</v>
      </c>
      <c r="Q98" s="866"/>
      <c r="R98" s="4"/>
      <c r="S98" s="4"/>
      <c r="T98" s="16">
        <f t="shared" si="15"/>
        <v>80.52000000000001</v>
      </c>
      <c r="U98" s="868">
        <f t="shared" si="18"/>
        <v>79.362857142857138</v>
      </c>
      <c r="V98" s="4">
        <v>70</v>
      </c>
      <c r="W98" s="4">
        <f t="shared" si="19"/>
        <v>81</v>
      </c>
      <c r="X98" s="868">
        <f t="shared" si="20"/>
        <v>76.285714285714292</v>
      </c>
      <c r="Y98" s="4"/>
      <c r="Z98" s="869">
        <f t="shared" si="21"/>
        <v>0.55849432268213306</v>
      </c>
      <c r="AA98" s="4">
        <f>IF(H98*G98,LOOKUP(Z98,'Daniel''s Tables'!$Z$135:$Z$214,'Daniel''s Tables'!$AB$135:$AB$214),0)</f>
        <v>0.1</v>
      </c>
      <c r="AB98" s="869">
        <f t="shared" si="22"/>
        <v>4.1016666666666666</v>
      </c>
      <c r="AC98" s="871">
        <f t="shared" si="16"/>
        <v>88.553291666666667</v>
      </c>
      <c r="AD98" s="838">
        <f t="shared" si="17"/>
        <v>103.07255476190478</v>
      </c>
      <c r="AE98" s="838"/>
    </row>
    <row r="99" spans="1:31" ht="15.75" customHeight="1" x14ac:dyDescent="0.2">
      <c r="A99" s="915"/>
      <c r="B99" s="854">
        <v>36</v>
      </c>
      <c r="C99" s="855">
        <f t="shared" si="0"/>
        <v>45906</v>
      </c>
      <c r="D99" s="854" t="s">
        <v>30</v>
      </c>
      <c r="E99" s="856" t="s">
        <v>502</v>
      </c>
      <c r="F99" s="854">
        <v>19</v>
      </c>
      <c r="G99" s="854">
        <v>20.010000000000002</v>
      </c>
      <c r="H99" s="857">
        <v>8.7511574074074075E-2</v>
      </c>
      <c r="I99" s="854" t="str">
        <f t="shared" si="14"/>
        <v>6:18</v>
      </c>
      <c r="J99" s="857">
        <f>TIME(0,46,57)+TIME(0,5,34)+TIME(0,23,25)+TIME(0,5,33)+TIME(0,5,49)</f>
        <v>6.0624999999999991E-2</v>
      </c>
      <c r="K99" s="854">
        <f>8+1+4+1+1</f>
        <v>15</v>
      </c>
      <c r="L99" s="854" t="str">
        <f t="shared" si="2"/>
        <v>5:49</v>
      </c>
      <c r="M99" s="856">
        <f>SUM(F93:F99)</f>
        <v>80</v>
      </c>
      <c r="N99" s="854">
        <f>SUM(G93:G99)</f>
        <v>80.349999999999994</v>
      </c>
      <c r="O99" s="858"/>
      <c r="P99" s="863">
        <f>M99+P92</f>
        <v>947</v>
      </c>
      <c r="Q99" s="862">
        <f>P98/P99</f>
        <v>0.95858500527983104</v>
      </c>
      <c r="R99" s="4"/>
      <c r="S99" s="4"/>
      <c r="T99" s="16">
        <f t="shared" si="15"/>
        <v>80.349999999999994</v>
      </c>
      <c r="U99" s="868">
        <f t="shared" si="18"/>
        <v>80.151428571428568</v>
      </c>
      <c r="V99" s="4">
        <v>70</v>
      </c>
      <c r="W99" s="4">
        <f t="shared" si="19"/>
        <v>80</v>
      </c>
      <c r="X99" s="868">
        <f t="shared" si="20"/>
        <v>77.571428571428569</v>
      </c>
      <c r="Y99" s="4"/>
      <c r="Z99" s="869">
        <f t="shared" si="21"/>
        <v>0.76702167884495132</v>
      </c>
      <c r="AA99" s="4">
        <f>IF(H99*G99,LOOKUP(Z99,'Daniel''s Tables'!$Z$135:$Z$214,'Daniel''s Tables'!$AB$135:$AB$214),0)</f>
        <v>0.3795</v>
      </c>
      <c r="AB99" s="869">
        <f t="shared" si="22"/>
        <v>47.823324999999997</v>
      </c>
      <c r="AC99" s="871">
        <f t="shared" si="16"/>
        <v>113.00314999999999</v>
      </c>
      <c r="AD99" s="838">
        <f t="shared" si="17"/>
        <v>104.23528690476191</v>
      </c>
      <c r="AE99" s="838">
        <f>AC99</f>
        <v>113.00314999999999</v>
      </c>
    </row>
    <row r="100" spans="1:31" ht="15.75" customHeight="1" x14ac:dyDescent="0.2">
      <c r="A100" s="916" t="s">
        <v>44</v>
      </c>
      <c r="B100" s="6">
        <v>35</v>
      </c>
      <c r="C100" s="17">
        <f t="shared" si="0"/>
        <v>45907</v>
      </c>
      <c r="D100" s="6" t="s">
        <v>31</v>
      </c>
      <c r="E100" s="4" t="s">
        <v>385</v>
      </c>
      <c r="F100" s="6">
        <v>8</v>
      </c>
      <c r="G100" s="6">
        <v>7.75</v>
      </c>
      <c r="H100" s="29">
        <v>4.1643518518518517E-2</v>
      </c>
      <c r="I100" s="6" t="str">
        <f t="shared" si="14"/>
        <v>7:44</v>
      </c>
      <c r="J100" s="6"/>
      <c r="K100" s="6"/>
      <c r="L100" s="6" t="str">
        <f t="shared" si="2"/>
        <v>0:00</v>
      </c>
      <c r="M100" s="4"/>
      <c r="N100" s="4"/>
      <c r="O100" s="16"/>
      <c r="P100" s="863"/>
      <c r="Q100" s="862"/>
      <c r="R100" s="4"/>
      <c r="S100" s="4"/>
      <c r="T100" s="16">
        <f t="shared" si="15"/>
        <v>80.09</v>
      </c>
      <c r="U100" s="868">
        <f t="shared" si="18"/>
        <v>80.929999999999993</v>
      </c>
      <c r="V100" s="4">
        <v>70</v>
      </c>
      <c r="W100" s="4">
        <f t="shared" si="19"/>
        <v>80</v>
      </c>
      <c r="X100" s="868">
        <f t="shared" si="20"/>
        <v>78.857142857142861</v>
      </c>
      <c r="Y100" s="4"/>
      <c r="Z100" s="869">
        <f t="shared" si="21"/>
        <v>0.59463759722697374</v>
      </c>
      <c r="AA100" s="4">
        <f>IF(H100*G100,LOOKUP(Z100,'Daniel''s Tables'!$Z$135:$Z$214,'Daniel''s Tables'!$AB$135:$AB$214),0)</f>
        <v>0.1</v>
      </c>
      <c r="AB100" s="869">
        <f t="shared" si="22"/>
        <v>5.9966666666666661</v>
      </c>
      <c r="AC100" s="871">
        <f t="shared" si="16"/>
        <v>112.31815</v>
      </c>
      <c r="AD100" s="838">
        <f t="shared" si="17"/>
        <v>105.29706666666665</v>
      </c>
      <c r="AE100" s="838"/>
    </row>
    <row r="101" spans="1:31" ht="15.75" customHeight="1" x14ac:dyDescent="0.2">
      <c r="A101" s="916"/>
      <c r="B101" s="6">
        <v>34</v>
      </c>
      <c r="C101" s="17">
        <f t="shared" si="0"/>
        <v>45908</v>
      </c>
      <c r="D101" s="6" t="s">
        <v>33</v>
      </c>
      <c r="E101" s="4" t="s">
        <v>437</v>
      </c>
      <c r="F101" s="6">
        <v>10</v>
      </c>
      <c r="G101" s="6">
        <v>11.11</v>
      </c>
      <c r="H101" s="29">
        <v>6.1782407407407404E-2</v>
      </c>
      <c r="I101" s="6" t="str">
        <f t="shared" si="14"/>
        <v>8:00</v>
      </c>
      <c r="J101" s="6"/>
      <c r="K101" s="6"/>
      <c r="L101" s="6" t="str">
        <f t="shared" si="2"/>
        <v>0:00</v>
      </c>
      <c r="M101" s="6"/>
      <c r="N101" s="6"/>
      <c r="O101" s="16"/>
      <c r="P101" s="863"/>
      <c r="Q101" s="864"/>
      <c r="R101" s="4"/>
      <c r="S101" s="4"/>
      <c r="T101" s="16">
        <f t="shared" si="15"/>
        <v>81.2</v>
      </c>
      <c r="U101" s="868">
        <f t="shared" si="18"/>
        <v>81.298571428571449</v>
      </c>
      <c r="V101" s="4">
        <v>70</v>
      </c>
      <c r="W101" s="4">
        <f t="shared" si="19"/>
        <v>80</v>
      </c>
      <c r="X101" s="868">
        <f t="shared" si="20"/>
        <v>79.857142857142861</v>
      </c>
      <c r="Y101" s="4"/>
      <c r="Z101" s="869">
        <f t="shared" si="21"/>
        <v>0.56982801057266497</v>
      </c>
      <c r="AA101" s="4">
        <f>IF(H101*G101,LOOKUP(Z101,'Daniel''s Tables'!$Z$135:$Z$214,'Daniel''s Tables'!$AB$135:$AB$214),0)</f>
        <v>0.1</v>
      </c>
      <c r="AB101" s="869">
        <f t="shared" si="22"/>
        <v>8.8966666666666665</v>
      </c>
      <c r="AC101" s="871">
        <f t="shared" si="16"/>
        <v>113.45481666666666</v>
      </c>
      <c r="AD101" s="838">
        <f t="shared" si="17"/>
        <v>106.49682261904761</v>
      </c>
      <c r="AE101" s="838"/>
    </row>
    <row r="102" spans="1:31" ht="15.75" customHeight="1" x14ac:dyDescent="0.2">
      <c r="A102" s="916"/>
      <c r="B102" s="6">
        <v>33</v>
      </c>
      <c r="C102" s="17">
        <f t="shared" si="0"/>
        <v>45909</v>
      </c>
      <c r="D102" s="6" t="s">
        <v>34</v>
      </c>
      <c r="E102" s="4" t="s">
        <v>416</v>
      </c>
      <c r="F102" s="6">
        <v>14</v>
      </c>
      <c r="G102" s="6">
        <v>12</v>
      </c>
      <c r="H102" s="29">
        <v>5.6064814814814817E-2</v>
      </c>
      <c r="I102" s="6" t="str">
        <f t="shared" si="14"/>
        <v>6:44</v>
      </c>
      <c r="J102" s="29">
        <f>TIME(0,30,175)</f>
        <v>2.2858796296296297E-2</v>
      </c>
      <c r="K102" s="873">
        <v>6.2</v>
      </c>
      <c r="L102" s="6" t="str">
        <f t="shared" si="2"/>
        <v>5:19</v>
      </c>
      <c r="M102" s="6"/>
      <c r="N102" s="6"/>
      <c r="O102" s="16"/>
      <c r="P102" s="863"/>
      <c r="Q102" s="864"/>
      <c r="R102" s="4"/>
      <c r="S102" s="4"/>
      <c r="T102" s="16">
        <f t="shared" si="15"/>
        <v>79.19</v>
      </c>
      <c r="U102" s="868">
        <f t="shared" si="18"/>
        <v>81.055714285714288</v>
      </c>
      <c r="V102" s="4">
        <v>70</v>
      </c>
      <c r="W102" s="4">
        <f t="shared" si="19"/>
        <v>80</v>
      </c>
      <c r="X102" s="868">
        <f t="shared" si="20"/>
        <v>80.285714285714292</v>
      </c>
      <c r="Y102" s="4"/>
      <c r="Z102" s="869">
        <f t="shared" si="21"/>
        <v>0.70697005711369276</v>
      </c>
      <c r="AA102" s="4">
        <f>IF(H102*G102,LOOKUP(Z102,'Daniel''s Tables'!$Z$135:$Z$214,'Daniel''s Tables'!$AB$135:$AB$214),0)</f>
        <v>0.26649999999999996</v>
      </c>
      <c r="AB102" s="869">
        <f t="shared" si="22"/>
        <v>21.515433333333331</v>
      </c>
      <c r="AC102" s="871">
        <f t="shared" si="16"/>
        <v>108.53333333333333</v>
      </c>
      <c r="AD102" s="838">
        <f t="shared" si="17"/>
        <v>105.76190714285713</v>
      </c>
      <c r="AE102" s="838"/>
    </row>
    <row r="103" spans="1:31" ht="15.75" customHeight="1" x14ac:dyDescent="0.2">
      <c r="A103" s="916"/>
      <c r="B103" s="6">
        <v>32</v>
      </c>
      <c r="C103" s="17">
        <f t="shared" si="0"/>
        <v>45910</v>
      </c>
      <c r="D103" s="6" t="s">
        <v>26</v>
      </c>
      <c r="E103" s="4" t="s">
        <v>384</v>
      </c>
      <c r="F103" s="6">
        <v>7</v>
      </c>
      <c r="G103" s="6">
        <v>11.43</v>
      </c>
      <c r="H103" s="29">
        <v>6.643518518518518E-2</v>
      </c>
      <c r="I103" s="6" t="str">
        <f t="shared" si="14"/>
        <v>8:22</v>
      </c>
      <c r="J103" s="29"/>
      <c r="K103" s="6"/>
      <c r="L103" s="6" t="str">
        <f t="shared" si="2"/>
        <v>0:00</v>
      </c>
      <c r="M103" s="6"/>
      <c r="N103" s="6"/>
      <c r="O103" s="16"/>
      <c r="P103" s="861"/>
      <c r="Q103" s="865"/>
      <c r="R103" s="4"/>
      <c r="S103" s="4"/>
      <c r="T103" s="16">
        <f t="shared" si="15"/>
        <v>77.449999999999989</v>
      </c>
      <c r="U103" s="868">
        <f t="shared" si="18"/>
        <v>79.904285714285706</v>
      </c>
      <c r="V103" s="4">
        <v>70</v>
      </c>
      <c r="W103" s="4">
        <f t="shared" si="19"/>
        <v>77</v>
      </c>
      <c r="X103" s="868">
        <f t="shared" si="20"/>
        <v>79.571428571428569</v>
      </c>
      <c r="Y103" s="4"/>
      <c r="Z103" s="869">
        <f t="shared" si="21"/>
        <v>0.53932053308661643</v>
      </c>
      <c r="AA103" s="4">
        <f>IF(H103*G103,LOOKUP(Z103,'Daniel''s Tables'!$Z$135:$Z$214,'Daniel''s Tables'!$AB$135:$AB$214),0)</f>
        <v>0.1</v>
      </c>
      <c r="AB103" s="869">
        <f t="shared" si="22"/>
        <v>9.5666666666666664</v>
      </c>
      <c r="AC103" s="871">
        <f t="shared" si="16"/>
        <v>107.65999999999998</v>
      </c>
      <c r="AD103" s="838">
        <f t="shared" si="17"/>
        <v>104.58657619047618</v>
      </c>
      <c r="AE103" s="838"/>
    </row>
    <row r="104" spans="1:31" ht="15.75" customHeight="1" x14ac:dyDescent="0.2">
      <c r="A104" s="916"/>
      <c r="B104" s="6">
        <v>31</v>
      </c>
      <c r="C104" s="17">
        <f t="shared" si="0"/>
        <v>45911</v>
      </c>
      <c r="D104" s="6" t="s">
        <v>27</v>
      </c>
      <c r="E104" s="4" t="s">
        <v>443</v>
      </c>
      <c r="F104" s="6">
        <v>12</v>
      </c>
      <c r="G104" s="6">
        <v>10.02</v>
      </c>
      <c r="H104" s="29">
        <v>5.1504629629629629E-2</v>
      </c>
      <c r="I104" s="6" t="str">
        <f t="shared" si="14"/>
        <v>7:24</v>
      </c>
      <c r="J104" s="6"/>
      <c r="K104" s="6"/>
      <c r="L104" s="6" t="str">
        <f t="shared" si="2"/>
        <v>0:00</v>
      </c>
      <c r="M104" s="6"/>
      <c r="N104" s="28"/>
      <c r="O104" s="16"/>
      <c r="P104" s="861">
        <f>N105+P97</f>
        <v>5.0557523148148151</v>
      </c>
      <c r="Q104" s="865"/>
      <c r="R104" s="4"/>
      <c r="S104" s="4"/>
      <c r="T104" s="16">
        <f t="shared" si="15"/>
        <v>77.36</v>
      </c>
      <c r="U104" s="868">
        <f t="shared" si="18"/>
        <v>79.451428571428565</v>
      </c>
      <c r="V104" s="4">
        <v>70</v>
      </c>
      <c r="W104" s="4">
        <f t="shared" si="19"/>
        <v>77</v>
      </c>
      <c r="X104" s="868">
        <f t="shared" si="20"/>
        <v>79.285714285714292</v>
      </c>
      <c r="Y104" s="4"/>
      <c r="Z104" s="869">
        <f t="shared" si="21"/>
        <v>0.62824983531960366</v>
      </c>
      <c r="AA104" s="4">
        <f>IF(H104*G104,LOOKUP(Z104,'Daniel''s Tables'!$Z$135:$Z$214,'Daniel''s Tables'!$AB$135:$AB$214),0)</f>
        <v>0.14250000000000002</v>
      </c>
      <c r="AB104" s="869">
        <f t="shared" si="22"/>
        <v>10.568750000000001</v>
      </c>
      <c r="AC104" s="871">
        <f t="shared" si="16"/>
        <v>108.46917499999998</v>
      </c>
      <c r="AD104" s="838">
        <f t="shared" si="17"/>
        <v>107.42741666666666</v>
      </c>
      <c r="AE104" s="838"/>
    </row>
    <row r="105" spans="1:31" ht="15.75" customHeight="1" x14ac:dyDescent="0.2">
      <c r="A105" s="916"/>
      <c r="B105" s="6">
        <v>30</v>
      </c>
      <c r="C105" s="17">
        <f t="shared" si="0"/>
        <v>45912</v>
      </c>
      <c r="D105" s="6" t="s">
        <v>28</v>
      </c>
      <c r="E105" s="4" t="s">
        <v>384</v>
      </c>
      <c r="F105" s="6">
        <v>7</v>
      </c>
      <c r="G105" s="6">
        <v>6.73</v>
      </c>
      <c r="H105" s="29">
        <v>3.695601851851852E-2</v>
      </c>
      <c r="I105" s="6" t="str">
        <f t="shared" si="14"/>
        <v>7:54</v>
      </c>
      <c r="J105" s="6"/>
      <c r="K105" s="6"/>
      <c r="L105" s="6" t="str">
        <f t="shared" si="2"/>
        <v>0:00</v>
      </c>
      <c r="M105" s="6"/>
      <c r="N105" s="28">
        <f>SUM(H100:H106)</f>
        <v>0.39993055555555557</v>
      </c>
      <c r="O105" s="16"/>
      <c r="P105" s="863">
        <f>N106+P98</f>
        <v>985.21</v>
      </c>
      <c r="Q105" s="866"/>
      <c r="R105" s="4"/>
      <c r="S105" s="4"/>
      <c r="T105" s="16">
        <f t="shared" si="15"/>
        <v>79.050000000000011</v>
      </c>
      <c r="U105" s="868">
        <f t="shared" si="18"/>
        <v>79.241428571428585</v>
      </c>
      <c r="V105" s="4">
        <v>70</v>
      </c>
      <c r="W105" s="4">
        <f t="shared" si="19"/>
        <v>77</v>
      </c>
      <c r="X105" s="868">
        <f t="shared" si="20"/>
        <v>78.714285714285708</v>
      </c>
      <c r="Y105" s="4"/>
      <c r="Z105" s="869">
        <f t="shared" si="21"/>
        <v>0.57883313799051361</v>
      </c>
      <c r="AA105" s="4">
        <f>IF(H105*G105,LOOKUP(Z105,'Daniel''s Tables'!$Z$135:$Z$214,'Daniel''s Tables'!$AB$135:$AB$214),0)</f>
        <v>0.1</v>
      </c>
      <c r="AB105" s="869">
        <f t="shared" si="22"/>
        <v>5.3216666666666672</v>
      </c>
      <c r="AC105" s="871">
        <f t="shared" si="16"/>
        <v>109.68917499999999</v>
      </c>
      <c r="AD105" s="838">
        <f t="shared" si="17"/>
        <v>110.44682857142855</v>
      </c>
      <c r="AE105" s="838"/>
    </row>
    <row r="106" spans="1:31" ht="15.75" customHeight="1" x14ac:dyDescent="0.2">
      <c r="A106" s="916"/>
      <c r="B106" s="6">
        <v>29</v>
      </c>
      <c r="C106" s="17">
        <f t="shared" si="0"/>
        <v>45913</v>
      </c>
      <c r="D106" s="6" t="s">
        <v>30</v>
      </c>
      <c r="E106" s="4" t="s">
        <v>415</v>
      </c>
      <c r="F106" s="6">
        <v>16</v>
      </c>
      <c r="G106" s="6">
        <v>18.39</v>
      </c>
      <c r="H106" s="29">
        <v>8.5543981481481485E-2</v>
      </c>
      <c r="I106" s="6" t="str">
        <f t="shared" si="14"/>
        <v>6:42</v>
      </c>
      <c r="J106" s="29">
        <f>TIME(0,26,14)</f>
        <v>1.8217592592592594E-2</v>
      </c>
      <c r="K106" s="6">
        <v>5.0999999999999996</v>
      </c>
      <c r="L106" s="6" t="str">
        <f t="shared" si="2"/>
        <v>5:09</v>
      </c>
      <c r="M106" s="4">
        <f>SUM(F100:F106)</f>
        <v>74</v>
      </c>
      <c r="N106" s="6">
        <f>SUM(G100:G106)</f>
        <v>77.430000000000007</v>
      </c>
      <c r="O106" s="16"/>
      <c r="P106" s="863">
        <f>M106+P99</f>
        <v>1021</v>
      </c>
      <c r="Q106" s="862">
        <f>P105/P106</f>
        <v>0.96494613124387862</v>
      </c>
      <c r="R106" s="4"/>
      <c r="S106" s="4"/>
      <c r="T106" s="16">
        <f t="shared" si="15"/>
        <v>77.430000000000007</v>
      </c>
      <c r="U106" s="868">
        <f t="shared" si="18"/>
        <v>78.824285714285708</v>
      </c>
      <c r="V106" s="4">
        <v>70</v>
      </c>
      <c r="W106" s="4">
        <f t="shared" si="19"/>
        <v>74</v>
      </c>
      <c r="X106" s="868">
        <f t="shared" si="20"/>
        <v>77.857142857142861</v>
      </c>
      <c r="Y106" s="4"/>
      <c r="Z106" s="869">
        <f t="shared" si="21"/>
        <v>0.71080202906965195</v>
      </c>
      <c r="AA106" s="4">
        <f>IF(H106*G106,LOOKUP(Z106,'Daniel''s Tables'!$Z$135:$Z$214,'Daniel''s Tables'!$AB$135:$AB$214),0)</f>
        <v>0.28299999999999997</v>
      </c>
      <c r="AB106" s="869">
        <f t="shared" si="22"/>
        <v>34.860883333333334</v>
      </c>
      <c r="AC106" s="871">
        <f t="shared" si="16"/>
        <v>96.726733333333328</v>
      </c>
      <c r="AD106" s="838">
        <f t="shared" si="17"/>
        <v>108.12162619047616</v>
      </c>
      <c r="AE106" s="838">
        <f>AC106</f>
        <v>96.726733333333328</v>
      </c>
    </row>
    <row r="107" spans="1:31" ht="15.75" customHeight="1" x14ac:dyDescent="0.2">
      <c r="A107" s="915" t="s">
        <v>45</v>
      </c>
      <c r="B107" s="854">
        <v>28</v>
      </c>
      <c r="C107" s="855">
        <f t="shared" si="0"/>
        <v>45914</v>
      </c>
      <c r="D107" s="854" t="s">
        <v>31</v>
      </c>
      <c r="E107" s="856" t="s">
        <v>381</v>
      </c>
      <c r="F107" s="854">
        <v>6</v>
      </c>
      <c r="G107" s="854">
        <v>5.22</v>
      </c>
      <c r="H107" s="859">
        <v>2.826388888888889E-2</v>
      </c>
      <c r="I107" s="854" t="str">
        <f t="shared" si="14"/>
        <v>7:48</v>
      </c>
      <c r="J107" s="857"/>
      <c r="K107" s="854"/>
      <c r="L107" s="854" t="str">
        <f t="shared" si="2"/>
        <v>0:00</v>
      </c>
      <c r="M107" s="856"/>
      <c r="N107" s="856"/>
      <c r="O107" s="858"/>
      <c r="P107" s="863"/>
      <c r="Q107" s="862"/>
      <c r="R107" s="4"/>
      <c r="S107" s="4"/>
      <c r="T107" s="16">
        <f t="shared" si="15"/>
        <v>74.900000000000006</v>
      </c>
      <c r="U107" s="868">
        <f t="shared" si="18"/>
        <v>78.082857142857151</v>
      </c>
      <c r="V107" s="4">
        <v>70</v>
      </c>
      <c r="W107" s="4">
        <f t="shared" si="19"/>
        <v>72</v>
      </c>
      <c r="X107" s="868">
        <f t="shared" si="20"/>
        <v>76.714285714285708</v>
      </c>
      <c r="Y107" s="4"/>
      <c r="Z107" s="869">
        <f t="shared" si="21"/>
        <v>0.58903065146142763</v>
      </c>
      <c r="AA107" s="4">
        <f>IF(H107*G107,LOOKUP(Z107,'Daniel''s Tables'!$Z$135:$Z$214,'Daniel''s Tables'!$AB$135:$AB$214),0)</f>
        <v>0.1</v>
      </c>
      <c r="AB107" s="869">
        <f t="shared" si="22"/>
        <v>4.07</v>
      </c>
      <c r="AC107" s="871">
        <f t="shared" si="16"/>
        <v>94.800066666666652</v>
      </c>
      <c r="AD107" s="838">
        <f t="shared" si="17"/>
        <v>105.61904285714284</v>
      </c>
      <c r="AE107" s="838"/>
    </row>
    <row r="108" spans="1:31" ht="15.75" customHeight="1" x14ac:dyDescent="0.2">
      <c r="A108" s="915"/>
      <c r="B108" s="854">
        <v>27</v>
      </c>
      <c r="C108" s="855">
        <f t="shared" si="0"/>
        <v>45915</v>
      </c>
      <c r="D108" s="854" t="s">
        <v>33</v>
      </c>
      <c r="E108" s="856" t="s">
        <v>437</v>
      </c>
      <c r="F108" s="854">
        <v>10</v>
      </c>
      <c r="G108" s="854">
        <v>9.34</v>
      </c>
      <c r="H108" s="857">
        <f>TIME(1,5,32) + TIME(0,4,54)</f>
        <v>4.8912037037037032E-2</v>
      </c>
      <c r="I108" s="854" t="str">
        <f t="shared" si="14"/>
        <v>7:32</v>
      </c>
      <c r="J108" s="854"/>
      <c r="K108" s="854"/>
      <c r="L108" s="854" t="str">
        <f t="shared" si="2"/>
        <v>0:00</v>
      </c>
      <c r="M108" s="854"/>
      <c r="N108" s="854"/>
      <c r="O108" s="858"/>
      <c r="P108" s="863"/>
      <c r="Q108" s="864"/>
      <c r="R108" s="4"/>
      <c r="S108" s="4"/>
      <c r="T108" s="16">
        <f t="shared" si="15"/>
        <v>73.13000000000001</v>
      </c>
      <c r="U108" s="868">
        <f t="shared" si="18"/>
        <v>76.929999999999993</v>
      </c>
      <c r="V108" s="4">
        <v>70</v>
      </c>
      <c r="W108" s="4">
        <f t="shared" si="19"/>
        <v>72</v>
      </c>
      <c r="X108" s="868">
        <f t="shared" si="20"/>
        <v>75.571428571428569</v>
      </c>
      <c r="Y108" s="4"/>
      <c r="Z108" s="869">
        <f t="shared" si="21"/>
        <v>0.613918566912528</v>
      </c>
      <c r="AA108" s="4">
        <f>IF(H108*G108,LOOKUP(Z108,'Daniel''s Tables'!$Z$135:$Z$214,'Daniel''s Tables'!$AB$135:$AB$214),0)</f>
        <v>0.122</v>
      </c>
      <c r="AB108" s="869">
        <f t="shared" si="22"/>
        <v>8.5928666666666658</v>
      </c>
      <c r="AC108" s="871">
        <f t="shared" si="16"/>
        <v>94.496266666666671</v>
      </c>
      <c r="AD108" s="838">
        <f t="shared" si="17"/>
        <v>102.91067857142856</v>
      </c>
      <c r="AE108" s="838"/>
    </row>
    <row r="109" spans="1:31" ht="15.75" customHeight="1" x14ac:dyDescent="0.2">
      <c r="A109" s="915"/>
      <c r="B109" s="854">
        <v>26</v>
      </c>
      <c r="C109" s="855">
        <f t="shared" si="0"/>
        <v>45916</v>
      </c>
      <c r="D109" s="854" t="s">
        <v>34</v>
      </c>
      <c r="E109" s="856" t="s">
        <v>417</v>
      </c>
      <c r="F109" s="854">
        <v>12</v>
      </c>
      <c r="G109" s="854">
        <v>13.02</v>
      </c>
      <c r="H109" s="857">
        <v>5.9918981481481483E-2</v>
      </c>
      <c r="I109" s="854" t="str">
        <f t="shared" si="14"/>
        <v>6:38</v>
      </c>
      <c r="J109" s="857">
        <f>TIME(0,15,69) + TIME(0,9,35)+ TIME(0,0,70+69+67+66)</f>
        <v>2.101851851851852E-2</v>
      </c>
      <c r="K109" s="854">
        <v>5.84</v>
      </c>
      <c r="L109" s="854" t="str">
        <f t="shared" si="2"/>
        <v>5:11</v>
      </c>
      <c r="M109" s="854"/>
      <c r="N109" s="854"/>
      <c r="O109" s="858"/>
      <c r="P109" s="863"/>
      <c r="Q109" s="864"/>
      <c r="R109" s="4"/>
      <c r="S109" s="4"/>
      <c r="T109" s="16">
        <f t="shared" si="15"/>
        <v>74.149999999999991</v>
      </c>
      <c r="U109" s="868">
        <f t="shared" si="18"/>
        <v>76.210000000000008</v>
      </c>
      <c r="V109" s="4">
        <v>70</v>
      </c>
      <c r="W109" s="4">
        <f t="shared" si="19"/>
        <v>70</v>
      </c>
      <c r="X109" s="868">
        <f t="shared" si="20"/>
        <v>74.142857142857139</v>
      </c>
      <c r="Y109" s="4"/>
      <c r="Z109" s="869">
        <f t="shared" si="21"/>
        <v>0.72026845232988712</v>
      </c>
      <c r="AA109" s="4">
        <f>IF(H109*G109,LOOKUP(Z109,'Daniel''s Tables'!$Z$135:$Z$214,'Daniel''s Tables'!$AB$135:$AB$214),0)</f>
        <v>0.3</v>
      </c>
      <c r="AB109" s="869">
        <f t="shared" si="22"/>
        <v>25.884999999999998</v>
      </c>
      <c r="AC109" s="871">
        <f t="shared" si="16"/>
        <v>98.865833333333342</v>
      </c>
      <c r="AD109" s="838">
        <f t="shared" si="17"/>
        <v>101.52960714285713</v>
      </c>
      <c r="AE109" s="838"/>
    </row>
    <row r="110" spans="1:31" ht="15.75" customHeight="1" x14ac:dyDescent="0.2">
      <c r="A110" s="915"/>
      <c r="B110" s="854">
        <v>25</v>
      </c>
      <c r="C110" s="855">
        <f t="shared" si="0"/>
        <v>45917</v>
      </c>
      <c r="D110" s="854" t="s">
        <v>26</v>
      </c>
      <c r="E110" s="856" t="s">
        <v>384</v>
      </c>
      <c r="F110" s="854">
        <v>7</v>
      </c>
      <c r="G110" s="854">
        <v>6.23</v>
      </c>
      <c r="H110" s="857">
        <v>3.30787037037037E-2</v>
      </c>
      <c r="I110" s="854" t="str">
        <f t="shared" si="14"/>
        <v>7:39</v>
      </c>
      <c r="J110" s="854"/>
      <c r="K110" s="854"/>
      <c r="L110" s="854" t="str">
        <f t="shared" si="2"/>
        <v>0:00</v>
      </c>
      <c r="M110" s="854"/>
      <c r="N110" s="854"/>
      <c r="O110" s="858"/>
      <c r="P110" s="861"/>
      <c r="Q110" s="865"/>
      <c r="R110" s="4"/>
      <c r="S110" s="4"/>
      <c r="T110" s="16">
        <f t="shared" si="15"/>
        <v>68.95</v>
      </c>
      <c r="U110" s="868">
        <f t="shared" si="18"/>
        <v>74.995714285714286</v>
      </c>
      <c r="V110" s="4">
        <v>70</v>
      </c>
      <c r="W110" s="4">
        <f t="shared" si="19"/>
        <v>70</v>
      </c>
      <c r="X110" s="868">
        <f t="shared" si="20"/>
        <v>73.142857142857139</v>
      </c>
      <c r="Y110" s="4"/>
      <c r="Z110" s="869">
        <f t="shared" si="21"/>
        <v>0.6035089981314784</v>
      </c>
      <c r="AA110" s="4">
        <f>IF(H110*G110,LOOKUP(Z110,'Daniel''s Tables'!$Z$135:$Z$214,'Daniel''s Tables'!$AB$135:$AB$214),0)</f>
        <v>0.11</v>
      </c>
      <c r="AB110" s="869">
        <f t="shared" si="22"/>
        <v>5.2396666666666656</v>
      </c>
      <c r="AC110" s="871">
        <f t="shared" si="16"/>
        <v>94.538833333333329</v>
      </c>
      <c r="AD110" s="838">
        <f t="shared" si="17"/>
        <v>99.655154761904768</v>
      </c>
      <c r="AE110" s="838"/>
    </row>
    <row r="111" spans="1:31" ht="15.75" customHeight="1" x14ac:dyDescent="0.2">
      <c r="A111" s="915"/>
      <c r="B111" s="854">
        <v>24</v>
      </c>
      <c r="C111" s="855">
        <f t="shared" si="0"/>
        <v>45918</v>
      </c>
      <c r="D111" s="854" t="s">
        <v>27</v>
      </c>
      <c r="E111" s="856" t="s">
        <v>503</v>
      </c>
      <c r="F111" s="854">
        <v>10</v>
      </c>
      <c r="G111" s="854">
        <v>9.08</v>
      </c>
      <c r="H111" s="857">
        <v>4.4583333333333336E-2</v>
      </c>
      <c r="I111" s="854" t="str">
        <f t="shared" si="14"/>
        <v>7:04</v>
      </c>
      <c r="J111" s="857">
        <f>TIME(0,2,0)*8</f>
        <v>1.1111111111111112E-2</v>
      </c>
      <c r="K111" s="854">
        <f>0.35+0.36+0.35+0.35+0.35+0.34+0.35+0.36</f>
        <v>2.81</v>
      </c>
      <c r="L111" s="854" t="str">
        <f t="shared" si="2"/>
        <v>5:42</v>
      </c>
      <c r="M111" s="854"/>
      <c r="N111" s="859"/>
      <c r="O111" s="858"/>
      <c r="P111" s="861">
        <f>N112+P104</f>
        <v>5.3993865740740743</v>
      </c>
      <c r="Q111" s="865"/>
      <c r="R111" s="4"/>
      <c r="S111" s="4"/>
      <c r="T111" s="16">
        <f t="shared" si="15"/>
        <v>68.010000000000005</v>
      </c>
      <c r="U111" s="868">
        <f t="shared" si="18"/>
        <v>73.66</v>
      </c>
      <c r="V111" s="4">
        <v>70</v>
      </c>
      <c r="W111" s="4">
        <f t="shared" si="19"/>
        <v>68</v>
      </c>
      <c r="X111" s="868">
        <f t="shared" si="20"/>
        <v>71.857142857142861</v>
      </c>
      <c r="Y111" s="4"/>
      <c r="Z111" s="869">
        <f t="shared" si="21"/>
        <v>0.6648794844442123</v>
      </c>
      <c r="AA111" s="4">
        <f>IF(H111*G111,LOOKUP(Z111,'Daniel''s Tables'!$Z$135:$Z$214,'Daniel''s Tables'!$AB$135:$AB$214),0)</f>
        <v>0.2</v>
      </c>
      <c r="AB111" s="869">
        <f t="shared" si="22"/>
        <v>12.840000000000002</v>
      </c>
      <c r="AC111" s="871">
        <f t="shared" si="16"/>
        <v>96.810083333333324</v>
      </c>
      <c r="AD111" s="838">
        <f t="shared" si="17"/>
        <v>97.989570238095226</v>
      </c>
      <c r="AE111" s="838"/>
    </row>
    <row r="112" spans="1:31" ht="15.75" customHeight="1" x14ac:dyDescent="0.2">
      <c r="A112" s="915"/>
      <c r="B112" s="854">
        <v>23</v>
      </c>
      <c r="C112" s="855">
        <f t="shared" si="0"/>
        <v>45919</v>
      </c>
      <c r="D112" s="854" t="s">
        <v>28</v>
      </c>
      <c r="E112" s="856" t="s">
        <v>442</v>
      </c>
      <c r="F112" s="854">
        <v>5</v>
      </c>
      <c r="G112" s="854">
        <v>6.08</v>
      </c>
      <c r="H112" s="857">
        <v>3.4432870370370371E-2</v>
      </c>
      <c r="I112" s="854" t="str">
        <f t="shared" si="14"/>
        <v>8:09</v>
      </c>
      <c r="J112" s="857"/>
      <c r="K112" s="854"/>
      <c r="L112" s="854" t="str">
        <f t="shared" si="2"/>
        <v>0:00</v>
      </c>
      <c r="M112" s="854"/>
      <c r="N112" s="859">
        <f>SUM(H107:H113)</f>
        <v>0.34363425925925928</v>
      </c>
      <c r="O112" s="858"/>
      <c r="P112" s="863">
        <f>N113+P105</f>
        <v>1052.28</v>
      </c>
      <c r="Q112" s="866"/>
      <c r="R112" s="4"/>
      <c r="S112" s="4"/>
      <c r="T112" s="16">
        <f t="shared" si="15"/>
        <v>67.36</v>
      </c>
      <c r="U112" s="868">
        <f t="shared" si="18"/>
        <v>71.989999999999995</v>
      </c>
      <c r="V112" s="4">
        <v>70</v>
      </c>
      <c r="W112" s="4">
        <f t="shared" si="19"/>
        <v>66</v>
      </c>
      <c r="X112" s="868">
        <f t="shared" si="20"/>
        <v>70.285714285714292</v>
      </c>
      <c r="Y112" s="4"/>
      <c r="Z112" s="869">
        <f t="shared" si="21"/>
        <v>0.55705251859325033</v>
      </c>
      <c r="AA112" s="4">
        <f>IF(H112*G112,LOOKUP(Z112,'Daniel''s Tables'!$Z$135:$Z$214,'Daniel''s Tables'!$AB$135:$AB$214),0)</f>
        <v>0.1</v>
      </c>
      <c r="AB112" s="869">
        <f t="shared" si="22"/>
        <v>4.9583333333333339</v>
      </c>
      <c r="AC112" s="871">
        <f t="shared" si="16"/>
        <v>96.446749999999994</v>
      </c>
      <c r="AD112" s="838">
        <f t="shared" si="17"/>
        <v>96.09779523809523</v>
      </c>
      <c r="AE112" s="838"/>
    </row>
    <row r="113" spans="1:31" ht="15.75" customHeight="1" x14ac:dyDescent="0.2">
      <c r="A113" s="915"/>
      <c r="B113" s="854">
        <v>22</v>
      </c>
      <c r="C113" s="855">
        <f t="shared" si="0"/>
        <v>45920</v>
      </c>
      <c r="D113" s="854" t="s">
        <v>30</v>
      </c>
      <c r="E113" s="856" t="s">
        <v>393</v>
      </c>
      <c r="F113" s="854">
        <v>18</v>
      </c>
      <c r="G113" s="854">
        <v>18.100000000000001</v>
      </c>
      <c r="H113" s="857">
        <v>9.4444444444444442E-2</v>
      </c>
      <c r="I113" s="854" t="str">
        <f t="shared" si="14"/>
        <v>7:31</v>
      </c>
      <c r="J113" s="854"/>
      <c r="K113" s="854"/>
      <c r="L113" s="854" t="str">
        <f t="shared" si="2"/>
        <v>0:00</v>
      </c>
      <c r="M113" s="856">
        <f>SUM(F107:F113)</f>
        <v>68</v>
      </c>
      <c r="N113" s="854">
        <f>SUM(G107:G113)</f>
        <v>67.069999999999993</v>
      </c>
      <c r="O113" s="858"/>
      <c r="P113" s="863">
        <f>M113+P106</f>
        <v>1089</v>
      </c>
      <c r="Q113" s="862">
        <f>P112/P113</f>
        <v>0.96628099173553716</v>
      </c>
      <c r="R113" s="4"/>
      <c r="S113" s="4"/>
      <c r="T113" s="16">
        <f t="shared" si="15"/>
        <v>67.069999999999993</v>
      </c>
      <c r="U113" s="868">
        <f t="shared" si="18"/>
        <v>70.510000000000005</v>
      </c>
      <c r="V113" s="4">
        <v>70</v>
      </c>
      <c r="W113" s="4">
        <f t="shared" si="19"/>
        <v>68</v>
      </c>
      <c r="X113" s="868">
        <f t="shared" si="20"/>
        <v>69.428571428571431</v>
      </c>
      <c r="Y113" s="4"/>
      <c r="Z113" s="869">
        <f t="shared" si="21"/>
        <v>0.61667656023223927</v>
      </c>
      <c r="AA113" s="4">
        <f>IF(H113*G113,LOOKUP(Z113,'Daniel''s Tables'!$Z$135:$Z$214,'Daniel''s Tables'!$AB$135:$AB$214),0)</f>
        <v>0.1285</v>
      </c>
      <c r="AB113" s="869">
        <f t="shared" si="22"/>
        <v>17.475999999999999</v>
      </c>
      <c r="AC113" s="871">
        <f t="shared" si="16"/>
        <v>79.061866666666674</v>
      </c>
      <c r="AD113" s="838">
        <f t="shared" si="17"/>
        <v>93.574242857142849</v>
      </c>
      <c r="AE113" s="838">
        <f>AC113</f>
        <v>79.061866666666674</v>
      </c>
    </row>
    <row r="114" spans="1:31" ht="15.75" customHeight="1" x14ac:dyDescent="0.2">
      <c r="A114" s="916" t="s">
        <v>46</v>
      </c>
      <c r="B114" s="6">
        <v>21</v>
      </c>
      <c r="C114" s="17">
        <f t="shared" si="0"/>
        <v>45921</v>
      </c>
      <c r="D114" s="6" t="s">
        <v>31</v>
      </c>
      <c r="E114" s="4" t="s">
        <v>381</v>
      </c>
      <c r="F114" s="6">
        <v>6</v>
      </c>
      <c r="G114" s="6">
        <v>6.04</v>
      </c>
      <c r="H114" s="29">
        <v>3.2685185185185185E-2</v>
      </c>
      <c r="I114" s="6" t="str">
        <f t="shared" si="14"/>
        <v>7:48</v>
      </c>
      <c r="J114" s="6"/>
      <c r="K114" s="6"/>
      <c r="L114" s="6" t="str">
        <f t="shared" si="2"/>
        <v>0:00</v>
      </c>
      <c r="M114" s="4"/>
      <c r="N114" s="4"/>
      <c r="O114" s="16"/>
      <c r="P114" s="863"/>
      <c r="Q114" s="862"/>
      <c r="R114" s="4"/>
      <c r="S114" s="4"/>
      <c r="T114" s="16">
        <f t="shared" si="15"/>
        <v>67.89</v>
      </c>
      <c r="U114" s="868">
        <f t="shared" si="18"/>
        <v>69.508571428571429</v>
      </c>
      <c r="V114" s="4">
        <v>70</v>
      </c>
      <c r="W114" s="4">
        <f t="shared" si="19"/>
        <v>68</v>
      </c>
      <c r="X114" s="868">
        <f t="shared" si="20"/>
        <v>68.857142857142861</v>
      </c>
      <c r="Y114" s="4"/>
      <c r="Z114" s="869">
        <f t="shared" si="21"/>
        <v>0.5894472589151124</v>
      </c>
      <c r="AA114" s="4">
        <f>IF(H114*G114,LOOKUP(Z114,'Daniel''s Tables'!$Z$135:$Z$214,'Daniel''s Tables'!$AB$135:$AB$214),0)</f>
        <v>0.1</v>
      </c>
      <c r="AB114" s="869">
        <f t="shared" si="22"/>
        <v>4.706666666666667</v>
      </c>
      <c r="AC114" s="871">
        <f t="shared" si="16"/>
        <v>79.69853333333333</v>
      </c>
      <c r="AD114" s="838">
        <f t="shared" si="17"/>
        <v>91.416880952380964</v>
      </c>
      <c r="AE114" s="838"/>
    </row>
    <row r="115" spans="1:31" ht="15.75" customHeight="1" x14ac:dyDescent="0.2">
      <c r="A115" s="916"/>
      <c r="B115" s="6">
        <v>20</v>
      </c>
      <c r="C115" s="17">
        <f t="shared" si="0"/>
        <v>45922</v>
      </c>
      <c r="D115" s="6" t="s">
        <v>33</v>
      </c>
      <c r="E115" s="4" t="s">
        <v>385</v>
      </c>
      <c r="F115" s="6">
        <v>8</v>
      </c>
      <c r="G115" s="6">
        <v>5.4</v>
      </c>
      <c r="H115" s="29">
        <v>2.9953703703703705E-2</v>
      </c>
      <c r="I115" s="6" t="str">
        <f t="shared" si="14"/>
        <v>7:59</v>
      </c>
      <c r="J115" s="6"/>
      <c r="K115" s="6"/>
      <c r="L115" s="6" t="str">
        <f t="shared" si="2"/>
        <v>0:00</v>
      </c>
      <c r="M115" s="6"/>
      <c r="N115" s="6"/>
      <c r="O115" s="16"/>
      <c r="P115" s="863"/>
      <c r="Q115" s="864"/>
      <c r="R115" s="4"/>
      <c r="S115" s="4"/>
      <c r="T115" s="16">
        <f t="shared" si="15"/>
        <v>63.949999999999996</v>
      </c>
      <c r="U115" s="868">
        <f t="shared" si="18"/>
        <v>68.19714285714285</v>
      </c>
      <c r="V115" s="4">
        <v>70</v>
      </c>
      <c r="W115" s="4">
        <f t="shared" si="19"/>
        <v>66</v>
      </c>
      <c r="X115" s="868">
        <f t="shared" si="20"/>
        <v>68</v>
      </c>
      <c r="Y115" s="4"/>
      <c r="Z115" s="869">
        <f t="shared" si="21"/>
        <v>0.57161476903655906</v>
      </c>
      <c r="AA115" s="4">
        <f>IF(H115*G115,LOOKUP(Z115,'Daniel''s Tables'!$Z$135:$Z$214,'Daniel''s Tables'!$AB$135:$AB$214),0)</f>
        <v>0.1</v>
      </c>
      <c r="AB115" s="869">
        <f t="shared" si="22"/>
        <v>4.3133333333333335</v>
      </c>
      <c r="AC115" s="871">
        <f t="shared" si="16"/>
        <v>75.418999999999997</v>
      </c>
      <c r="AD115" s="838">
        <f t="shared" si="17"/>
        <v>88.69155714285715</v>
      </c>
      <c r="AE115" s="838"/>
    </row>
    <row r="116" spans="1:31" ht="15.75" customHeight="1" x14ac:dyDescent="0.2">
      <c r="A116" s="916"/>
      <c r="B116" s="6">
        <v>19</v>
      </c>
      <c r="C116" s="17">
        <f t="shared" si="0"/>
        <v>45923</v>
      </c>
      <c r="D116" s="6" t="s">
        <v>34</v>
      </c>
      <c r="E116" s="4" t="s">
        <v>420</v>
      </c>
      <c r="F116" s="6">
        <v>12</v>
      </c>
      <c r="G116" s="6">
        <v>12.37</v>
      </c>
      <c r="H116" s="29">
        <v>5.4282407407407404E-2</v>
      </c>
      <c r="I116" s="6" t="str">
        <f t="shared" si="14"/>
        <v>6:19</v>
      </c>
      <c r="J116" s="29">
        <f>TIME(0,11+11+11+10,9+12+4+53)</f>
        <v>3.0763888888888889E-2</v>
      </c>
      <c r="K116" s="6">
        <f>4*2</f>
        <v>8</v>
      </c>
      <c r="L116" s="6" t="str">
        <f t="shared" si="2"/>
        <v>5:32</v>
      </c>
      <c r="M116" s="6"/>
      <c r="N116" s="6"/>
      <c r="O116" s="16"/>
      <c r="P116" s="863"/>
      <c r="Q116" s="864"/>
      <c r="R116" s="4"/>
      <c r="S116" s="4"/>
      <c r="T116" s="16">
        <f t="shared" si="15"/>
        <v>63.3</v>
      </c>
      <c r="U116" s="868">
        <f t="shared" si="18"/>
        <v>66.647142857142853</v>
      </c>
      <c r="V116" s="4">
        <v>70</v>
      </c>
      <c r="W116" s="4">
        <f t="shared" si="19"/>
        <v>66</v>
      </c>
      <c r="X116" s="868">
        <f t="shared" si="20"/>
        <v>67.428571428571431</v>
      </c>
      <c r="Y116" s="4"/>
      <c r="Z116" s="869">
        <f t="shared" si="21"/>
        <v>0.76382348470085371</v>
      </c>
      <c r="AA116" s="4">
        <f>IF(H116*G116,LOOKUP(Z116,'Daniel''s Tables'!$Z$135:$Z$214,'Daniel''s Tables'!$AB$135:$AB$214),0)</f>
        <v>0.36699999999999999</v>
      </c>
      <c r="AB116" s="869">
        <f t="shared" si="22"/>
        <v>28.687166666666663</v>
      </c>
      <c r="AC116" s="871">
        <f t="shared" si="16"/>
        <v>78.221166666666676</v>
      </c>
      <c r="AD116" s="838">
        <f t="shared" si="17"/>
        <v>85.742319047619048</v>
      </c>
      <c r="AE116" s="838"/>
    </row>
    <row r="117" spans="1:31" ht="15.75" customHeight="1" x14ac:dyDescent="0.2">
      <c r="A117" s="916"/>
      <c r="B117" s="6">
        <v>18</v>
      </c>
      <c r="C117" s="17">
        <f t="shared" si="0"/>
        <v>45924</v>
      </c>
      <c r="D117" s="6" t="s">
        <v>26</v>
      </c>
      <c r="E117" s="4" t="s">
        <v>385</v>
      </c>
      <c r="F117" s="6">
        <v>8</v>
      </c>
      <c r="G117" s="6">
        <v>8.01</v>
      </c>
      <c r="H117" s="29">
        <v>4.2488425925925923E-2</v>
      </c>
      <c r="I117" s="6" t="str">
        <f t="shared" si="14"/>
        <v>7:38</v>
      </c>
      <c r="J117" s="29"/>
      <c r="K117" s="6"/>
      <c r="L117" s="6" t="str">
        <f t="shared" si="2"/>
        <v>0:00</v>
      </c>
      <c r="M117" s="6"/>
      <c r="N117" s="6"/>
      <c r="O117" s="16"/>
      <c r="P117" s="861"/>
      <c r="Q117" s="865"/>
      <c r="R117" s="4"/>
      <c r="S117" s="4"/>
      <c r="T117" s="16">
        <f t="shared" si="15"/>
        <v>65.08</v>
      </c>
      <c r="U117" s="868">
        <f t="shared" si="18"/>
        <v>66.094285714285704</v>
      </c>
      <c r="V117" s="4">
        <v>70</v>
      </c>
      <c r="W117" s="4">
        <f t="shared" si="19"/>
        <v>67</v>
      </c>
      <c r="X117" s="868">
        <f t="shared" si="20"/>
        <v>67</v>
      </c>
      <c r="Y117" s="4"/>
      <c r="Z117" s="869">
        <f t="shared" si="21"/>
        <v>0.60423710049349255</v>
      </c>
      <c r="AA117" s="4">
        <f>IF(H117*G117,LOOKUP(Z117,'Daniel''s Tables'!$Z$135:$Z$214,'Daniel''s Tables'!$AB$135:$AB$214),0)</f>
        <v>0.11</v>
      </c>
      <c r="AB117" s="869">
        <f t="shared" si="22"/>
        <v>6.7301666666666664</v>
      </c>
      <c r="AC117" s="871">
        <f t="shared" si="16"/>
        <v>79.711666666666645</v>
      </c>
      <c r="AD117" s="838">
        <f t="shared" si="17"/>
        <v>83.624152380952381</v>
      </c>
      <c r="AE117" s="838"/>
    </row>
    <row r="118" spans="1:31" ht="15.75" customHeight="1" x14ac:dyDescent="0.2">
      <c r="A118" s="916"/>
      <c r="B118" s="6">
        <v>17</v>
      </c>
      <c r="C118" s="17">
        <f t="shared" si="0"/>
        <v>45925</v>
      </c>
      <c r="D118" s="6" t="s">
        <v>27</v>
      </c>
      <c r="E118" s="4" t="s">
        <v>385</v>
      </c>
      <c r="F118" s="6">
        <v>8</v>
      </c>
      <c r="G118" s="6">
        <v>8</v>
      </c>
      <c r="H118" s="29">
        <v>4.4016203703703703E-2</v>
      </c>
      <c r="I118" s="6" t="str">
        <f t="shared" si="14"/>
        <v>7:55</v>
      </c>
      <c r="J118" s="29"/>
      <c r="K118" s="6"/>
      <c r="L118" s="6" t="str">
        <f t="shared" si="2"/>
        <v>0:00</v>
      </c>
      <c r="M118" s="6"/>
      <c r="N118" s="28"/>
      <c r="O118" s="16"/>
      <c r="P118" s="861">
        <f>N119+P111</f>
        <v>5.7176273148148153</v>
      </c>
      <c r="Q118" s="865"/>
      <c r="R118" s="4"/>
      <c r="S118" s="4"/>
      <c r="T118" s="16">
        <f t="shared" si="15"/>
        <v>63.999999999999993</v>
      </c>
      <c r="U118" s="868">
        <f t="shared" si="18"/>
        <v>65.521428571428572</v>
      </c>
      <c r="V118" s="4">
        <v>70</v>
      </c>
      <c r="W118" s="4">
        <f t="shared" si="19"/>
        <v>65</v>
      </c>
      <c r="X118" s="868">
        <f t="shared" si="20"/>
        <v>66.571428571428569</v>
      </c>
      <c r="Y118" s="4"/>
      <c r="Z118" s="869">
        <f t="shared" si="21"/>
        <v>0.57742356302861209</v>
      </c>
      <c r="AA118" s="4">
        <f>IF(H118*G118,LOOKUP(Z118,'Daniel''s Tables'!$Z$135:$Z$214,'Daniel''s Tables'!$AB$135:$AB$214),0)</f>
        <v>0.1</v>
      </c>
      <c r="AB118" s="869">
        <f t="shared" si="22"/>
        <v>6.3383333333333338</v>
      </c>
      <c r="AC118" s="871">
        <f t="shared" si="16"/>
        <v>73.209999999999994</v>
      </c>
      <c r="AD118" s="838">
        <f t="shared" si="17"/>
        <v>80.252711904761895</v>
      </c>
      <c r="AE118" s="838"/>
    </row>
    <row r="119" spans="1:31" ht="15.75" customHeight="1" x14ac:dyDescent="0.2">
      <c r="A119" s="916"/>
      <c r="B119" s="6">
        <v>16</v>
      </c>
      <c r="C119" s="17">
        <f t="shared" si="0"/>
        <v>45926</v>
      </c>
      <c r="D119" s="6" t="s">
        <v>28</v>
      </c>
      <c r="E119" s="4" t="s">
        <v>418</v>
      </c>
      <c r="F119" s="6">
        <v>18</v>
      </c>
      <c r="G119" s="6">
        <v>18.260000000000002</v>
      </c>
      <c r="H119" s="29">
        <v>8.1030092592592598E-2</v>
      </c>
      <c r="I119" s="6" t="str">
        <f t="shared" si="14"/>
        <v>6:23</v>
      </c>
      <c r="J119" s="29">
        <f>TIME(0,35+35,36+6) + TIME(0,5,35)</f>
        <v>5.2974537037037035E-2</v>
      </c>
      <c r="K119" s="6">
        <f>6+1+6</f>
        <v>13</v>
      </c>
      <c r="L119" s="6" t="str">
        <f t="shared" si="2"/>
        <v>5:52</v>
      </c>
      <c r="M119" s="6"/>
      <c r="N119" s="28">
        <f>SUM(H114:H120)</f>
        <v>0.31824074074074077</v>
      </c>
      <c r="O119" s="16"/>
      <c r="P119" s="863">
        <f>N120+P112</f>
        <v>1117.4099999999999</v>
      </c>
      <c r="Q119" s="866"/>
      <c r="R119" s="4"/>
      <c r="S119" s="4"/>
      <c r="T119" s="16">
        <f t="shared" si="15"/>
        <v>76.179999999999993</v>
      </c>
      <c r="U119" s="868">
        <f t="shared" si="18"/>
        <v>66.781428571428563</v>
      </c>
      <c r="V119" s="4">
        <v>70</v>
      </c>
      <c r="W119" s="4">
        <f t="shared" si="19"/>
        <v>78</v>
      </c>
      <c r="X119" s="868">
        <f t="shared" si="20"/>
        <v>68.285714285714292</v>
      </c>
      <c r="Y119" s="4"/>
      <c r="Z119" s="869">
        <f t="shared" si="21"/>
        <v>0.75335905331827735</v>
      </c>
      <c r="AA119" s="4">
        <f>IF(H119*G119,LOOKUP(Z119,'Daniel''s Tables'!$Z$135:$Z$214,'Daniel''s Tables'!$AB$135:$AB$214),0)</f>
        <v>0.35</v>
      </c>
      <c r="AB119" s="869">
        <f t="shared" si="22"/>
        <v>40.839166666666664</v>
      </c>
      <c r="AC119" s="871">
        <f t="shared" si="16"/>
        <v>109.09083333333334</v>
      </c>
      <c r="AD119" s="838">
        <f t="shared" si="17"/>
        <v>82.059009523809522</v>
      </c>
      <c r="AE119" s="838"/>
    </row>
    <row r="120" spans="1:31" ht="15.75" customHeight="1" x14ac:dyDescent="0.2">
      <c r="A120" s="916"/>
      <c r="B120" s="6">
        <v>15</v>
      </c>
      <c r="C120" s="17">
        <f t="shared" si="0"/>
        <v>45927</v>
      </c>
      <c r="D120" s="6" t="s">
        <v>30</v>
      </c>
      <c r="E120" s="4" t="s">
        <v>381</v>
      </c>
      <c r="F120" s="6">
        <v>8</v>
      </c>
      <c r="G120" s="6">
        <v>7.05</v>
      </c>
      <c r="H120" s="29">
        <v>3.3784722222222223E-2</v>
      </c>
      <c r="I120" s="6" t="str">
        <f t="shared" si="14"/>
        <v>6:54</v>
      </c>
      <c r="J120" s="29"/>
      <c r="K120" s="6"/>
      <c r="L120" s="6" t="str">
        <f t="shared" si="2"/>
        <v>0:00</v>
      </c>
      <c r="M120" s="4">
        <f>SUM(F114:F120)</f>
        <v>68</v>
      </c>
      <c r="N120" s="6">
        <f>SUM(G114:G120)</f>
        <v>65.13</v>
      </c>
      <c r="O120" s="16"/>
      <c r="P120" s="863">
        <f>M120+P113</f>
        <v>1157</v>
      </c>
      <c r="Q120" s="862">
        <f>P119/P120</f>
        <v>0.965782195332757</v>
      </c>
      <c r="R120" s="4"/>
      <c r="S120" s="4"/>
      <c r="T120" s="16">
        <f t="shared" si="15"/>
        <v>65.13</v>
      </c>
      <c r="U120" s="868">
        <f t="shared" si="18"/>
        <v>66.504285714285714</v>
      </c>
      <c r="V120" s="4">
        <v>70</v>
      </c>
      <c r="W120" s="4">
        <f t="shared" si="19"/>
        <v>68</v>
      </c>
      <c r="X120" s="868">
        <f t="shared" si="20"/>
        <v>68.285714285714292</v>
      </c>
      <c r="Y120" s="4"/>
      <c r="Z120" s="869">
        <f t="shared" si="21"/>
        <v>0.68515351154785287</v>
      </c>
      <c r="AA120" s="4">
        <f>IF(H120*G120,LOOKUP(Z120,'Daniel''s Tables'!$Z$135:$Z$214,'Daniel''s Tables'!$AB$135:$AB$214),0)</f>
        <v>0.24149999999999999</v>
      </c>
      <c r="AB120" s="869">
        <f t="shared" si="22"/>
        <v>11.748975</v>
      </c>
      <c r="AC120" s="871">
        <f t="shared" si="16"/>
        <v>103.36380833333334</v>
      </c>
      <c r="AD120" s="838">
        <f t="shared" si="17"/>
        <v>85.53071547619048</v>
      </c>
      <c r="AE120" s="838">
        <f>AC120</f>
        <v>103.36380833333334</v>
      </c>
    </row>
    <row r="121" spans="1:31" ht="15.75" customHeight="1" x14ac:dyDescent="0.2">
      <c r="A121" s="915" t="s">
        <v>47</v>
      </c>
      <c r="B121" s="854">
        <v>14</v>
      </c>
      <c r="C121" s="855">
        <f t="shared" si="0"/>
        <v>45928</v>
      </c>
      <c r="D121" s="854" t="s">
        <v>31</v>
      </c>
      <c r="E121" s="856" t="s">
        <v>380</v>
      </c>
      <c r="F121" s="854">
        <v>5</v>
      </c>
      <c r="G121" s="854">
        <v>5.25</v>
      </c>
      <c r="H121" s="857">
        <v>2.9097222222222222E-2</v>
      </c>
      <c r="I121" s="854" t="str">
        <f t="shared" si="14"/>
        <v>7:59</v>
      </c>
      <c r="J121" s="854"/>
      <c r="K121" s="854"/>
      <c r="L121" s="854" t="str">
        <f t="shared" si="2"/>
        <v>0:00</v>
      </c>
      <c r="M121" s="860"/>
      <c r="N121" s="860"/>
      <c r="O121" s="858"/>
      <c r="P121" s="863"/>
      <c r="Q121" s="862"/>
      <c r="R121" s="4"/>
      <c r="S121" s="4"/>
      <c r="T121" s="16">
        <f t="shared" si="15"/>
        <v>64.34</v>
      </c>
      <c r="U121" s="868">
        <f t="shared" si="18"/>
        <v>65.997142857142862</v>
      </c>
      <c r="V121" s="4">
        <v>70</v>
      </c>
      <c r="W121" s="4">
        <f t="shared" si="19"/>
        <v>67</v>
      </c>
      <c r="X121" s="868">
        <f t="shared" si="20"/>
        <v>68.142857142857139</v>
      </c>
      <c r="Y121" s="4"/>
      <c r="Z121" s="869">
        <f t="shared" si="21"/>
        <v>0.57221134044172761</v>
      </c>
      <c r="AA121" s="4">
        <f>IF(H121*G121,LOOKUP(Z121,'Daniel''s Tables'!$Z$135:$Z$214,'Daniel''s Tables'!$AB$135:$AB$214),0)</f>
        <v>0.1</v>
      </c>
      <c r="AB121" s="869">
        <f t="shared" si="22"/>
        <v>4.1900000000000004</v>
      </c>
      <c r="AC121" s="871">
        <f t="shared" si="16"/>
        <v>102.84714166666666</v>
      </c>
      <c r="AD121" s="838">
        <f t="shared" si="17"/>
        <v>88.837659523809506</v>
      </c>
      <c r="AE121" s="838"/>
    </row>
    <row r="122" spans="1:31" ht="15.75" customHeight="1" x14ac:dyDescent="0.2">
      <c r="A122" s="915"/>
      <c r="B122" s="854">
        <v>13</v>
      </c>
      <c r="C122" s="855">
        <f t="shared" si="0"/>
        <v>45929</v>
      </c>
      <c r="D122" s="854" t="s">
        <v>33</v>
      </c>
      <c r="E122" s="856" t="s">
        <v>381</v>
      </c>
      <c r="F122" s="854">
        <v>6</v>
      </c>
      <c r="G122" s="854">
        <v>5.8</v>
      </c>
      <c r="H122" s="857">
        <v>3.1006944444444445E-2</v>
      </c>
      <c r="I122" s="854" t="str">
        <f>CONCATENATE(FLOOR((HOUR(H122)*60+MINUTE(H122)+SECOND(H122)/60)/IF(ISBLANK(G122),1,G122),1),":",TEXT(ROUND((((HOUR(H122)*60+MINUTE(H122)+SECOND(H122)/60)/IF(ISBLANK(G122),1,G122))-(FLOOR((HOUR(H122)*60+MINUTE(H122)+SECOND(H122)/60)/IF(ISBLANK(G122),1,G122),1)))*60,0),"00"))</f>
        <v>7:42</v>
      </c>
      <c r="J122" s="854"/>
      <c r="K122" s="854"/>
      <c r="L122" s="854" t="str">
        <f t="shared" si="2"/>
        <v>0:00</v>
      </c>
      <c r="M122" s="854"/>
      <c r="N122" s="854"/>
      <c r="O122" s="858"/>
      <c r="P122" s="863"/>
      <c r="Q122" s="864"/>
      <c r="R122" s="4"/>
      <c r="S122" s="4"/>
      <c r="T122" s="16">
        <f t="shared" si="15"/>
        <v>64.739999999999995</v>
      </c>
      <c r="U122" s="868">
        <f t="shared" si="18"/>
        <v>66.11</v>
      </c>
      <c r="V122" s="4">
        <v>70</v>
      </c>
      <c r="W122" s="4">
        <f t="shared" si="19"/>
        <v>65</v>
      </c>
      <c r="X122" s="868">
        <f t="shared" si="20"/>
        <v>68</v>
      </c>
      <c r="Y122" s="4"/>
      <c r="Z122" s="869">
        <f t="shared" si="21"/>
        <v>0.59841129966043349</v>
      </c>
      <c r="AA122" s="4">
        <f>IF(H122*G122,LOOKUP(Z122,'Daniel''s Tables'!$Z$135:$Z$214,'Daniel''s Tables'!$AB$135:$AB$214),0)</f>
        <v>0.10500000000000001</v>
      </c>
      <c r="AB122" s="869">
        <f t="shared" si="22"/>
        <v>4.68825</v>
      </c>
      <c r="AC122" s="871">
        <f t="shared" si="16"/>
        <v>103.22205833333332</v>
      </c>
      <c r="AD122" s="838">
        <f t="shared" si="17"/>
        <v>92.809524999999994</v>
      </c>
      <c r="AE122" s="838"/>
    </row>
    <row r="123" spans="1:31" ht="15.75" customHeight="1" x14ac:dyDescent="0.2">
      <c r="A123" s="915"/>
      <c r="B123" s="854">
        <v>12</v>
      </c>
      <c r="C123" s="855">
        <f t="shared" si="0"/>
        <v>45930</v>
      </c>
      <c r="D123" s="854" t="s">
        <v>34</v>
      </c>
      <c r="E123" s="856" t="s">
        <v>419</v>
      </c>
      <c r="F123" s="854">
        <v>16</v>
      </c>
      <c r="G123" s="854">
        <f>11.62+4.08</f>
        <v>15.7</v>
      </c>
      <c r="H123" s="857">
        <f>TIME(1,16,20)+TIME(0,32,12)</f>
        <v>7.5370370370370365E-2</v>
      </c>
      <c r="I123" s="854" t="str">
        <f t="shared" si="14"/>
        <v>6:55</v>
      </c>
      <c r="J123" s="857">
        <f>TIME(0,5+5+5+5+5+5,32+13+12+13+11+12+16+6+12)</f>
        <v>2.2303240740740742E-2</v>
      </c>
      <c r="K123" s="881">
        <f>(1600/1609)*6</f>
        <v>5.9664387818520819</v>
      </c>
      <c r="L123" s="854" t="str">
        <f t="shared" si="2"/>
        <v>5:23</v>
      </c>
      <c r="M123" s="854"/>
      <c r="N123" s="854"/>
      <c r="O123" s="858"/>
      <c r="P123" s="863"/>
      <c r="Q123" s="864"/>
      <c r="R123" s="4"/>
      <c r="S123" s="4"/>
      <c r="T123" s="16">
        <f t="shared" si="15"/>
        <v>68.069999999999993</v>
      </c>
      <c r="U123" s="868">
        <f t="shared" si="18"/>
        <v>66.791428571428568</v>
      </c>
      <c r="V123" s="4">
        <v>70</v>
      </c>
      <c r="W123" s="4">
        <f t="shared" si="19"/>
        <v>69</v>
      </c>
      <c r="X123" s="868">
        <f t="shared" si="20"/>
        <v>68.428571428571431</v>
      </c>
      <c r="Y123" s="4"/>
      <c r="Z123" s="869">
        <f t="shared" si="21"/>
        <v>0.68365479964187936</v>
      </c>
      <c r="AA123" s="4">
        <f>IF(H123*G123,LOOKUP(Z123,'Daniel''s Tables'!$Z$135:$Z$214,'Daniel''s Tables'!$AB$135:$AB$214),0)</f>
        <v>0.23300000000000001</v>
      </c>
      <c r="AB123" s="869">
        <f t="shared" si="22"/>
        <v>25.288266666666669</v>
      </c>
      <c r="AC123" s="871">
        <f t="shared" si="16"/>
        <v>99.823158333333325</v>
      </c>
      <c r="AD123" s="838">
        <f t="shared" si="17"/>
        <v>95.895523809523795</v>
      </c>
      <c r="AE123" s="838"/>
    </row>
    <row r="124" spans="1:31" ht="15.75" customHeight="1" x14ac:dyDescent="0.2">
      <c r="A124" s="915"/>
      <c r="B124" s="854">
        <v>11</v>
      </c>
      <c r="C124" s="855">
        <f t="shared" si="0"/>
        <v>45931</v>
      </c>
      <c r="D124" s="854" t="s">
        <v>26</v>
      </c>
      <c r="E124" s="856" t="s">
        <v>381</v>
      </c>
      <c r="F124" s="854">
        <v>6</v>
      </c>
      <c r="G124" s="854">
        <v>7.36</v>
      </c>
      <c r="H124" s="857">
        <v>4.4756944444444446E-2</v>
      </c>
      <c r="I124" s="854" t="str">
        <f>CONCATENATE(FLOOR((HOUR(H124)*60+MINUTE(H124)+SECOND(H124)/60)/IF(ISBLANK(G124),1,G124),1),":",TEXT(ROUND((((HOUR(H124)*60+MINUTE(H124)+SECOND(H124)/60)/IF(ISBLANK(G124),1,G124))-(FLOOR((HOUR(H124)*60+MINUTE(H124)+SECOND(H124)/60)/IF(ISBLANK(G124),1,G124),1)))*60,0),"00"))</f>
        <v>8:45</v>
      </c>
      <c r="J124" s="854"/>
      <c r="K124" s="854"/>
      <c r="L124" s="854" t="str">
        <f t="shared" si="2"/>
        <v>0:00</v>
      </c>
      <c r="M124" s="854"/>
      <c r="N124" s="854"/>
      <c r="O124" s="858"/>
      <c r="P124" s="861"/>
      <c r="Q124" s="865"/>
      <c r="R124" s="4"/>
      <c r="S124" s="4"/>
      <c r="T124" s="16">
        <f t="shared" si="15"/>
        <v>67.42</v>
      </c>
      <c r="U124" s="868">
        <f t="shared" si="18"/>
        <v>67.125714285714281</v>
      </c>
      <c r="V124" s="4">
        <v>70</v>
      </c>
      <c r="W124" s="4">
        <f t="shared" si="19"/>
        <v>67</v>
      </c>
      <c r="X124" s="868">
        <f t="shared" si="20"/>
        <v>68.428571428571431</v>
      </c>
      <c r="Y124" s="4"/>
      <c r="Z124" s="869">
        <f t="shared" si="21"/>
        <v>0.50973310577062381</v>
      </c>
      <c r="AA124" s="4">
        <f>IF(H124*G124,LOOKUP(Z124,'Daniel''s Tables'!$Z$135:$Z$214,'Daniel''s Tables'!$AB$135:$AB$214),0)</f>
        <v>0.1</v>
      </c>
      <c r="AB124" s="869">
        <f t="shared" si="22"/>
        <v>6.4450000000000003</v>
      </c>
      <c r="AC124" s="871">
        <f t="shared" si="16"/>
        <v>99.53799166666667</v>
      </c>
      <c r="AD124" s="838">
        <f t="shared" si="17"/>
        <v>98.727855952380963</v>
      </c>
      <c r="AE124" s="838"/>
    </row>
    <row r="125" spans="1:31" ht="15.75" customHeight="1" x14ac:dyDescent="0.2">
      <c r="A125" s="915"/>
      <c r="B125" s="854">
        <v>10</v>
      </c>
      <c r="C125" s="855">
        <f t="shared" si="0"/>
        <v>45932</v>
      </c>
      <c r="D125" s="854" t="s">
        <v>27</v>
      </c>
      <c r="E125" s="856" t="s">
        <v>504</v>
      </c>
      <c r="F125" s="854">
        <v>12</v>
      </c>
      <c r="G125" s="854">
        <v>11.5</v>
      </c>
      <c r="H125" s="857">
        <f>TIME(1,9+3,49+37.5)</f>
        <v>5.0995370370370371E-2</v>
      </c>
      <c r="I125" s="854" t="str">
        <f t="shared" ref="I125:I134" si="23">CONCATENATE(FLOOR((HOUR(H125)*60+MINUTE(H125)+SECOND(H125)/60)/IF(ISBLANK(G125),1,G125),1),":",TEXT(ROUND((((HOUR(H125)*60+MINUTE(H125)+SECOND(H125)/60)/IF(ISBLANK(G125),1,G125))-(FLOOR((HOUR(H125)*60+MINUTE(H125)+SECOND(H125)/60)/IF(ISBLANK(G125),1,G125),1)))*60,0),"00"))</f>
        <v>6:23</v>
      </c>
      <c r="J125" s="857">
        <f>TIME(0,5+11+5+11,22+29+23+15)</f>
        <v>2.3252314814814816E-2</v>
      </c>
      <c r="K125" s="854">
        <v>6</v>
      </c>
      <c r="L125" s="854" t="str">
        <f t="shared" si="2"/>
        <v>5:35</v>
      </c>
      <c r="M125" s="854"/>
      <c r="N125" s="859"/>
      <c r="O125" s="858"/>
      <c r="P125" s="861">
        <f>N126+P118</f>
        <v>6.0264814814814818</v>
      </c>
      <c r="Q125" s="865"/>
      <c r="R125" s="4"/>
      <c r="S125" s="4"/>
      <c r="T125" s="16">
        <f t="shared" si="15"/>
        <v>70.92</v>
      </c>
      <c r="U125" s="868">
        <f t="shared" si="18"/>
        <v>68.114285714285714</v>
      </c>
      <c r="V125" s="4">
        <v>70</v>
      </c>
      <c r="W125" s="4">
        <f t="shared" si="19"/>
        <v>71</v>
      </c>
      <c r="X125" s="868">
        <f t="shared" si="20"/>
        <v>69.285714285714292</v>
      </c>
      <c r="Y125" s="4"/>
      <c r="Z125" s="869">
        <f t="shared" si="21"/>
        <v>0.75402847512088989</v>
      </c>
      <c r="AA125" s="4">
        <f>IF(H125*G125,LOOKUP(Z125,'Daniel''s Tables'!$Z$135:$Z$214,'Daniel''s Tables'!$AB$135:$AB$214),0)</f>
        <v>0.35</v>
      </c>
      <c r="AB125" s="869">
        <f t="shared" si="22"/>
        <v>25.701666666666668</v>
      </c>
      <c r="AC125" s="871">
        <f t="shared" si="16"/>
        <v>118.901325</v>
      </c>
      <c r="AD125" s="838">
        <f t="shared" si="17"/>
        <v>105.2551880952381</v>
      </c>
      <c r="AE125" s="838"/>
    </row>
    <row r="126" spans="1:31" ht="15.75" customHeight="1" x14ac:dyDescent="0.2">
      <c r="A126" s="915"/>
      <c r="B126" s="854">
        <v>9</v>
      </c>
      <c r="C126" s="855">
        <f t="shared" si="0"/>
        <v>45933</v>
      </c>
      <c r="D126" s="854" t="s">
        <v>28</v>
      </c>
      <c r="E126" s="856" t="s">
        <v>441</v>
      </c>
      <c r="F126" s="854">
        <v>5</v>
      </c>
      <c r="G126" s="854">
        <v>6.16</v>
      </c>
      <c r="H126" s="857">
        <v>3.2557870370370369E-2</v>
      </c>
      <c r="I126" s="854" t="str">
        <f t="shared" si="23"/>
        <v>7:37</v>
      </c>
      <c r="J126" s="854"/>
      <c r="K126" s="854"/>
      <c r="L126" s="854" t="str">
        <f t="shared" si="2"/>
        <v>0:00</v>
      </c>
      <c r="M126" s="854"/>
      <c r="N126" s="859">
        <f>SUM(H121:H127)</f>
        <v>0.30885416666666671</v>
      </c>
      <c r="O126" s="858"/>
      <c r="P126" s="863">
        <f>N127+P119</f>
        <v>1178.2499999999998</v>
      </c>
      <c r="Q126" s="866"/>
      <c r="R126" s="4"/>
      <c r="S126" s="4"/>
      <c r="T126" s="16">
        <f t="shared" si="15"/>
        <v>58.819999999999993</v>
      </c>
      <c r="U126" s="868">
        <f t="shared" si="18"/>
        <v>65.63428571428571</v>
      </c>
      <c r="V126" s="4">
        <v>70</v>
      </c>
      <c r="W126" s="4">
        <f t="shared" si="19"/>
        <v>58</v>
      </c>
      <c r="X126" s="868">
        <f t="shared" si="20"/>
        <v>66.428571428571431</v>
      </c>
      <c r="Y126" s="4"/>
      <c r="Z126" s="869">
        <f t="shared" si="21"/>
        <v>0.60693896770552047</v>
      </c>
      <c r="AA126" s="4">
        <f>IF(H126*G126,LOOKUP(Z126,'Daniel''s Tables'!$Z$135:$Z$214,'Daniel''s Tables'!$AB$135:$AB$214),0)</f>
        <v>0.11599999999999999</v>
      </c>
      <c r="AB126" s="869">
        <f t="shared" si="22"/>
        <v>5.4384666666666659</v>
      </c>
      <c r="AC126" s="871">
        <f t="shared" si="16"/>
        <v>83.500625000000014</v>
      </c>
      <c r="AD126" s="838">
        <f t="shared" si="17"/>
        <v>101.59944404761904</v>
      </c>
      <c r="AE126" s="838"/>
    </row>
    <row r="127" spans="1:31" ht="15.75" customHeight="1" x14ac:dyDescent="0.2">
      <c r="A127" s="915"/>
      <c r="B127" s="854">
        <v>8</v>
      </c>
      <c r="C127" s="855">
        <f t="shared" si="0"/>
        <v>45934</v>
      </c>
      <c r="D127" s="854" t="s">
        <v>30</v>
      </c>
      <c r="E127" s="856" t="s">
        <v>385</v>
      </c>
      <c r="F127" s="854">
        <v>8</v>
      </c>
      <c r="G127" s="854">
        <v>9.07</v>
      </c>
      <c r="H127" s="857">
        <v>4.5069444444444447E-2</v>
      </c>
      <c r="I127" s="854" t="str">
        <f t="shared" si="23"/>
        <v>7:09</v>
      </c>
      <c r="J127" s="854"/>
      <c r="K127" s="854"/>
      <c r="L127" s="854" t="str">
        <f t="shared" si="2"/>
        <v>0:00</v>
      </c>
      <c r="M127" s="856">
        <f>SUM(F121:F127)</f>
        <v>58</v>
      </c>
      <c r="N127" s="854">
        <f>SUM(G121:G127)</f>
        <v>60.839999999999996</v>
      </c>
      <c r="O127" s="858"/>
      <c r="P127" s="863">
        <f>M127+P120</f>
        <v>1215</v>
      </c>
      <c r="Q127" s="862">
        <f>P126/P127</f>
        <v>0.96975308641975289</v>
      </c>
      <c r="R127" s="872"/>
      <c r="S127" s="4"/>
      <c r="T127" s="16">
        <f t="shared" si="15"/>
        <v>60.839999999999996</v>
      </c>
      <c r="U127" s="868">
        <f t="shared" si="18"/>
        <v>65.021428571428572</v>
      </c>
      <c r="V127" s="4">
        <v>70</v>
      </c>
      <c r="W127" s="4">
        <f t="shared" si="19"/>
        <v>58</v>
      </c>
      <c r="X127" s="868">
        <f t="shared" si="20"/>
        <v>65</v>
      </c>
      <c r="Y127" s="4"/>
      <c r="Z127" s="869">
        <f t="shared" si="21"/>
        <v>0.65513025644226086</v>
      </c>
      <c r="AA127" s="4">
        <f>IF(H127*G127,LOOKUP(Z127,'Daniel''s Tables'!$Z$135:$Z$214,'Daniel''s Tables'!$AB$135:$AB$214),0)</f>
        <v>0.1915</v>
      </c>
      <c r="AB127" s="869">
        <f t="shared" si="22"/>
        <v>12.428350000000002</v>
      </c>
      <c r="AC127" s="871">
        <f t="shared" si="16"/>
        <v>84.18</v>
      </c>
      <c r="AD127" s="838">
        <f t="shared" si="17"/>
        <v>98.85890000000002</v>
      </c>
      <c r="AE127" s="838">
        <f>AC127</f>
        <v>84.18</v>
      </c>
    </row>
    <row r="128" spans="1:31" ht="15.75" customHeight="1" x14ac:dyDescent="0.2">
      <c r="A128" s="916" t="s">
        <v>48</v>
      </c>
      <c r="B128" s="6">
        <v>7</v>
      </c>
      <c r="C128" s="17">
        <f t="shared" si="0"/>
        <v>45935</v>
      </c>
      <c r="D128" s="6" t="s">
        <v>31</v>
      </c>
      <c r="E128" s="4" t="s">
        <v>437</v>
      </c>
      <c r="F128" s="6">
        <v>10</v>
      </c>
      <c r="G128" s="6">
        <v>9.01</v>
      </c>
      <c r="H128" s="29">
        <v>4.9537037037037039E-2</v>
      </c>
      <c r="I128" s="6" t="str">
        <f t="shared" si="23"/>
        <v>7:55</v>
      </c>
      <c r="J128" s="6"/>
      <c r="K128" s="6"/>
      <c r="L128" s="6" t="str">
        <f t="shared" si="2"/>
        <v>0:00</v>
      </c>
      <c r="M128" s="4"/>
      <c r="N128" s="4"/>
      <c r="O128" s="16"/>
      <c r="P128" s="863"/>
      <c r="Q128" s="862"/>
      <c r="R128" s="4"/>
      <c r="S128" s="4"/>
      <c r="T128" s="16">
        <f t="shared" si="15"/>
        <v>64.599999999999994</v>
      </c>
      <c r="U128" s="868">
        <f t="shared" si="18"/>
        <v>65.058571428571426</v>
      </c>
      <c r="V128" s="4">
        <v>70</v>
      </c>
      <c r="W128" s="4">
        <f t="shared" si="19"/>
        <v>63</v>
      </c>
      <c r="X128" s="868">
        <f t="shared" si="20"/>
        <v>64.428571428571431</v>
      </c>
      <c r="Y128" s="4"/>
      <c r="Z128" s="869">
        <f t="shared" si="21"/>
        <v>0.57794793149448509</v>
      </c>
      <c r="AA128" s="4">
        <f>IF(H128*G128,LOOKUP(Z128,'Daniel''s Tables'!$Z$135:$Z$214,'Daniel''s Tables'!$AB$135:$AB$214),0)</f>
        <v>0.1</v>
      </c>
      <c r="AB128" s="869">
        <f t="shared" si="22"/>
        <v>7.1333333333333346</v>
      </c>
      <c r="AC128" s="871">
        <f t="shared" si="16"/>
        <v>87.123333333333349</v>
      </c>
      <c r="AD128" s="838">
        <f t="shared" si="17"/>
        <v>96.612641666666676</v>
      </c>
      <c r="AE128" s="838"/>
    </row>
    <row r="129" spans="1:31" ht="15.75" customHeight="1" x14ac:dyDescent="0.2">
      <c r="A129" s="916"/>
      <c r="B129" s="6">
        <v>6</v>
      </c>
      <c r="C129" s="17">
        <f t="shared" si="0"/>
        <v>45936</v>
      </c>
      <c r="D129" s="6" t="s">
        <v>33</v>
      </c>
      <c r="E129" s="4" t="s">
        <v>423</v>
      </c>
      <c r="F129" s="6">
        <v>8</v>
      </c>
      <c r="G129" s="6">
        <v>5.54</v>
      </c>
      <c r="H129" s="29">
        <v>2.7453703703703702E-2</v>
      </c>
      <c r="I129" s="6" t="str">
        <f t="shared" si="23"/>
        <v>7:08</v>
      </c>
      <c r="J129" s="6"/>
      <c r="K129" s="6"/>
      <c r="L129" s="6" t="str">
        <f t="shared" si="2"/>
        <v>0:00</v>
      </c>
      <c r="M129" s="6"/>
      <c r="N129" s="6"/>
      <c r="O129" s="16"/>
      <c r="P129" s="863"/>
      <c r="Q129" s="864"/>
      <c r="R129" s="4"/>
      <c r="S129" s="4"/>
      <c r="T129" s="16">
        <f t="shared" si="15"/>
        <v>64.34</v>
      </c>
      <c r="U129" s="868">
        <f t="shared" si="18"/>
        <v>65.001428571428576</v>
      </c>
      <c r="V129" s="4">
        <v>70</v>
      </c>
      <c r="W129" s="4">
        <f t="shared" si="19"/>
        <v>65</v>
      </c>
      <c r="X129" s="868">
        <f t="shared" si="20"/>
        <v>64.428571428571431</v>
      </c>
      <c r="Y129" s="4"/>
      <c r="Z129" s="869">
        <f t="shared" si="21"/>
        <v>0.65734228645952564</v>
      </c>
      <c r="AA129" s="4">
        <f>IF(H129*G129,LOOKUP(Z129,'Daniel''s Tables'!$Z$135:$Z$214,'Daniel''s Tables'!$AB$135:$AB$214),0)</f>
        <v>0.1915</v>
      </c>
      <c r="AB129" s="869">
        <f t="shared" si="22"/>
        <v>7.5706333333333333</v>
      </c>
      <c r="AC129" s="871">
        <f t="shared" si="16"/>
        <v>90.005716666666672</v>
      </c>
      <c r="AD129" s="838">
        <f t="shared" si="17"/>
        <v>94.724592857142866</v>
      </c>
      <c r="AE129" s="838"/>
    </row>
    <row r="130" spans="1:31" ht="15.75" customHeight="1" x14ac:dyDescent="0.2">
      <c r="A130" s="916"/>
      <c r="B130" s="6">
        <v>5</v>
      </c>
      <c r="C130" s="17">
        <f t="shared" si="0"/>
        <v>45937</v>
      </c>
      <c r="D130" s="6" t="s">
        <v>34</v>
      </c>
      <c r="E130" s="4" t="s">
        <v>438</v>
      </c>
      <c r="F130" s="6">
        <v>9</v>
      </c>
      <c r="G130" s="6">
        <v>9.15</v>
      </c>
      <c r="H130" s="29">
        <v>4.3692129629629629E-2</v>
      </c>
      <c r="I130" s="6" t="str">
        <f t="shared" si="23"/>
        <v>6:53</v>
      </c>
      <c r="J130" s="29">
        <f>TIME(0,5+5+5,35+32+35)</f>
        <v>1.1597222222222222E-2</v>
      </c>
      <c r="K130" s="6">
        <v>3</v>
      </c>
      <c r="L130" s="6" t="str">
        <f t="shared" si="2"/>
        <v>5:34</v>
      </c>
      <c r="M130" s="6"/>
      <c r="N130" s="6"/>
      <c r="O130" s="16"/>
      <c r="P130" s="863"/>
      <c r="Q130" s="864"/>
      <c r="R130" s="4"/>
      <c r="S130" s="4"/>
      <c r="T130" s="16">
        <f t="shared" si="15"/>
        <v>57.79</v>
      </c>
      <c r="U130" s="868">
        <f t="shared" si="18"/>
        <v>63.532857142857154</v>
      </c>
      <c r="V130" s="4">
        <v>70</v>
      </c>
      <c r="W130" s="4">
        <f t="shared" si="19"/>
        <v>58</v>
      </c>
      <c r="X130" s="868">
        <f t="shared" si="20"/>
        <v>62.857142857142854</v>
      </c>
      <c r="Y130" s="4"/>
      <c r="Z130" s="869">
        <f t="shared" si="21"/>
        <v>0.68817937608792878</v>
      </c>
      <c r="AA130" s="4">
        <f>IF(H130*G130,LOOKUP(Z130,'Daniel''s Tables'!$Z$135:$Z$214,'Daniel''s Tables'!$AB$135:$AB$214),0)</f>
        <v>0.24149999999999999</v>
      </c>
      <c r="AB130" s="869">
        <f t="shared" si="22"/>
        <v>15.194374999999999</v>
      </c>
      <c r="AC130" s="871">
        <f t="shared" si="16"/>
        <v>79.911824999999993</v>
      </c>
      <c r="AD130" s="838">
        <f t="shared" si="17"/>
        <v>91.88011666666668</v>
      </c>
      <c r="AE130" s="838"/>
    </row>
    <row r="131" spans="1:31" ht="15.75" customHeight="1" x14ac:dyDescent="0.2">
      <c r="A131" s="916"/>
      <c r="B131" s="6">
        <v>4</v>
      </c>
      <c r="C131" s="17">
        <f t="shared" si="0"/>
        <v>45938</v>
      </c>
      <c r="D131" s="6" t="s">
        <v>26</v>
      </c>
      <c r="E131" s="4" t="s">
        <v>425</v>
      </c>
      <c r="F131" s="6">
        <v>7</v>
      </c>
      <c r="G131" s="6">
        <v>6.35</v>
      </c>
      <c r="H131" s="29">
        <v>3.3773148148148149E-2</v>
      </c>
      <c r="I131" s="6" t="str">
        <f t="shared" si="23"/>
        <v>7:40</v>
      </c>
      <c r="J131" s="6"/>
      <c r="K131" s="6"/>
      <c r="L131" s="6" t="str">
        <f t="shared" si="2"/>
        <v>0:00</v>
      </c>
      <c r="M131" s="6"/>
      <c r="N131" s="6"/>
      <c r="O131" s="16"/>
      <c r="P131" s="863"/>
      <c r="Q131" s="865"/>
      <c r="R131" s="4"/>
      <c r="S131" s="4"/>
      <c r="T131" s="16">
        <f t="shared" si="15"/>
        <v>56.78</v>
      </c>
      <c r="U131" s="868">
        <f t="shared" si="18"/>
        <v>62.01285714285715</v>
      </c>
      <c r="V131" s="4">
        <v>70</v>
      </c>
      <c r="W131" s="4">
        <f t="shared" si="19"/>
        <v>59</v>
      </c>
      <c r="X131" s="868">
        <f t="shared" si="20"/>
        <v>61.714285714285715</v>
      </c>
      <c r="Y131" s="4"/>
      <c r="Z131" s="869">
        <f t="shared" si="21"/>
        <v>0.6022397000673958</v>
      </c>
      <c r="AA131" s="4">
        <f>IF(H131*G131,LOOKUP(Z131,'Daniel''s Tables'!$Z$135:$Z$214,'Daniel''s Tables'!$AB$135:$AB$214),0)</f>
        <v>0.11</v>
      </c>
      <c r="AB131" s="869">
        <f t="shared" si="22"/>
        <v>5.3496666666666668</v>
      </c>
      <c r="AC131" s="871">
        <f t="shared" si="16"/>
        <v>78.816491666666664</v>
      </c>
      <c r="AD131" s="838">
        <f t="shared" si="17"/>
        <v>88.919902380952394</v>
      </c>
      <c r="AE131" s="838"/>
    </row>
    <row r="132" spans="1:31" ht="15.75" customHeight="1" x14ac:dyDescent="0.2">
      <c r="A132" s="916"/>
      <c r="B132" s="6">
        <v>3</v>
      </c>
      <c r="C132" s="17">
        <f t="shared" si="0"/>
        <v>45939</v>
      </c>
      <c r="D132" s="6" t="s">
        <v>27</v>
      </c>
      <c r="E132" s="4" t="s">
        <v>426</v>
      </c>
      <c r="F132" s="6">
        <v>5</v>
      </c>
      <c r="G132" s="6">
        <v>5</v>
      </c>
      <c r="H132" s="29">
        <v>2.7083333333333334E-2</v>
      </c>
      <c r="I132" s="6" t="str">
        <f t="shared" si="23"/>
        <v>7:48</v>
      </c>
      <c r="J132" s="6"/>
      <c r="K132" s="6"/>
      <c r="L132" s="6" t="str">
        <f t="shared" si="2"/>
        <v>0:00</v>
      </c>
      <c r="M132" s="6"/>
      <c r="N132" s="6"/>
      <c r="O132" s="16"/>
      <c r="P132" s="861">
        <f>N133+P125</f>
        <v>6.2416898148148148</v>
      </c>
      <c r="Q132" s="865"/>
      <c r="R132" s="4"/>
      <c r="S132" s="4"/>
      <c r="T132" s="16">
        <f t="shared" si="15"/>
        <v>50.28</v>
      </c>
      <c r="U132" s="868">
        <f t="shared" si="18"/>
        <v>59.064285714285703</v>
      </c>
      <c r="V132" s="4">
        <v>70</v>
      </c>
      <c r="W132" s="4">
        <f t="shared" si="19"/>
        <v>52</v>
      </c>
      <c r="X132" s="868">
        <f t="shared" si="20"/>
        <v>59</v>
      </c>
      <c r="Y132" s="4"/>
      <c r="Z132" s="869">
        <f t="shared" si="21"/>
        <v>0.58874337637531904</v>
      </c>
      <c r="AA132" s="4">
        <f>IF(H132*G132,LOOKUP(Z132,'Daniel''s Tables'!$Z$135:$Z$214,'Daniel''s Tables'!$AB$135:$AB$214),0)</f>
        <v>0.1</v>
      </c>
      <c r="AB132" s="869">
        <f t="shared" si="22"/>
        <v>3.9000000000000004</v>
      </c>
      <c r="AC132" s="871">
        <f t="shared" si="16"/>
        <v>57.014825000000002</v>
      </c>
      <c r="AD132" s="838">
        <f t="shared" si="17"/>
        <v>80.078973809523816</v>
      </c>
      <c r="AE132" s="838"/>
    </row>
    <row r="133" spans="1:31" ht="15.75" customHeight="1" x14ac:dyDescent="0.2">
      <c r="A133" s="916"/>
      <c r="B133" s="6">
        <v>2</v>
      </c>
      <c r="C133" s="17">
        <f t="shared" si="0"/>
        <v>45940</v>
      </c>
      <c r="D133" s="6" t="s">
        <v>28</v>
      </c>
      <c r="E133" s="4" t="s">
        <v>427</v>
      </c>
      <c r="F133" s="6">
        <v>3</v>
      </c>
      <c r="G133" s="6">
        <v>2.81</v>
      </c>
      <c r="H133" s="29">
        <v>1.5266203703703704E-2</v>
      </c>
      <c r="I133" s="6" t="str">
        <f t="shared" si="23"/>
        <v>7:49</v>
      </c>
      <c r="J133" s="6"/>
      <c r="K133" s="6"/>
      <c r="L133" s="6" t="str">
        <f t="shared" si="2"/>
        <v>0:00</v>
      </c>
      <c r="M133" s="6"/>
      <c r="N133" s="28">
        <f>SUM(H128:H134)</f>
        <v>0.21520833333333336</v>
      </c>
      <c r="O133" s="16"/>
      <c r="P133" s="863">
        <f>N134+P126</f>
        <v>1219.1299999999999</v>
      </c>
      <c r="Q133" s="866"/>
      <c r="R133" s="4"/>
      <c r="S133" s="4"/>
      <c r="T133" s="16">
        <f t="shared" si="15"/>
        <v>46.93</v>
      </c>
      <c r="U133" s="868">
        <f t="shared" si="18"/>
        <v>57.365714285714283</v>
      </c>
      <c r="V133" s="4">
        <v>70</v>
      </c>
      <c r="W133" s="4">
        <f t="shared" si="19"/>
        <v>50</v>
      </c>
      <c r="X133" s="868">
        <f t="shared" si="20"/>
        <v>57.857142857142854</v>
      </c>
      <c r="Y133" s="4"/>
      <c r="Z133" s="869">
        <f t="shared" si="21"/>
        <v>0.58657230361964774</v>
      </c>
      <c r="AA133" s="4">
        <f>IF(H133*G133,LOOKUP(Z133,'Daniel''s Tables'!$Z$135:$Z$214,'Daniel''s Tables'!$AB$135:$AB$214),0)</f>
        <v>0.1</v>
      </c>
      <c r="AB133" s="869">
        <f t="shared" si="22"/>
        <v>2.1983333333333337</v>
      </c>
      <c r="AC133" s="871">
        <f t="shared" si="16"/>
        <v>53.774691666666662</v>
      </c>
      <c r="AD133" s="838">
        <f t="shared" si="17"/>
        <v>75.832411904761898</v>
      </c>
      <c r="AE133" s="838"/>
    </row>
    <row r="134" spans="1:31" ht="15.75" customHeight="1" x14ac:dyDescent="0.2">
      <c r="A134" s="916"/>
      <c r="B134" s="6">
        <v>1</v>
      </c>
      <c r="C134" s="17">
        <f t="shared" si="0"/>
        <v>45941</v>
      </c>
      <c r="D134" s="6" t="s">
        <v>30</v>
      </c>
      <c r="E134" s="4" t="s">
        <v>439</v>
      </c>
      <c r="F134" s="6">
        <v>3</v>
      </c>
      <c r="G134" s="6">
        <v>3.02</v>
      </c>
      <c r="H134" s="29">
        <v>1.8402777777777778E-2</v>
      </c>
      <c r="I134" s="6" t="str">
        <f t="shared" si="23"/>
        <v>8:46</v>
      </c>
      <c r="J134" s="6"/>
      <c r="K134" s="6"/>
      <c r="L134" s="6" t="str">
        <f t="shared" si="2"/>
        <v>0:00</v>
      </c>
      <c r="M134" s="4">
        <f>SUM(F128:F134)</f>
        <v>45</v>
      </c>
      <c r="N134" s="6">
        <f>SUM(G128:G134)</f>
        <v>40.88000000000001</v>
      </c>
      <c r="O134" s="16"/>
      <c r="P134" s="863">
        <f>M134+P127</f>
        <v>1260</v>
      </c>
      <c r="Q134" s="862">
        <f>P133/P134</f>
        <v>0.96756349206349201</v>
      </c>
      <c r="R134" s="4"/>
      <c r="S134" s="4"/>
      <c r="T134" s="16">
        <f t="shared" si="15"/>
        <v>40.88000000000001</v>
      </c>
      <c r="U134" s="868">
        <f t="shared" si="18"/>
        <v>54.514285714285712</v>
      </c>
      <c r="V134" s="4">
        <v>70</v>
      </c>
      <c r="W134" s="4">
        <f t="shared" si="19"/>
        <v>45</v>
      </c>
      <c r="X134" s="868">
        <f t="shared" si="20"/>
        <v>56</v>
      </c>
      <c r="Y134" s="4"/>
      <c r="Z134" s="869">
        <f t="shared" si="21"/>
        <v>0.5084229906286255</v>
      </c>
      <c r="AA134" s="4">
        <f>IF(H134*G134,LOOKUP(Z134,'Daniel''s Tables'!$Z$135:$Z$214,'Daniel''s Tables'!$AB$135:$AB$214),0)</f>
        <v>0.1</v>
      </c>
      <c r="AB134" s="869">
        <f t="shared" si="22"/>
        <v>2.6500000000000004</v>
      </c>
      <c r="AC134" s="871">
        <f t="shared" si="16"/>
        <v>43.996341666666659</v>
      </c>
      <c r="AD134" s="838">
        <f t="shared" si="17"/>
        <v>70.091889285714288</v>
      </c>
      <c r="AE134" s="838">
        <f>AC134</f>
        <v>43.996341666666659</v>
      </c>
    </row>
    <row r="135" spans="1:31" ht="15.75" customHeight="1" x14ac:dyDescent="0.2">
      <c r="A135" s="833" t="s">
        <v>49</v>
      </c>
      <c r="B135" s="834">
        <v>0</v>
      </c>
      <c r="C135" s="835">
        <f t="shared" si="0"/>
        <v>45942</v>
      </c>
      <c r="D135" s="834" t="s">
        <v>31</v>
      </c>
      <c r="E135" s="836"/>
      <c r="F135" s="834"/>
      <c r="G135" s="834">
        <v>26.2</v>
      </c>
      <c r="H135" s="31">
        <v>0.10878472222222223</v>
      </c>
      <c r="I135" s="834" t="str">
        <f>CONCATENATE(FLOOR((HOUR(H135)*60+MINUTE(H135)+SECOND(H135)/60)/IF(ISBLANK(G135),1,G135),1),":",TEXT(ROUND((((HOUR(H135)*60+MINUTE(H135)+SECOND(H135)/60)/IF(ISBLANK(G135),1,G135))-(FLOOR((HOUR(H135)*60+MINUTE(H135)+SECOND(H135)/60)/IF(ISBLANK(G135),1,G135),1)))*60,0),"00"))</f>
        <v>5:59</v>
      </c>
      <c r="J135" s="834"/>
      <c r="K135" s="834"/>
      <c r="L135" s="834" t="str">
        <f t="shared" si="2"/>
        <v>0:00</v>
      </c>
      <c r="M135" s="834">
        <v>26.2</v>
      </c>
      <c r="N135" s="834">
        <f>SUM(G127:G134)</f>
        <v>49.95</v>
      </c>
      <c r="O135" s="837"/>
      <c r="P135" s="6"/>
      <c r="Q135" s="852"/>
      <c r="R135" s="4"/>
      <c r="S135" s="4"/>
      <c r="T135" s="16">
        <f t="shared" si="15"/>
        <v>58.069999999999993</v>
      </c>
      <c r="U135" s="868">
        <f t="shared" si="18"/>
        <v>53.581428571428567</v>
      </c>
      <c r="V135" s="4">
        <v>70</v>
      </c>
      <c r="W135" s="4">
        <f t="shared" si="19"/>
        <v>35</v>
      </c>
      <c r="X135" s="868">
        <f t="shared" si="20"/>
        <v>52</v>
      </c>
      <c r="Y135" s="4"/>
      <c r="Z135" s="869">
        <f t="shared" si="21"/>
        <v>0.81775651591301701</v>
      </c>
      <c r="AA135" s="4">
        <f>IF(H135*G135,LOOKUP(Z135,'Daniel''s Tables'!$Z$135:$Z$214,'Daniel''s Tables'!$AB$135:$AB$214),0)</f>
        <v>0.50449999999999995</v>
      </c>
      <c r="AB135" s="869">
        <f t="shared" si="22"/>
        <v>79.029924999999992</v>
      </c>
      <c r="AC135" s="871">
        <f t="shared" si="16"/>
        <v>115.89293333333333</v>
      </c>
      <c r="AD135" s="838">
        <f t="shared" si="17"/>
        <v>74.201832142857143</v>
      </c>
      <c r="AE135" s="838"/>
    </row>
    <row r="136" spans="1:31" ht="15.75" customHeight="1" x14ac:dyDescent="0.2">
      <c r="A136" s="16"/>
      <c r="B136" s="6"/>
      <c r="C136" s="17"/>
      <c r="D136" s="6"/>
      <c r="E136" s="4"/>
      <c r="F136" s="6"/>
      <c r="G136" s="6"/>
      <c r="H136" s="6"/>
      <c r="I136" s="6"/>
      <c r="J136" s="6"/>
      <c r="K136" s="6"/>
      <c r="L136" s="6"/>
      <c r="M136" s="6"/>
      <c r="N136" s="6"/>
      <c r="O136" s="16"/>
      <c r="P136" s="6"/>
      <c r="Q136" s="4"/>
      <c r="R136" s="4"/>
      <c r="S136" s="4"/>
      <c r="T136" s="4"/>
      <c r="U136" s="4"/>
      <c r="V136" s="4"/>
      <c r="W136" s="4"/>
      <c r="X136" s="4"/>
      <c r="Y136" s="4"/>
      <c r="Z136" s="4"/>
      <c r="AA136" s="4"/>
      <c r="AB136" s="4"/>
      <c r="AC136" s="4"/>
    </row>
    <row r="137" spans="1:31" ht="15.75" customHeight="1" x14ac:dyDescent="0.2">
      <c r="A137" s="16"/>
      <c r="B137" s="6"/>
      <c r="C137" s="17"/>
      <c r="D137" s="6"/>
      <c r="E137" s="4"/>
      <c r="F137" s="6"/>
      <c r="G137" s="6"/>
      <c r="H137" s="6"/>
      <c r="I137" s="6"/>
      <c r="J137" s="6"/>
      <c r="K137" s="6"/>
      <c r="L137" s="6"/>
      <c r="M137" s="6"/>
      <c r="N137" s="6"/>
      <c r="O137" s="16"/>
      <c r="P137" s="6"/>
      <c r="Q137" s="4"/>
      <c r="R137" s="4"/>
      <c r="S137" s="4"/>
      <c r="T137" s="4"/>
      <c r="U137" s="4"/>
      <c r="V137" s="4"/>
      <c r="W137" s="4"/>
      <c r="X137" s="4"/>
      <c r="Y137" s="4"/>
      <c r="Z137" s="4"/>
      <c r="AA137" s="4"/>
      <c r="AB137" s="4"/>
      <c r="AC137" s="4"/>
    </row>
    <row r="138" spans="1:31" ht="14.1" customHeight="1" x14ac:dyDescent="0.2">
      <c r="A138" s="16"/>
      <c r="B138" s="6"/>
      <c r="C138" s="17"/>
      <c r="D138" s="6"/>
      <c r="E138" s="4"/>
      <c r="F138" s="6"/>
      <c r="G138" s="6"/>
      <c r="H138" s="6"/>
      <c r="I138" s="6"/>
      <c r="J138" s="6"/>
      <c r="K138" s="6"/>
      <c r="L138" s="6"/>
      <c r="M138" s="6"/>
      <c r="N138" s="6"/>
      <c r="O138" s="16"/>
      <c r="P138" s="6"/>
      <c r="Q138" s="4"/>
      <c r="R138" s="4"/>
      <c r="S138" s="4"/>
      <c r="T138" s="4"/>
      <c r="U138" s="4"/>
      <c r="V138" s="4"/>
      <c r="W138" s="4"/>
      <c r="X138" s="4"/>
      <c r="Y138" s="4"/>
      <c r="Z138" s="4"/>
      <c r="AA138" s="4"/>
      <c r="AB138" s="4"/>
      <c r="AC138" s="4"/>
    </row>
    <row r="139" spans="1:31" ht="14.1" customHeight="1" x14ac:dyDescent="0.2">
      <c r="A139" s="16"/>
      <c r="B139" s="6"/>
      <c r="C139" s="17"/>
      <c r="D139" s="6"/>
      <c r="E139" s="4"/>
      <c r="F139" s="6"/>
      <c r="G139" s="6"/>
      <c r="H139" s="6"/>
      <c r="I139" s="6"/>
      <c r="J139" s="6"/>
      <c r="K139" s="6"/>
      <c r="L139" s="6"/>
      <c r="M139" s="6"/>
      <c r="N139" s="6"/>
      <c r="O139" s="16"/>
      <c r="P139" s="6"/>
      <c r="Q139" s="4"/>
      <c r="R139" s="4"/>
      <c r="S139" s="4"/>
      <c r="T139" s="4"/>
      <c r="U139" s="4"/>
      <c r="V139" s="4"/>
      <c r="W139" s="4"/>
      <c r="X139" s="4"/>
      <c r="Y139" s="4"/>
      <c r="Z139" s="4"/>
      <c r="AA139" s="4"/>
      <c r="AB139" s="4"/>
      <c r="AC139" s="4"/>
    </row>
    <row r="140" spans="1:31" ht="14.1" customHeight="1" x14ac:dyDescent="0.2">
      <c r="A140" s="16"/>
      <c r="B140" s="6"/>
      <c r="C140" s="17"/>
      <c r="D140" s="6"/>
      <c r="E140" s="4"/>
      <c r="F140" s="6"/>
      <c r="G140" s="6"/>
      <c r="H140" s="6"/>
      <c r="I140" s="6"/>
      <c r="J140" s="6"/>
      <c r="K140" s="6"/>
      <c r="L140" s="6"/>
      <c r="M140" s="6"/>
      <c r="N140" s="6"/>
      <c r="O140" s="16"/>
      <c r="P140" s="6"/>
      <c r="Q140" s="4"/>
      <c r="R140" s="4"/>
      <c r="S140" s="4"/>
      <c r="T140" s="4"/>
      <c r="U140" s="4"/>
      <c r="V140" s="4"/>
      <c r="W140" s="4"/>
      <c r="X140" s="4"/>
      <c r="Y140" s="4"/>
      <c r="Z140" s="4"/>
      <c r="AA140" s="4"/>
      <c r="AB140" s="4"/>
      <c r="AC140" s="4"/>
    </row>
    <row r="141" spans="1:31" ht="12.75" x14ac:dyDescent="0.2">
      <c r="A141" s="16"/>
      <c r="B141" s="6"/>
      <c r="C141" s="17"/>
      <c r="D141" s="6"/>
      <c r="E141" s="4"/>
      <c r="F141" s="6"/>
      <c r="G141" s="6"/>
      <c r="H141" s="6"/>
      <c r="I141" s="6"/>
      <c r="J141" s="6"/>
      <c r="K141" s="6"/>
      <c r="L141" s="6"/>
      <c r="M141" s="6"/>
      <c r="N141" s="6"/>
      <c r="O141" s="16"/>
      <c r="P141" s="6"/>
      <c r="Q141" s="4"/>
      <c r="R141" s="4"/>
      <c r="S141" s="4"/>
      <c r="T141" s="4"/>
      <c r="U141" s="4"/>
      <c r="V141" s="4"/>
      <c r="W141" s="4"/>
      <c r="X141" s="4"/>
      <c r="Y141" s="4"/>
      <c r="Z141" s="4"/>
      <c r="AA141" s="4"/>
      <c r="AB141" s="4"/>
      <c r="AC141" s="4"/>
    </row>
    <row r="142" spans="1:31" ht="12.75" x14ac:dyDescent="0.2">
      <c r="A142" s="16"/>
      <c r="B142" s="6"/>
      <c r="C142" s="17"/>
      <c r="D142" s="6"/>
      <c r="E142" s="4"/>
      <c r="F142" s="6"/>
      <c r="G142" s="6"/>
      <c r="H142" s="6"/>
      <c r="I142" s="6"/>
      <c r="J142" s="6"/>
      <c r="K142" s="6"/>
      <c r="L142" s="6"/>
      <c r="M142" s="6"/>
      <c r="N142" s="6"/>
      <c r="O142" s="16"/>
      <c r="P142" s="6"/>
      <c r="Q142" s="4"/>
      <c r="R142" s="4"/>
      <c r="S142" s="4"/>
      <c r="T142" s="4"/>
      <c r="U142" s="4"/>
      <c r="V142" s="4"/>
      <c r="W142" s="4"/>
      <c r="X142" s="4"/>
      <c r="Y142" s="4"/>
      <c r="Z142" s="4"/>
      <c r="AA142" s="4"/>
      <c r="AB142" s="4"/>
      <c r="AC142" s="4"/>
    </row>
    <row r="143" spans="1:31" ht="12.75" x14ac:dyDescent="0.2">
      <c r="A143" s="16"/>
      <c r="B143" s="6"/>
      <c r="C143" s="17"/>
      <c r="D143" s="6"/>
      <c r="E143" s="4"/>
      <c r="F143" s="6"/>
      <c r="G143" s="6"/>
      <c r="H143" s="6"/>
      <c r="I143" s="6"/>
      <c r="J143" s="6"/>
      <c r="K143" s="6"/>
      <c r="L143" s="6"/>
      <c r="M143" s="6"/>
      <c r="N143" s="6"/>
      <c r="O143" s="16"/>
      <c r="P143" s="6"/>
      <c r="Q143" s="4"/>
      <c r="R143" s="4"/>
      <c r="S143" s="4"/>
      <c r="T143" s="4"/>
      <c r="U143" s="4"/>
      <c r="V143" s="4"/>
      <c r="W143" s="4"/>
      <c r="X143" s="4"/>
      <c r="Y143" s="4"/>
      <c r="Z143" s="4"/>
      <c r="AA143" s="4"/>
      <c r="AB143" s="4"/>
      <c r="AC143" s="4"/>
    </row>
    <row r="144" spans="1:31" ht="12.75" x14ac:dyDescent="0.2">
      <c r="A144" s="16"/>
      <c r="B144" s="6"/>
      <c r="C144" s="17"/>
      <c r="D144" s="6"/>
      <c r="E144" s="4"/>
      <c r="F144" s="6"/>
      <c r="G144" s="6"/>
      <c r="H144" s="6"/>
      <c r="I144" s="6"/>
      <c r="J144" s="6"/>
      <c r="K144" s="6"/>
      <c r="L144" s="6"/>
      <c r="M144" s="6"/>
      <c r="N144" s="6"/>
      <c r="O144" s="16"/>
      <c r="P144" s="6"/>
      <c r="Q144" s="4"/>
      <c r="R144" s="4"/>
      <c r="S144" s="4"/>
      <c r="T144" s="4"/>
      <c r="U144" s="4"/>
      <c r="V144" s="4"/>
      <c r="W144" s="4"/>
      <c r="X144" s="4"/>
      <c r="Y144" s="4"/>
      <c r="Z144" s="4"/>
      <c r="AA144" s="4"/>
      <c r="AB144" s="4"/>
      <c r="AC144" s="4"/>
    </row>
    <row r="145" spans="1:29" ht="12.75" x14ac:dyDescent="0.2">
      <c r="A145" s="16"/>
      <c r="B145" s="6"/>
      <c r="C145" s="17"/>
      <c r="D145" s="6"/>
      <c r="E145" s="4"/>
      <c r="F145" s="6"/>
      <c r="G145" s="6"/>
      <c r="H145" s="6"/>
      <c r="I145" s="6"/>
      <c r="J145" s="6"/>
      <c r="K145" s="6"/>
      <c r="L145" s="6"/>
      <c r="M145" s="6"/>
      <c r="N145" s="6"/>
      <c r="O145" s="16"/>
      <c r="P145" s="6"/>
      <c r="Q145" s="4"/>
      <c r="R145" s="4"/>
      <c r="S145" s="4"/>
      <c r="T145" s="4"/>
      <c r="U145" s="4"/>
      <c r="V145" s="4"/>
      <c r="W145" s="4"/>
      <c r="X145" s="4"/>
      <c r="Y145" s="4"/>
      <c r="Z145" s="4"/>
      <c r="AA145" s="4"/>
      <c r="AB145" s="4"/>
      <c r="AC145" s="4"/>
    </row>
    <row r="146" spans="1:29" ht="12.75" x14ac:dyDescent="0.2">
      <c r="A146" s="16"/>
      <c r="B146" s="6"/>
      <c r="C146" s="17"/>
      <c r="D146" s="6"/>
      <c r="E146" s="4"/>
      <c r="F146" s="6"/>
      <c r="G146" s="6"/>
      <c r="H146" s="6"/>
      <c r="I146" s="6"/>
      <c r="J146" s="6"/>
      <c r="K146" s="6"/>
      <c r="L146" s="6"/>
      <c r="M146" s="6"/>
      <c r="N146" s="6"/>
      <c r="O146" s="16"/>
      <c r="P146" s="6"/>
      <c r="Q146" s="4"/>
      <c r="R146" s="4"/>
      <c r="S146" s="4"/>
      <c r="T146" s="4"/>
      <c r="U146" s="4"/>
      <c r="V146" s="4"/>
      <c r="W146" s="4"/>
      <c r="X146" s="4"/>
      <c r="Y146" s="4"/>
      <c r="Z146" s="4"/>
      <c r="AA146" s="4"/>
      <c r="AB146" s="4"/>
      <c r="AC146" s="4"/>
    </row>
    <row r="147" spans="1:29" ht="12.75" x14ac:dyDescent="0.2">
      <c r="A147" s="16"/>
      <c r="B147" s="6"/>
      <c r="C147" s="17"/>
      <c r="D147" s="6"/>
      <c r="E147" s="4"/>
      <c r="F147" s="6"/>
      <c r="G147" s="6"/>
      <c r="H147" s="6"/>
      <c r="I147" s="6"/>
      <c r="J147" s="6"/>
      <c r="K147" s="6"/>
      <c r="L147" s="6"/>
      <c r="M147" s="6"/>
      <c r="N147" s="6"/>
      <c r="O147" s="16"/>
      <c r="P147" s="6"/>
      <c r="Q147" s="4"/>
      <c r="R147" s="4"/>
      <c r="S147" s="4"/>
      <c r="T147" s="4"/>
      <c r="U147" s="4"/>
      <c r="V147" s="4"/>
      <c r="W147" s="4"/>
      <c r="X147" s="4"/>
      <c r="Y147" s="4"/>
      <c r="Z147" s="4"/>
      <c r="AA147" s="4"/>
      <c r="AB147" s="4"/>
      <c r="AC147" s="4"/>
    </row>
    <row r="148" spans="1:29" ht="12.75" x14ac:dyDescent="0.2">
      <c r="A148" s="16"/>
      <c r="B148" s="6"/>
      <c r="C148" s="17"/>
      <c r="D148" s="6"/>
      <c r="E148" s="4"/>
      <c r="F148" s="6"/>
      <c r="G148" s="6"/>
      <c r="H148" s="6"/>
      <c r="I148" s="6"/>
      <c r="J148" s="6"/>
      <c r="K148" s="6"/>
      <c r="L148" s="6"/>
      <c r="M148" s="6"/>
      <c r="N148" s="6"/>
      <c r="O148" s="16"/>
      <c r="P148" s="6"/>
      <c r="Q148" s="4"/>
      <c r="R148" s="4"/>
      <c r="S148" s="4"/>
      <c r="T148" s="4"/>
      <c r="U148" s="4"/>
      <c r="V148" s="4"/>
      <c r="W148" s="4"/>
      <c r="X148" s="4"/>
      <c r="Y148" s="4"/>
      <c r="Z148" s="4"/>
      <c r="AA148" s="4"/>
      <c r="AB148" s="4"/>
      <c r="AC148" s="4"/>
    </row>
    <row r="149" spans="1:29" ht="12.75" x14ac:dyDescent="0.2">
      <c r="A149" s="16"/>
      <c r="B149" s="6"/>
      <c r="C149" s="17"/>
      <c r="D149" s="6"/>
      <c r="E149" s="4"/>
      <c r="F149" s="6"/>
      <c r="G149" s="6"/>
      <c r="H149" s="6"/>
      <c r="I149" s="6"/>
      <c r="J149" s="6"/>
      <c r="K149" s="6"/>
      <c r="L149" s="6"/>
      <c r="M149" s="6"/>
      <c r="N149" s="6"/>
      <c r="O149" s="16"/>
      <c r="P149" s="6"/>
      <c r="Q149" s="4"/>
      <c r="R149" s="4"/>
      <c r="S149" s="4"/>
      <c r="T149" s="4"/>
      <c r="U149" s="4"/>
      <c r="V149" s="4"/>
      <c r="W149" s="4"/>
      <c r="X149" s="4"/>
      <c r="Y149" s="4"/>
      <c r="Z149" s="4"/>
      <c r="AA149" s="4"/>
      <c r="AB149" s="4"/>
      <c r="AC149" s="4"/>
    </row>
    <row r="150" spans="1:29" ht="12.75" x14ac:dyDescent="0.2">
      <c r="A150" s="16"/>
      <c r="B150" s="6"/>
      <c r="C150" s="17"/>
      <c r="D150" s="6"/>
      <c r="E150" s="4"/>
      <c r="F150" s="6"/>
      <c r="G150" s="6"/>
      <c r="H150" s="6"/>
      <c r="I150" s="6"/>
      <c r="J150" s="6"/>
      <c r="K150" s="6"/>
      <c r="L150" s="6"/>
      <c r="M150" s="6"/>
      <c r="N150" s="6"/>
      <c r="O150" s="16"/>
      <c r="P150" s="6"/>
      <c r="Q150" s="4"/>
      <c r="R150" s="4"/>
      <c r="S150" s="4"/>
      <c r="T150" s="4"/>
      <c r="U150" s="4"/>
      <c r="V150" s="4"/>
      <c r="W150" s="4"/>
      <c r="X150" s="4"/>
      <c r="Y150" s="4"/>
      <c r="Z150" s="4"/>
      <c r="AA150" s="4"/>
      <c r="AB150" s="4"/>
      <c r="AC150" s="4"/>
    </row>
    <row r="151" spans="1:29" ht="12.75" x14ac:dyDescent="0.2">
      <c r="A151" s="16"/>
      <c r="B151" s="6"/>
      <c r="C151" s="17"/>
      <c r="D151" s="6"/>
      <c r="E151" s="4"/>
      <c r="F151" s="6"/>
      <c r="G151" s="6"/>
      <c r="H151" s="6"/>
      <c r="I151" s="6"/>
      <c r="J151" s="6"/>
      <c r="K151" s="6"/>
      <c r="L151" s="6"/>
      <c r="M151" s="6"/>
      <c r="N151" s="6"/>
      <c r="O151" s="16"/>
      <c r="P151" s="6"/>
      <c r="Q151" s="4"/>
      <c r="R151" s="4"/>
      <c r="S151" s="4"/>
      <c r="T151" s="4"/>
      <c r="U151" s="4"/>
      <c r="V151" s="4"/>
      <c r="W151" s="4"/>
      <c r="X151" s="4"/>
      <c r="Y151" s="4"/>
      <c r="Z151" s="4"/>
      <c r="AA151" s="4"/>
      <c r="AB151" s="4"/>
      <c r="AC151" s="4"/>
    </row>
    <row r="152" spans="1:29" ht="12.75" x14ac:dyDescent="0.2">
      <c r="A152" s="16"/>
      <c r="B152" s="6"/>
      <c r="C152" s="17"/>
      <c r="D152" s="6"/>
      <c r="E152" s="4"/>
      <c r="F152" s="6"/>
      <c r="G152" s="6"/>
      <c r="H152" s="6"/>
      <c r="I152" s="6"/>
      <c r="J152" s="6"/>
      <c r="K152" s="6"/>
      <c r="L152" s="6"/>
      <c r="M152" s="6"/>
      <c r="N152" s="6"/>
      <c r="O152" s="16"/>
      <c r="P152" s="6"/>
      <c r="Q152" s="4"/>
      <c r="R152" s="4"/>
      <c r="S152" s="4"/>
      <c r="T152" s="4"/>
      <c r="U152" s="4"/>
      <c r="V152" s="4"/>
      <c r="W152" s="4"/>
      <c r="X152" s="4"/>
      <c r="Y152" s="4"/>
      <c r="Z152" s="4"/>
      <c r="AA152" s="4"/>
      <c r="AB152" s="4"/>
      <c r="AC152" s="4"/>
    </row>
    <row r="153" spans="1:29" ht="12.75" x14ac:dyDescent="0.2">
      <c r="A153" s="16"/>
      <c r="B153" s="6"/>
      <c r="C153" s="17"/>
      <c r="D153" s="6"/>
      <c r="E153" s="4"/>
      <c r="F153" s="6"/>
      <c r="G153" s="6"/>
      <c r="H153" s="6"/>
      <c r="I153" s="6"/>
      <c r="J153" s="6"/>
      <c r="K153" s="6"/>
      <c r="L153" s="6"/>
      <c r="M153" s="6"/>
      <c r="N153" s="6"/>
      <c r="O153" s="16"/>
      <c r="P153" s="6"/>
      <c r="Q153" s="4"/>
      <c r="R153" s="4"/>
      <c r="S153" s="4"/>
      <c r="T153" s="4"/>
      <c r="U153" s="4"/>
      <c r="V153" s="4"/>
      <c r="W153" s="4"/>
      <c r="X153" s="4"/>
      <c r="Y153" s="4"/>
      <c r="Z153" s="4"/>
      <c r="AA153" s="4"/>
      <c r="AB153" s="4"/>
      <c r="AC153" s="4"/>
    </row>
    <row r="154" spans="1:29" ht="12.75" x14ac:dyDescent="0.2">
      <c r="A154" s="16"/>
      <c r="B154" s="6"/>
      <c r="C154" s="17"/>
      <c r="D154" s="6"/>
      <c r="E154" s="4"/>
      <c r="F154" s="6"/>
      <c r="G154" s="6"/>
      <c r="H154" s="6"/>
      <c r="I154" s="6"/>
      <c r="J154" s="6"/>
      <c r="K154" s="6"/>
      <c r="L154" s="6"/>
      <c r="M154" s="6"/>
      <c r="N154" s="6"/>
      <c r="O154" s="16"/>
      <c r="P154" s="6"/>
      <c r="Q154" s="4"/>
      <c r="R154" s="4"/>
      <c r="S154" s="4"/>
      <c r="T154" s="4"/>
      <c r="U154" s="4"/>
      <c r="V154" s="4"/>
      <c r="W154" s="4"/>
      <c r="X154" s="4"/>
      <c r="Y154" s="4"/>
      <c r="Z154" s="4"/>
      <c r="AA154" s="4"/>
      <c r="AB154" s="4"/>
      <c r="AC154" s="4"/>
    </row>
    <row r="155" spans="1:29" ht="12.75" x14ac:dyDescent="0.2">
      <c r="A155" s="16"/>
      <c r="B155" s="6"/>
      <c r="C155" s="17"/>
      <c r="D155" s="6"/>
      <c r="E155" s="4"/>
      <c r="F155" s="6"/>
      <c r="G155" s="6"/>
      <c r="H155" s="6"/>
      <c r="I155" s="6"/>
      <c r="J155" s="6"/>
      <c r="K155" s="6"/>
      <c r="L155" s="6"/>
      <c r="M155" s="6"/>
      <c r="N155" s="6"/>
      <c r="O155" s="16"/>
      <c r="P155" s="6"/>
      <c r="Q155" s="4"/>
      <c r="R155" s="4"/>
      <c r="S155" s="4"/>
      <c r="T155" s="4"/>
      <c r="U155" s="4"/>
      <c r="V155" s="4"/>
      <c r="W155" s="4"/>
      <c r="X155" s="4"/>
      <c r="Y155" s="4"/>
      <c r="Z155" s="4"/>
      <c r="AA155" s="4"/>
      <c r="AB155" s="4"/>
      <c r="AC155" s="4"/>
    </row>
    <row r="156" spans="1:29" ht="12.75" x14ac:dyDescent="0.2">
      <c r="A156" s="16"/>
      <c r="B156" s="6"/>
      <c r="C156" s="17"/>
      <c r="D156" s="6"/>
      <c r="E156" s="4"/>
      <c r="F156" s="6"/>
      <c r="G156" s="6"/>
      <c r="H156" s="6"/>
      <c r="I156" s="6"/>
      <c r="J156" s="6"/>
      <c r="K156" s="6"/>
      <c r="L156" s="6"/>
      <c r="M156" s="6"/>
      <c r="N156" s="6"/>
      <c r="O156" s="16"/>
      <c r="P156" s="6"/>
      <c r="Q156" s="4"/>
      <c r="R156" s="4"/>
      <c r="S156" s="4"/>
      <c r="T156" s="4"/>
      <c r="U156" s="4"/>
      <c r="V156" s="4"/>
      <c r="W156" s="4"/>
      <c r="X156" s="4"/>
      <c r="Y156" s="4"/>
      <c r="Z156" s="4"/>
      <c r="AA156" s="4"/>
      <c r="AB156" s="4"/>
      <c r="AC156" s="4"/>
    </row>
    <row r="157" spans="1:29" ht="12.75" x14ac:dyDescent="0.2">
      <c r="A157" s="16"/>
      <c r="B157" s="6"/>
      <c r="C157" s="17"/>
      <c r="D157" s="6"/>
      <c r="E157" s="4"/>
      <c r="F157" s="6"/>
      <c r="G157" s="6"/>
      <c r="H157" s="6"/>
      <c r="I157" s="6"/>
      <c r="J157" s="6"/>
      <c r="K157" s="6"/>
      <c r="L157" s="6"/>
      <c r="M157" s="6"/>
      <c r="N157" s="6"/>
      <c r="O157" s="16"/>
      <c r="P157" s="6"/>
      <c r="Q157" s="4"/>
      <c r="R157" s="4"/>
      <c r="S157" s="4"/>
      <c r="T157" s="4"/>
      <c r="U157" s="4"/>
      <c r="V157" s="4"/>
      <c r="W157" s="4"/>
      <c r="X157" s="4"/>
      <c r="Y157" s="4"/>
      <c r="Z157" s="4"/>
      <c r="AA157" s="4"/>
      <c r="AB157" s="4"/>
      <c r="AC157" s="4"/>
    </row>
    <row r="158" spans="1:29" ht="12.75" x14ac:dyDescent="0.2">
      <c r="A158" s="16"/>
      <c r="B158" s="6"/>
      <c r="C158" s="17"/>
      <c r="D158" s="6"/>
      <c r="E158" s="4"/>
      <c r="F158" s="6"/>
      <c r="G158" s="6"/>
      <c r="H158" s="6"/>
      <c r="I158" s="6"/>
      <c r="J158" s="6"/>
      <c r="K158" s="6"/>
      <c r="L158" s="6"/>
      <c r="M158" s="6"/>
      <c r="N158" s="6"/>
      <c r="O158" s="16"/>
      <c r="P158" s="6"/>
      <c r="Q158" s="4"/>
      <c r="R158" s="4"/>
      <c r="S158" s="4"/>
      <c r="T158" s="4"/>
      <c r="U158" s="4"/>
      <c r="V158" s="4"/>
      <c r="W158" s="4"/>
      <c r="X158" s="4"/>
      <c r="Y158" s="4"/>
      <c r="Z158" s="4"/>
      <c r="AA158" s="4"/>
      <c r="AB158" s="4"/>
      <c r="AC158" s="4"/>
    </row>
    <row r="159" spans="1:29" ht="12.75" x14ac:dyDescent="0.2">
      <c r="A159" s="16"/>
      <c r="B159" s="6"/>
      <c r="C159" s="17"/>
      <c r="D159" s="6"/>
      <c r="E159" s="4"/>
      <c r="F159" s="6"/>
      <c r="G159" s="6"/>
      <c r="H159" s="6"/>
      <c r="I159" s="6"/>
      <c r="J159" s="6"/>
      <c r="K159" s="6"/>
      <c r="L159" s="6"/>
      <c r="M159" s="6"/>
      <c r="N159" s="6"/>
      <c r="O159" s="16"/>
      <c r="P159" s="6"/>
      <c r="Q159" s="4"/>
      <c r="R159" s="4"/>
      <c r="S159" s="4"/>
      <c r="T159" s="4"/>
      <c r="U159" s="4"/>
      <c r="V159" s="4"/>
      <c r="W159" s="4"/>
      <c r="X159" s="4"/>
      <c r="Y159" s="4"/>
      <c r="Z159" s="4"/>
      <c r="AA159" s="4"/>
      <c r="AB159" s="4"/>
      <c r="AC159" s="4"/>
    </row>
    <row r="160" spans="1:29" ht="12.75" x14ac:dyDescent="0.2">
      <c r="A160" s="16"/>
      <c r="B160" s="6"/>
      <c r="C160" s="17"/>
      <c r="D160" s="6"/>
      <c r="E160" s="4"/>
      <c r="F160" s="6"/>
      <c r="G160" s="6"/>
      <c r="H160" s="6"/>
      <c r="I160" s="6"/>
      <c r="J160" s="6"/>
      <c r="K160" s="6"/>
      <c r="L160" s="6"/>
      <c r="M160" s="6"/>
      <c r="N160" s="6"/>
      <c r="O160" s="16"/>
      <c r="P160" s="6"/>
      <c r="Q160" s="4"/>
      <c r="R160" s="4"/>
      <c r="S160" s="4"/>
      <c r="T160" s="4"/>
      <c r="U160" s="4"/>
      <c r="V160" s="4"/>
      <c r="W160" s="4"/>
      <c r="X160" s="4"/>
      <c r="Y160" s="4"/>
      <c r="Z160" s="4"/>
      <c r="AA160" s="4"/>
      <c r="AB160" s="4"/>
      <c r="AC160" s="4"/>
    </row>
    <row r="161" spans="1:29" ht="12.75" x14ac:dyDescent="0.2">
      <c r="A161" s="16"/>
      <c r="B161" s="6"/>
      <c r="C161" s="17"/>
      <c r="D161" s="6"/>
      <c r="E161" s="4"/>
      <c r="F161" s="6"/>
      <c r="G161" s="6"/>
      <c r="H161" s="6"/>
      <c r="I161" s="6"/>
      <c r="J161" s="6"/>
      <c r="K161" s="6"/>
      <c r="L161" s="6"/>
      <c r="M161" s="6"/>
      <c r="N161" s="6"/>
      <c r="O161" s="16"/>
      <c r="P161" s="6"/>
      <c r="Q161" s="4"/>
      <c r="R161" s="4"/>
      <c r="S161" s="4"/>
      <c r="T161" s="4"/>
      <c r="U161" s="4"/>
      <c r="V161" s="4"/>
      <c r="W161" s="4"/>
      <c r="X161" s="4"/>
      <c r="Y161" s="4"/>
      <c r="Z161" s="4"/>
      <c r="AA161" s="4"/>
      <c r="AB161" s="4"/>
      <c r="AC161" s="4"/>
    </row>
    <row r="162" spans="1:29" ht="12.75" x14ac:dyDescent="0.2">
      <c r="A162" s="16"/>
      <c r="B162" s="6"/>
      <c r="C162" s="17"/>
      <c r="D162" s="6"/>
      <c r="E162" s="4"/>
      <c r="F162" s="6"/>
      <c r="G162" s="6"/>
      <c r="H162" s="6"/>
      <c r="I162" s="6"/>
      <c r="J162" s="6"/>
      <c r="K162" s="6"/>
      <c r="L162" s="6"/>
      <c r="M162" s="6"/>
      <c r="N162" s="6"/>
      <c r="O162" s="16"/>
      <c r="P162" s="6"/>
      <c r="Q162" s="4"/>
      <c r="R162" s="4"/>
      <c r="S162" s="4"/>
      <c r="T162" s="4"/>
      <c r="U162" s="4"/>
      <c r="V162" s="4"/>
      <c r="W162" s="4"/>
      <c r="X162" s="4"/>
      <c r="Y162" s="4"/>
      <c r="Z162" s="4"/>
      <c r="AA162" s="4"/>
      <c r="AB162" s="4"/>
      <c r="AC162" s="4"/>
    </row>
    <row r="163" spans="1:29" ht="12.75" x14ac:dyDescent="0.2">
      <c r="A163" s="16"/>
      <c r="B163" s="6"/>
      <c r="C163" s="17"/>
      <c r="D163" s="6"/>
      <c r="E163" s="4"/>
      <c r="F163" s="6"/>
      <c r="G163" s="6"/>
      <c r="H163" s="6"/>
      <c r="I163" s="6"/>
      <c r="J163" s="6"/>
      <c r="K163" s="6"/>
      <c r="L163" s="6"/>
      <c r="M163" s="6"/>
      <c r="N163" s="6"/>
      <c r="O163" s="16"/>
      <c r="P163" s="6"/>
      <c r="Q163" s="4"/>
      <c r="R163" s="4"/>
      <c r="S163" s="4"/>
      <c r="T163" s="4"/>
      <c r="U163" s="4"/>
      <c r="V163" s="4"/>
      <c r="W163" s="4"/>
      <c r="X163" s="4"/>
      <c r="Y163" s="4"/>
      <c r="Z163" s="4"/>
      <c r="AA163" s="4"/>
      <c r="AB163" s="4"/>
      <c r="AC163" s="4"/>
    </row>
    <row r="164" spans="1:29" ht="12.75" x14ac:dyDescent="0.2">
      <c r="A164" s="16"/>
      <c r="B164" s="6"/>
      <c r="C164" s="17"/>
      <c r="D164" s="6"/>
      <c r="E164" s="4"/>
      <c r="F164" s="6"/>
      <c r="G164" s="6"/>
      <c r="H164" s="6"/>
      <c r="I164" s="6"/>
      <c r="J164" s="6"/>
      <c r="K164" s="6"/>
      <c r="L164" s="6"/>
      <c r="M164" s="6"/>
      <c r="N164" s="6"/>
      <c r="O164" s="16"/>
      <c r="P164" s="6"/>
      <c r="Q164" s="4"/>
      <c r="R164" s="4"/>
      <c r="S164" s="4"/>
      <c r="T164" s="4"/>
      <c r="U164" s="4"/>
      <c r="V164" s="4"/>
      <c r="W164" s="4"/>
      <c r="X164" s="4"/>
      <c r="Y164" s="4"/>
      <c r="Z164" s="4"/>
      <c r="AA164" s="4"/>
      <c r="AB164" s="4"/>
      <c r="AC164" s="4"/>
    </row>
    <row r="165" spans="1:29" ht="12.75" x14ac:dyDescent="0.2">
      <c r="A165" s="16"/>
      <c r="B165" s="6"/>
      <c r="C165" s="17"/>
      <c r="D165" s="6"/>
      <c r="E165" s="4"/>
      <c r="F165" s="6"/>
      <c r="G165" s="6"/>
      <c r="H165" s="6"/>
      <c r="I165" s="6"/>
      <c r="J165" s="6"/>
      <c r="K165" s="6"/>
      <c r="L165" s="6"/>
      <c r="M165" s="6"/>
      <c r="N165" s="6"/>
      <c r="O165" s="16"/>
      <c r="P165" s="6"/>
      <c r="Q165" s="4"/>
      <c r="R165" s="4"/>
      <c r="S165" s="4"/>
      <c r="T165" s="4"/>
      <c r="U165" s="4"/>
      <c r="V165" s="4"/>
      <c r="W165" s="4"/>
      <c r="X165" s="4"/>
      <c r="Y165" s="4"/>
      <c r="Z165" s="4"/>
      <c r="AA165" s="4"/>
      <c r="AB165" s="4"/>
      <c r="AC165" s="4"/>
    </row>
    <row r="166" spans="1:29" ht="12.75" x14ac:dyDescent="0.2">
      <c r="A166" s="16"/>
      <c r="B166" s="6"/>
      <c r="C166" s="17"/>
      <c r="D166" s="6"/>
      <c r="E166" s="4"/>
      <c r="F166" s="6"/>
      <c r="G166" s="6"/>
      <c r="H166" s="6"/>
      <c r="I166" s="6"/>
      <c r="J166" s="6"/>
      <c r="K166" s="6"/>
      <c r="L166" s="6"/>
      <c r="M166" s="6"/>
      <c r="N166" s="6"/>
      <c r="O166" s="16"/>
      <c r="P166" s="6"/>
      <c r="Q166" s="4"/>
      <c r="R166" s="4"/>
      <c r="S166" s="4"/>
      <c r="T166" s="4"/>
      <c r="U166" s="4"/>
      <c r="V166" s="4"/>
      <c r="W166" s="4"/>
      <c r="X166" s="4"/>
      <c r="Y166" s="4"/>
      <c r="Z166" s="4"/>
      <c r="AA166" s="4"/>
      <c r="AB166" s="4"/>
      <c r="AC166" s="4"/>
    </row>
    <row r="167" spans="1:29" ht="12.75" x14ac:dyDescent="0.2">
      <c r="A167" s="16"/>
      <c r="B167" s="6"/>
      <c r="C167" s="17"/>
      <c r="D167" s="6"/>
      <c r="E167" s="4"/>
      <c r="F167" s="6"/>
      <c r="G167" s="6"/>
      <c r="H167" s="6"/>
      <c r="I167" s="6"/>
      <c r="J167" s="6"/>
      <c r="K167" s="6"/>
      <c r="L167" s="6"/>
      <c r="M167" s="6"/>
      <c r="N167" s="6"/>
      <c r="O167" s="16"/>
      <c r="P167" s="6"/>
      <c r="Q167" s="4"/>
      <c r="R167" s="4"/>
      <c r="S167" s="4"/>
      <c r="T167" s="4"/>
      <c r="U167" s="4"/>
      <c r="V167" s="4"/>
      <c r="W167" s="4"/>
      <c r="X167" s="4"/>
      <c r="Y167" s="4"/>
      <c r="Z167" s="4"/>
      <c r="AA167" s="4"/>
      <c r="AB167" s="4"/>
      <c r="AC167" s="4"/>
    </row>
    <row r="168" spans="1:29" ht="12.75" x14ac:dyDescent="0.2">
      <c r="A168" s="16"/>
      <c r="B168" s="6"/>
      <c r="C168" s="17"/>
      <c r="D168" s="6"/>
      <c r="E168" s="4"/>
      <c r="F168" s="6"/>
      <c r="G168" s="6"/>
      <c r="H168" s="6"/>
      <c r="I168" s="6"/>
      <c r="J168" s="6"/>
      <c r="K168" s="6"/>
      <c r="L168" s="6"/>
      <c r="M168" s="6"/>
      <c r="N168" s="6"/>
      <c r="O168" s="16"/>
      <c r="P168" s="6"/>
      <c r="Q168" s="4"/>
      <c r="R168" s="4"/>
      <c r="S168" s="4"/>
      <c r="T168" s="4"/>
      <c r="U168" s="4"/>
      <c r="V168" s="4"/>
      <c r="W168" s="4"/>
      <c r="X168" s="4"/>
      <c r="Y168" s="4"/>
      <c r="Z168" s="4"/>
      <c r="AA168" s="4"/>
      <c r="AB168" s="4"/>
      <c r="AC168" s="4"/>
    </row>
    <row r="169" spans="1:29" ht="12.75" x14ac:dyDescent="0.2">
      <c r="A169" s="16"/>
      <c r="B169" s="6"/>
      <c r="C169" s="17"/>
      <c r="D169" s="6"/>
      <c r="E169" s="4"/>
      <c r="F169" s="6"/>
      <c r="G169" s="6"/>
      <c r="H169" s="6"/>
      <c r="I169" s="6"/>
      <c r="J169" s="6"/>
      <c r="K169" s="6"/>
      <c r="L169" s="6"/>
      <c r="M169" s="6"/>
      <c r="N169" s="6"/>
      <c r="O169" s="16"/>
      <c r="P169" s="6"/>
      <c r="Q169" s="4"/>
      <c r="R169" s="4"/>
      <c r="S169" s="4"/>
      <c r="T169" s="4"/>
      <c r="U169" s="4"/>
      <c r="V169" s="4"/>
      <c r="W169" s="4"/>
      <c r="X169" s="4"/>
      <c r="Y169" s="4"/>
      <c r="Z169" s="4"/>
      <c r="AA169" s="4"/>
      <c r="AB169" s="4"/>
      <c r="AC169" s="4"/>
    </row>
    <row r="170" spans="1:29" ht="12.75" x14ac:dyDescent="0.2">
      <c r="A170" s="16"/>
      <c r="B170" s="6"/>
      <c r="C170" s="17"/>
      <c r="D170" s="6"/>
      <c r="E170" s="4"/>
      <c r="F170" s="6"/>
      <c r="G170" s="6"/>
      <c r="H170" s="6"/>
      <c r="I170" s="6"/>
      <c r="J170" s="6"/>
      <c r="K170" s="6"/>
      <c r="L170" s="6"/>
      <c r="M170" s="6"/>
      <c r="N170" s="6"/>
      <c r="O170" s="16"/>
      <c r="P170" s="6"/>
      <c r="Q170" s="4"/>
      <c r="R170" s="4"/>
      <c r="S170" s="4"/>
      <c r="T170" s="4"/>
      <c r="U170" s="4"/>
      <c r="V170" s="4"/>
      <c r="W170" s="4"/>
      <c r="X170" s="4"/>
      <c r="Y170" s="4"/>
      <c r="Z170" s="4"/>
      <c r="AA170" s="4"/>
      <c r="AB170" s="4"/>
      <c r="AC170" s="4"/>
    </row>
    <row r="171" spans="1:29" ht="12.75" x14ac:dyDescent="0.2">
      <c r="A171" s="16"/>
      <c r="B171" s="6"/>
      <c r="C171" s="17"/>
      <c r="D171" s="6"/>
      <c r="E171" s="4"/>
      <c r="F171" s="6"/>
      <c r="G171" s="6"/>
      <c r="H171" s="6"/>
      <c r="I171" s="6"/>
      <c r="J171" s="6"/>
      <c r="K171" s="6"/>
      <c r="L171" s="6"/>
      <c r="M171" s="6"/>
      <c r="N171" s="6"/>
      <c r="O171" s="16"/>
      <c r="P171" s="6"/>
      <c r="Q171" s="4"/>
      <c r="R171" s="4"/>
      <c r="S171" s="4"/>
      <c r="T171" s="4"/>
      <c r="U171" s="4"/>
      <c r="V171" s="4"/>
      <c r="W171" s="4"/>
      <c r="X171" s="4"/>
      <c r="Y171" s="4"/>
      <c r="Z171" s="4"/>
      <c r="AA171" s="4"/>
      <c r="AB171" s="4"/>
      <c r="AC171" s="4"/>
    </row>
    <row r="172" spans="1:29" ht="12.75" x14ac:dyDescent="0.2">
      <c r="A172" s="16"/>
      <c r="B172" s="6"/>
      <c r="C172" s="17"/>
      <c r="D172" s="6"/>
      <c r="E172" s="4"/>
      <c r="F172" s="6"/>
      <c r="G172" s="6"/>
      <c r="H172" s="6"/>
      <c r="I172" s="6"/>
      <c r="J172" s="6"/>
      <c r="K172" s="6"/>
      <c r="L172" s="6"/>
      <c r="M172" s="6"/>
      <c r="N172" s="6"/>
      <c r="O172" s="16"/>
      <c r="P172" s="6"/>
      <c r="Q172" s="4"/>
      <c r="R172" s="4"/>
      <c r="S172" s="4"/>
      <c r="T172" s="4"/>
      <c r="U172" s="4"/>
      <c r="V172" s="4"/>
      <c r="W172" s="4"/>
      <c r="X172" s="4"/>
      <c r="Y172" s="4"/>
      <c r="Z172" s="4"/>
      <c r="AA172" s="4"/>
      <c r="AB172" s="4"/>
      <c r="AC172" s="4"/>
    </row>
    <row r="173" spans="1:29" ht="12.75" x14ac:dyDescent="0.2">
      <c r="A173" s="16"/>
      <c r="B173" s="6"/>
      <c r="C173" s="17"/>
      <c r="D173" s="6"/>
      <c r="E173" s="4"/>
      <c r="F173" s="6"/>
      <c r="G173" s="6"/>
      <c r="H173" s="6"/>
      <c r="I173" s="6"/>
      <c r="J173" s="6"/>
      <c r="K173" s="6"/>
      <c r="L173" s="6"/>
      <c r="M173" s="6"/>
      <c r="N173" s="6"/>
      <c r="O173" s="16"/>
      <c r="P173" s="6"/>
      <c r="Q173" s="4"/>
      <c r="R173" s="4"/>
      <c r="S173" s="4"/>
      <c r="T173" s="4"/>
      <c r="U173" s="4"/>
      <c r="V173" s="4"/>
      <c r="W173" s="4"/>
      <c r="X173" s="4"/>
      <c r="Y173" s="4"/>
      <c r="Z173" s="4"/>
      <c r="AA173" s="4"/>
      <c r="AB173" s="4"/>
      <c r="AC173" s="4"/>
    </row>
    <row r="174" spans="1:29" ht="12.75" x14ac:dyDescent="0.2">
      <c r="A174" s="16"/>
      <c r="B174" s="6"/>
      <c r="C174" s="17"/>
      <c r="D174" s="6"/>
      <c r="E174" s="4"/>
      <c r="F174" s="6"/>
      <c r="G174" s="6"/>
      <c r="H174" s="6"/>
      <c r="I174" s="6"/>
      <c r="J174" s="6"/>
      <c r="K174" s="6"/>
      <c r="L174" s="6"/>
      <c r="M174" s="6"/>
      <c r="N174" s="6"/>
      <c r="O174" s="16"/>
      <c r="P174" s="6"/>
      <c r="Q174" s="4"/>
      <c r="R174" s="4"/>
      <c r="S174" s="4"/>
      <c r="T174" s="4"/>
      <c r="U174" s="4"/>
      <c r="V174" s="4"/>
      <c r="W174" s="4"/>
      <c r="X174" s="4"/>
      <c r="Y174" s="4"/>
      <c r="Z174" s="4"/>
      <c r="AA174" s="4"/>
      <c r="AB174" s="4"/>
      <c r="AC174" s="4"/>
    </row>
    <row r="175" spans="1:29" ht="12.75" x14ac:dyDescent="0.2">
      <c r="A175" s="16"/>
      <c r="B175" s="6"/>
      <c r="C175" s="17"/>
      <c r="D175" s="6"/>
      <c r="E175" s="4"/>
      <c r="F175" s="6"/>
      <c r="G175" s="6"/>
      <c r="H175" s="6"/>
      <c r="I175" s="6"/>
      <c r="J175" s="6"/>
      <c r="K175" s="6"/>
      <c r="L175" s="6"/>
      <c r="M175" s="6"/>
      <c r="N175" s="6"/>
      <c r="O175" s="16"/>
      <c r="P175" s="6"/>
      <c r="Q175" s="4"/>
      <c r="R175" s="4"/>
      <c r="S175" s="4"/>
      <c r="T175" s="4"/>
      <c r="U175" s="4"/>
      <c r="V175" s="4"/>
      <c r="W175" s="4"/>
      <c r="X175" s="4"/>
      <c r="Y175" s="4"/>
      <c r="Z175" s="4"/>
      <c r="AA175" s="4"/>
      <c r="AB175" s="4"/>
      <c r="AC175" s="4"/>
    </row>
    <row r="176" spans="1:29" ht="12.75" x14ac:dyDescent="0.2">
      <c r="A176" s="16"/>
      <c r="B176" s="6"/>
      <c r="C176" s="17"/>
      <c r="D176" s="6"/>
      <c r="E176" s="4"/>
      <c r="F176" s="6"/>
      <c r="G176" s="6"/>
      <c r="H176" s="6"/>
      <c r="I176" s="6"/>
      <c r="J176" s="6"/>
      <c r="K176" s="6"/>
      <c r="L176" s="6"/>
      <c r="M176" s="6"/>
      <c r="N176" s="6"/>
      <c r="O176" s="16"/>
      <c r="P176" s="6"/>
      <c r="Q176" s="4"/>
      <c r="R176" s="4"/>
      <c r="S176" s="4"/>
      <c r="T176" s="4"/>
      <c r="U176" s="4"/>
      <c r="V176" s="4"/>
      <c r="W176" s="4"/>
      <c r="X176" s="4"/>
      <c r="Y176" s="4"/>
      <c r="Z176" s="4"/>
      <c r="AA176" s="4"/>
      <c r="AB176" s="4"/>
      <c r="AC176" s="4"/>
    </row>
    <row r="177" spans="1:29" ht="12.75" x14ac:dyDescent="0.2">
      <c r="A177" s="16"/>
      <c r="B177" s="6"/>
      <c r="C177" s="17"/>
      <c r="D177" s="6"/>
      <c r="E177" s="4"/>
      <c r="F177" s="6"/>
      <c r="G177" s="6"/>
      <c r="H177" s="6"/>
      <c r="I177" s="6"/>
      <c r="J177" s="6"/>
      <c r="K177" s="6"/>
      <c r="L177" s="6"/>
      <c r="M177" s="6"/>
      <c r="N177" s="6"/>
      <c r="O177" s="16"/>
      <c r="P177" s="6"/>
      <c r="Q177" s="4"/>
      <c r="R177" s="4"/>
      <c r="S177" s="4"/>
      <c r="T177" s="4"/>
      <c r="U177" s="4"/>
      <c r="V177" s="4"/>
      <c r="W177" s="4"/>
      <c r="X177" s="4"/>
      <c r="Y177" s="4"/>
      <c r="Z177" s="4"/>
      <c r="AA177" s="4"/>
      <c r="AB177" s="4"/>
      <c r="AC177" s="4"/>
    </row>
    <row r="178" spans="1:29" ht="12.75" x14ac:dyDescent="0.2">
      <c r="A178" s="16"/>
      <c r="B178" s="6"/>
      <c r="C178" s="17"/>
      <c r="D178" s="6"/>
      <c r="E178" s="4"/>
      <c r="F178" s="6"/>
      <c r="G178" s="6"/>
      <c r="H178" s="6"/>
      <c r="I178" s="6"/>
      <c r="J178" s="6"/>
      <c r="K178" s="6"/>
      <c r="L178" s="6"/>
      <c r="M178" s="6"/>
      <c r="N178" s="6"/>
      <c r="O178" s="16"/>
      <c r="P178" s="6"/>
      <c r="Q178" s="4"/>
      <c r="R178" s="4"/>
      <c r="S178" s="4"/>
      <c r="T178" s="4"/>
      <c r="U178" s="4"/>
      <c r="V178" s="4"/>
      <c r="W178" s="4"/>
      <c r="X178" s="4"/>
      <c r="Y178" s="4"/>
      <c r="Z178" s="4"/>
      <c r="AA178" s="4"/>
      <c r="AB178" s="4"/>
      <c r="AC178" s="4"/>
    </row>
    <row r="179" spans="1:29" ht="12.75" x14ac:dyDescent="0.2">
      <c r="A179" s="16"/>
      <c r="B179" s="6"/>
      <c r="C179" s="17"/>
      <c r="D179" s="6"/>
      <c r="E179" s="4"/>
      <c r="F179" s="6"/>
      <c r="G179" s="6"/>
      <c r="H179" s="6"/>
      <c r="I179" s="6"/>
      <c r="J179" s="6"/>
      <c r="K179" s="6"/>
      <c r="L179" s="6"/>
      <c r="M179" s="6"/>
      <c r="N179" s="6"/>
      <c r="O179" s="16"/>
      <c r="P179" s="6"/>
      <c r="Q179" s="4"/>
      <c r="R179" s="4"/>
      <c r="S179" s="4"/>
      <c r="T179" s="4"/>
      <c r="U179" s="4"/>
      <c r="V179" s="4"/>
      <c r="W179" s="4"/>
      <c r="X179" s="4"/>
      <c r="Y179" s="4"/>
      <c r="Z179" s="4"/>
      <c r="AA179" s="4"/>
      <c r="AB179" s="4"/>
      <c r="AC179" s="4"/>
    </row>
    <row r="180" spans="1:29" ht="12.75" x14ac:dyDescent="0.2">
      <c r="A180" s="16"/>
      <c r="B180" s="6"/>
      <c r="C180" s="17"/>
      <c r="D180" s="6"/>
      <c r="E180" s="4"/>
      <c r="F180" s="6"/>
      <c r="G180" s="6"/>
      <c r="H180" s="6"/>
      <c r="I180" s="6"/>
      <c r="J180" s="6"/>
      <c r="K180" s="6"/>
      <c r="L180" s="6"/>
      <c r="M180" s="6"/>
      <c r="N180" s="6"/>
      <c r="O180" s="16"/>
      <c r="P180" s="6"/>
      <c r="Q180" s="4"/>
      <c r="R180" s="4"/>
      <c r="S180" s="4"/>
      <c r="T180" s="4"/>
      <c r="U180" s="4"/>
      <c r="V180" s="4"/>
      <c r="W180" s="4"/>
      <c r="X180" s="4"/>
      <c r="Y180" s="4"/>
      <c r="Z180" s="4"/>
      <c r="AA180" s="4"/>
      <c r="AB180" s="4"/>
      <c r="AC180" s="4"/>
    </row>
    <row r="181" spans="1:29" ht="12.75" x14ac:dyDescent="0.2">
      <c r="A181" s="16"/>
      <c r="B181" s="6"/>
      <c r="C181" s="17"/>
      <c r="D181" s="6"/>
      <c r="E181" s="4"/>
      <c r="F181" s="6"/>
      <c r="G181" s="6"/>
      <c r="H181" s="6"/>
      <c r="I181" s="6"/>
      <c r="J181" s="6"/>
      <c r="K181" s="6"/>
      <c r="L181" s="6"/>
      <c r="M181" s="6"/>
      <c r="N181" s="6"/>
      <c r="O181" s="16"/>
      <c r="P181" s="6"/>
      <c r="Q181" s="4"/>
      <c r="R181" s="4"/>
      <c r="S181" s="4"/>
      <c r="T181" s="4"/>
      <c r="U181" s="4"/>
      <c r="V181" s="4"/>
      <c r="W181" s="4"/>
      <c r="X181" s="4"/>
      <c r="Y181" s="4"/>
      <c r="Z181" s="4"/>
      <c r="AA181" s="4"/>
      <c r="AB181" s="4"/>
      <c r="AC181" s="4"/>
    </row>
    <row r="182" spans="1:29" ht="12.75" x14ac:dyDescent="0.2">
      <c r="A182" s="16"/>
      <c r="B182" s="6"/>
      <c r="C182" s="17"/>
      <c r="D182" s="6"/>
      <c r="E182" s="4"/>
      <c r="F182" s="6"/>
      <c r="G182" s="6"/>
      <c r="H182" s="6"/>
      <c r="I182" s="6"/>
      <c r="J182" s="6"/>
      <c r="K182" s="6"/>
      <c r="L182" s="6"/>
      <c r="M182" s="6"/>
      <c r="N182" s="6"/>
      <c r="O182" s="16"/>
      <c r="P182" s="6"/>
      <c r="Q182" s="4"/>
      <c r="R182" s="4"/>
      <c r="S182" s="4"/>
      <c r="T182" s="4"/>
      <c r="U182" s="4"/>
      <c r="V182" s="4"/>
      <c r="W182" s="4"/>
      <c r="X182" s="4"/>
      <c r="Y182" s="4"/>
      <c r="Z182" s="4"/>
      <c r="AA182" s="4"/>
      <c r="AB182" s="4"/>
      <c r="AC182" s="4"/>
    </row>
    <row r="183" spans="1:29" ht="12.75" x14ac:dyDescent="0.2">
      <c r="A183" s="16"/>
      <c r="B183" s="6"/>
      <c r="C183" s="17"/>
      <c r="D183" s="6"/>
      <c r="E183" s="4"/>
      <c r="F183" s="6"/>
      <c r="G183" s="6"/>
      <c r="H183" s="6"/>
      <c r="I183" s="6"/>
      <c r="J183" s="6"/>
      <c r="K183" s="6"/>
      <c r="L183" s="6"/>
      <c r="M183" s="6"/>
      <c r="N183" s="6"/>
      <c r="O183" s="16"/>
      <c r="P183" s="6"/>
      <c r="Q183" s="4"/>
      <c r="R183" s="4"/>
      <c r="S183" s="4"/>
      <c r="T183" s="4"/>
      <c r="U183" s="4"/>
      <c r="V183" s="4"/>
      <c r="W183" s="4"/>
      <c r="X183" s="4"/>
      <c r="Y183" s="4"/>
      <c r="Z183" s="4"/>
      <c r="AA183" s="4"/>
      <c r="AB183" s="4"/>
      <c r="AC183" s="4"/>
    </row>
    <row r="184" spans="1:29" ht="12.75" x14ac:dyDescent="0.2">
      <c r="A184" s="16"/>
      <c r="B184" s="6"/>
      <c r="C184" s="17"/>
      <c r="D184" s="6"/>
      <c r="E184" s="4"/>
      <c r="F184" s="6"/>
      <c r="G184" s="6"/>
      <c r="H184" s="6"/>
      <c r="I184" s="6"/>
      <c r="J184" s="6"/>
      <c r="K184" s="6"/>
      <c r="L184" s="6"/>
      <c r="M184" s="6"/>
      <c r="N184" s="6"/>
      <c r="O184" s="16"/>
      <c r="P184" s="6"/>
      <c r="Q184" s="4"/>
      <c r="R184" s="4"/>
      <c r="S184" s="4"/>
      <c r="T184" s="4"/>
      <c r="U184" s="4"/>
      <c r="V184" s="4"/>
      <c r="W184" s="4"/>
      <c r="X184" s="4"/>
      <c r="Y184" s="4"/>
      <c r="Z184" s="4"/>
      <c r="AA184" s="4"/>
      <c r="AB184" s="4"/>
      <c r="AC184" s="4"/>
    </row>
    <row r="185" spans="1:29" ht="12.75" x14ac:dyDescent="0.2">
      <c r="A185" s="16"/>
      <c r="B185" s="6"/>
      <c r="C185" s="17"/>
      <c r="D185" s="6"/>
      <c r="E185" s="4"/>
      <c r="F185" s="6"/>
      <c r="G185" s="6"/>
      <c r="H185" s="6"/>
      <c r="I185" s="6"/>
      <c r="J185" s="6"/>
      <c r="K185" s="6"/>
      <c r="L185" s="6"/>
      <c r="M185" s="6"/>
      <c r="N185" s="6"/>
      <c r="O185" s="16"/>
      <c r="P185" s="6"/>
      <c r="Q185" s="4"/>
      <c r="R185" s="4"/>
      <c r="S185" s="4"/>
      <c r="T185" s="4"/>
      <c r="U185" s="4"/>
      <c r="V185" s="4"/>
      <c r="W185" s="4"/>
      <c r="X185" s="4"/>
      <c r="Y185" s="4"/>
      <c r="Z185" s="4"/>
      <c r="AA185" s="4"/>
      <c r="AB185" s="4"/>
      <c r="AC185" s="4"/>
    </row>
    <row r="186" spans="1:29" ht="12.75" x14ac:dyDescent="0.2">
      <c r="A186" s="16"/>
      <c r="B186" s="6"/>
      <c r="C186" s="17"/>
      <c r="D186" s="6"/>
      <c r="E186" s="4"/>
      <c r="F186" s="6"/>
      <c r="G186" s="6"/>
      <c r="H186" s="6"/>
      <c r="I186" s="6"/>
      <c r="J186" s="6"/>
      <c r="K186" s="6"/>
      <c r="L186" s="6"/>
      <c r="M186" s="6"/>
      <c r="N186" s="6"/>
      <c r="O186" s="16"/>
      <c r="P186" s="6"/>
      <c r="Q186" s="4"/>
      <c r="R186" s="4"/>
      <c r="S186" s="4"/>
      <c r="T186" s="4"/>
      <c r="U186" s="4"/>
      <c r="V186" s="4"/>
      <c r="W186" s="4"/>
      <c r="X186" s="4"/>
      <c r="Y186" s="4"/>
      <c r="Z186" s="4"/>
      <c r="AA186" s="4"/>
      <c r="AB186" s="4"/>
      <c r="AC186" s="4"/>
    </row>
    <row r="187" spans="1:29" ht="12.75" x14ac:dyDescent="0.2">
      <c r="A187" s="16"/>
      <c r="B187" s="6"/>
      <c r="C187" s="17"/>
      <c r="D187" s="6"/>
      <c r="E187" s="4"/>
      <c r="F187" s="6"/>
      <c r="G187" s="6"/>
      <c r="H187" s="6"/>
      <c r="I187" s="6"/>
      <c r="J187" s="6"/>
      <c r="K187" s="6"/>
      <c r="L187" s="6"/>
      <c r="M187" s="6"/>
      <c r="N187" s="6"/>
      <c r="O187" s="16"/>
      <c r="P187" s="6"/>
      <c r="Q187" s="4"/>
      <c r="R187" s="4"/>
      <c r="S187" s="4"/>
      <c r="T187" s="4"/>
      <c r="U187" s="4"/>
      <c r="V187" s="4"/>
      <c r="W187" s="4"/>
      <c r="X187" s="4"/>
      <c r="Y187" s="4"/>
      <c r="Z187" s="4"/>
      <c r="AA187" s="4"/>
      <c r="AB187" s="4"/>
      <c r="AC187" s="4"/>
    </row>
    <row r="188" spans="1:29" ht="12.75" x14ac:dyDescent="0.2">
      <c r="A188" s="16"/>
      <c r="B188" s="6"/>
      <c r="C188" s="17"/>
      <c r="D188" s="6"/>
      <c r="E188" s="4"/>
      <c r="F188" s="6"/>
      <c r="G188" s="6"/>
      <c r="H188" s="6"/>
      <c r="I188" s="6"/>
      <c r="J188" s="6"/>
      <c r="K188" s="6"/>
      <c r="L188" s="6"/>
      <c r="M188" s="6"/>
      <c r="N188" s="6"/>
      <c r="O188" s="16"/>
      <c r="P188" s="6"/>
      <c r="Q188" s="4"/>
      <c r="R188" s="4"/>
      <c r="S188" s="4"/>
      <c r="T188" s="4"/>
      <c r="U188" s="4"/>
      <c r="V188" s="4"/>
      <c r="W188" s="4"/>
      <c r="X188" s="4"/>
      <c r="Y188" s="4"/>
      <c r="Z188" s="4"/>
      <c r="AA188" s="4"/>
      <c r="AB188" s="4"/>
      <c r="AC188" s="4"/>
    </row>
    <row r="189" spans="1:29" ht="12.75" x14ac:dyDescent="0.2">
      <c r="A189" s="16"/>
      <c r="B189" s="6"/>
      <c r="C189" s="17"/>
      <c r="D189" s="6"/>
      <c r="E189" s="4"/>
      <c r="F189" s="6"/>
      <c r="G189" s="6"/>
      <c r="H189" s="6"/>
      <c r="I189" s="6"/>
      <c r="J189" s="6"/>
      <c r="K189" s="6"/>
      <c r="L189" s="6"/>
      <c r="M189" s="6"/>
      <c r="N189" s="6"/>
      <c r="O189" s="16"/>
      <c r="P189" s="6"/>
      <c r="Q189" s="4"/>
      <c r="R189" s="4"/>
      <c r="S189" s="4"/>
      <c r="T189" s="4"/>
      <c r="U189" s="4"/>
      <c r="V189" s="4"/>
      <c r="W189" s="4"/>
      <c r="X189" s="4"/>
      <c r="Y189" s="4"/>
      <c r="Z189" s="4"/>
      <c r="AA189" s="4"/>
      <c r="AB189" s="4"/>
      <c r="AC189" s="4"/>
    </row>
    <row r="190" spans="1:29" ht="12.75" x14ac:dyDescent="0.2">
      <c r="A190" s="16"/>
      <c r="B190" s="6"/>
      <c r="C190" s="17"/>
      <c r="D190" s="6"/>
      <c r="E190" s="4"/>
      <c r="F190" s="6"/>
      <c r="G190" s="6"/>
      <c r="H190" s="6"/>
      <c r="I190" s="6"/>
      <c r="J190" s="6"/>
      <c r="K190" s="6"/>
      <c r="L190" s="6"/>
      <c r="M190" s="6"/>
      <c r="N190" s="6"/>
      <c r="O190" s="16"/>
      <c r="P190" s="6"/>
      <c r="Q190" s="4"/>
      <c r="R190" s="4"/>
      <c r="S190" s="4"/>
      <c r="T190" s="4"/>
      <c r="U190" s="4"/>
      <c r="V190" s="4"/>
      <c r="W190" s="4"/>
      <c r="X190" s="4"/>
      <c r="Y190" s="4"/>
      <c r="Z190" s="4"/>
      <c r="AA190" s="4"/>
      <c r="AB190" s="4"/>
      <c r="AC190" s="4"/>
    </row>
    <row r="191" spans="1:29" ht="12.75" x14ac:dyDescent="0.2">
      <c r="A191" s="16"/>
      <c r="B191" s="6"/>
      <c r="C191" s="17"/>
      <c r="D191" s="6"/>
      <c r="E191" s="4"/>
      <c r="F191" s="6"/>
      <c r="G191" s="6"/>
      <c r="H191" s="6"/>
      <c r="I191" s="6"/>
      <c r="J191" s="6"/>
      <c r="K191" s="6"/>
      <c r="L191" s="6"/>
      <c r="M191" s="6"/>
      <c r="N191" s="6"/>
      <c r="O191" s="16"/>
      <c r="P191" s="6"/>
      <c r="Q191" s="4"/>
      <c r="R191" s="4"/>
      <c r="S191" s="4"/>
      <c r="T191" s="4"/>
      <c r="U191" s="4"/>
      <c r="V191" s="4"/>
      <c r="W191" s="4"/>
      <c r="X191" s="4"/>
      <c r="Y191" s="4"/>
      <c r="Z191" s="4"/>
      <c r="AA191" s="4"/>
      <c r="AB191" s="4"/>
      <c r="AC191" s="4"/>
    </row>
    <row r="192" spans="1:29" ht="12.75" x14ac:dyDescent="0.2">
      <c r="A192" s="16"/>
      <c r="B192" s="6"/>
      <c r="C192" s="17"/>
      <c r="D192" s="6"/>
      <c r="E192" s="4"/>
      <c r="F192" s="6"/>
      <c r="G192" s="6"/>
      <c r="H192" s="6"/>
      <c r="I192" s="6"/>
      <c r="J192" s="6"/>
      <c r="K192" s="6"/>
      <c r="L192" s="6"/>
      <c r="M192" s="6"/>
      <c r="N192" s="6"/>
      <c r="O192" s="16"/>
      <c r="P192" s="6"/>
      <c r="Q192" s="4"/>
      <c r="R192" s="4"/>
      <c r="S192" s="4"/>
      <c r="T192" s="4"/>
      <c r="U192" s="4"/>
      <c r="V192" s="4"/>
      <c r="W192" s="4"/>
      <c r="X192" s="4"/>
      <c r="Y192" s="4"/>
      <c r="Z192" s="4"/>
      <c r="AA192" s="4"/>
      <c r="AB192" s="4"/>
      <c r="AC192" s="4"/>
    </row>
    <row r="193" spans="1:29" ht="12.75" x14ac:dyDescent="0.2">
      <c r="A193" s="16"/>
      <c r="B193" s="6"/>
      <c r="C193" s="17"/>
      <c r="D193" s="6"/>
      <c r="E193" s="4"/>
      <c r="F193" s="6"/>
      <c r="G193" s="6"/>
      <c r="H193" s="6"/>
      <c r="I193" s="6"/>
      <c r="J193" s="6"/>
      <c r="K193" s="6"/>
      <c r="L193" s="6"/>
      <c r="M193" s="6"/>
      <c r="N193" s="6"/>
      <c r="O193" s="16"/>
      <c r="P193" s="6"/>
      <c r="Q193" s="4"/>
      <c r="R193" s="4"/>
      <c r="S193" s="4"/>
      <c r="T193" s="4"/>
      <c r="U193" s="4"/>
      <c r="V193" s="4"/>
      <c r="W193" s="4"/>
      <c r="X193" s="4"/>
      <c r="Y193" s="4"/>
      <c r="Z193" s="4"/>
      <c r="AA193" s="4"/>
      <c r="AB193" s="4"/>
      <c r="AC193" s="4"/>
    </row>
    <row r="194" spans="1:29" ht="12.75" x14ac:dyDescent="0.2">
      <c r="A194" s="16"/>
      <c r="B194" s="6"/>
      <c r="C194" s="17"/>
      <c r="D194" s="6"/>
      <c r="E194" s="4"/>
      <c r="F194" s="6"/>
      <c r="G194" s="6"/>
      <c r="H194" s="6"/>
      <c r="I194" s="6"/>
      <c r="J194" s="6"/>
      <c r="K194" s="6"/>
      <c r="L194" s="6"/>
      <c r="M194" s="6"/>
      <c r="N194" s="6"/>
      <c r="O194" s="16"/>
      <c r="P194" s="6"/>
      <c r="Q194" s="4"/>
      <c r="R194" s="4"/>
      <c r="S194" s="4"/>
      <c r="T194" s="4"/>
      <c r="U194" s="4"/>
      <c r="V194" s="4"/>
      <c r="W194" s="4"/>
      <c r="X194" s="4"/>
      <c r="Y194" s="4"/>
      <c r="Z194" s="4"/>
      <c r="AA194" s="4"/>
      <c r="AB194" s="4"/>
      <c r="AC194" s="4"/>
    </row>
    <row r="195" spans="1:29" ht="12.75" x14ac:dyDescent="0.2">
      <c r="A195" s="16"/>
      <c r="B195" s="6"/>
      <c r="C195" s="17"/>
      <c r="D195" s="6"/>
      <c r="E195" s="4"/>
      <c r="F195" s="6"/>
      <c r="G195" s="6"/>
      <c r="H195" s="6"/>
      <c r="I195" s="6"/>
      <c r="J195" s="6"/>
      <c r="K195" s="6"/>
      <c r="L195" s="6"/>
      <c r="M195" s="6"/>
      <c r="N195" s="6"/>
      <c r="O195" s="16"/>
      <c r="P195" s="6"/>
      <c r="Q195" s="4"/>
      <c r="R195" s="4"/>
      <c r="S195" s="4"/>
      <c r="T195" s="4"/>
      <c r="U195" s="4"/>
      <c r="V195" s="4"/>
      <c r="W195" s="4"/>
      <c r="X195" s="4"/>
      <c r="Y195" s="4"/>
      <c r="Z195" s="4"/>
      <c r="AA195" s="4"/>
      <c r="AB195" s="4"/>
      <c r="AC195" s="4"/>
    </row>
    <row r="196" spans="1:29" ht="12.75" x14ac:dyDescent="0.2">
      <c r="A196" s="16"/>
      <c r="B196" s="6"/>
      <c r="C196" s="17"/>
      <c r="D196" s="6"/>
      <c r="E196" s="4"/>
      <c r="F196" s="6"/>
      <c r="G196" s="6"/>
      <c r="H196" s="6"/>
      <c r="I196" s="6"/>
      <c r="J196" s="6"/>
      <c r="K196" s="6"/>
      <c r="L196" s="6"/>
      <c r="M196" s="6"/>
      <c r="N196" s="6"/>
      <c r="O196" s="16"/>
      <c r="P196" s="6"/>
      <c r="Q196" s="4"/>
      <c r="R196" s="4"/>
      <c r="S196" s="4"/>
      <c r="T196" s="4"/>
      <c r="U196" s="4"/>
      <c r="V196" s="4"/>
      <c r="W196" s="4"/>
      <c r="X196" s="4"/>
      <c r="Y196" s="4"/>
      <c r="Z196" s="4"/>
      <c r="AA196" s="4"/>
      <c r="AB196" s="4"/>
      <c r="AC196" s="4"/>
    </row>
    <row r="197" spans="1:29" ht="12.75" x14ac:dyDescent="0.2">
      <c r="A197" s="16"/>
      <c r="B197" s="6"/>
      <c r="C197" s="17"/>
      <c r="D197" s="6"/>
      <c r="E197" s="4"/>
      <c r="F197" s="6"/>
      <c r="G197" s="6"/>
      <c r="H197" s="6"/>
      <c r="I197" s="6"/>
      <c r="J197" s="6"/>
      <c r="K197" s="6"/>
      <c r="L197" s="6"/>
      <c r="M197" s="6"/>
      <c r="N197" s="6"/>
      <c r="O197" s="16"/>
      <c r="P197" s="6"/>
      <c r="Q197" s="4"/>
      <c r="R197" s="4"/>
      <c r="S197" s="4"/>
      <c r="T197" s="4"/>
      <c r="U197" s="4"/>
      <c r="V197" s="4"/>
      <c r="W197" s="4"/>
      <c r="X197" s="4"/>
      <c r="Y197" s="4"/>
      <c r="Z197" s="4"/>
      <c r="AA197" s="4"/>
      <c r="AB197" s="4"/>
      <c r="AC197" s="4"/>
    </row>
    <row r="198" spans="1:29" ht="12.75" x14ac:dyDescent="0.2">
      <c r="A198" s="16"/>
      <c r="B198" s="6"/>
      <c r="C198" s="17"/>
      <c r="D198" s="6"/>
      <c r="E198" s="4"/>
      <c r="F198" s="6"/>
      <c r="G198" s="6"/>
      <c r="H198" s="6"/>
      <c r="I198" s="6"/>
      <c r="J198" s="6"/>
      <c r="K198" s="6"/>
      <c r="L198" s="6"/>
      <c r="M198" s="6"/>
      <c r="N198" s="6"/>
      <c r="O198" s="16"/>
      <c r="P198" s="6"/>
      <c r="Q198" s="4"/>
      <c r="R198" s="4"/>
      <c r="S198" s="4"/>
      <c r="T198" s="4"/>
      <c r="U198" s="4"/>
      <c r="V198" s="4"/>
      <c r="W198" s="4"/>
      <c r="X198" s="4"/>
      <c r="Y198" s="4"/>
      <c r="Z198" s="4"/>
      <c r="AA198" s="4"/>
      <c r="AB198" s="4"/>
      <c r="AC198" s="4"/>
    </row>
    <row r="199" spans="1:29" ht="12.75" x14ac:dyDescent="0.2">
      <c r="A199" s="16"/>
      <c r="B199" s="6"/>
      <c r="C199" s="17"/>
      <c r="D199" s="6"/>
      <c r="E199" s="4"/>
      <c r="F199" s="6"/>
      <c r="G199" s="6"/>
      <c r="H199" s="6"/>
      <c r="I199" s="6"/>
      <c r="J199" s="6"/>
      <c r="K199" s="6"/>
      <c r="L199" s="6"/>
      <c r="M199" s="6"/>
      <c r="N199" s="6"/>
      <c r="O199" s="16"/>
      <c r="P199" s="6"/>
      <c r="Q199" s="4"/>
      <c r="R199" s="4"/>
      <c r="S199" s="4"/>
      <c r="T199" s="4"/>
      <c r="U199" s="4"/>
      <c r="V199" s="4"/>
      <c r="W199" s="4"/>
      <c r="X199" s="4"/>
      <c r="Y199" s="4"/>
      <c r="Z199" s="4"/>
      <c r="AA199" s="4"/>
      <c r="AB199" s="4"/>
      <c r="AC199" s="4"/>
    </row>
    <row r="200" spans="1:29" ht="12.75" x14ac:dyDescent="0.2">
      <c r="A200" s="16"/>
      <c r="B200" s="6"/>
      <c r="C200" s="17"/>
      <c r="D200" s="6"/>
      <c r="E200" s="4"/>
      <c r="F200" s="6"/>
      <c r="G200" s="6"/>
      <c r="H200" s="6"/>
      <c r="I200" s="6"/>
      <c r="J200" s="6"/>
      <c r="K200" s="6"/>
      <c r="L200" s="6"/>
      <c r="M200" s="6"/>
      <c r="N200" s="6"/>
      <c r="O200" s="16"/>
      <c r="P200" s="6"/>
      <c r="Q200" s="4"/>
      <c r="R200" s="4"/>
      <c r="S200" s="4"/>
      <c r="T200" s="4"/>
      <c r="U200" s="4"/>
      <c r="V200" s="4"/>
      <c r="W200" s="4"/>
      <c r="X200" s="4"/>
      <c r="Y200" s="4"/>
      <c r="Z200" s="4"/>
      <c r="AA200" s="4"/>
      <c r="AB200" s="4"/>
      <c r="AC200" s="4"/>
    </row>
    <row r="201" spans="1:29" ht="12.75" x14ac:dyDescent="0.2">
      <c r="A201" s="16"/>
      <c r="B201" s="6"/>
      <c r="C201" s="17"/>
      <c r="D201" s="6"/>
      <c r="E201" s="4"/>
      <c r="F201" s="6"/>
      <c r="G201" s="6"/>
      <c r="H201" s="6"/>
      <c r="I201" s="6"/>
      <c r="J201" s="6"/>
      <c r="K201" s="6"/>
      <c r="L201" s="6"/>
      <c r="M201" s="6"/>
      <c r="N201" s="6"/>
      <c r="O201" s="16"/>
      <c r="P201" s="6"/>
      <c r="Q201" s="4"/>
      <c r="R201" s="4"/>
      <c r="S201" s="4"/>
      <c r="T201" s="4"/>
      <c r="U201" s="4"/>
      <c r="V201" s="4"/>
      <c r="W201" s="4"/>
      <c r="X201" s="4"/>
      <c r="Y201" s="4"/>
      <c r="Z201" s="4"/>
      <c r="AA201" s="4"/>
      <c r="AB201" s="4"/>
      <c r="AC201" s="4"/>
    </row>
    <row r="202" spans="1:29" ht="12.75" x14ac:dyDescent="0.2">
      <c r="A202" s="16"/>
      <c r="B202" s="6"/>
      <c r="C202" s="17"/>
      <c r="D202" s="6"/>
      <c r="E202" s="4"/>
      <c r="F202" s="6"/>
      <c r="G202" s="6"/>
      <c r="H202" s="6"/>
      <c r="I202" s="6"/>
      <c r="J202" s="6"/>
      <c r="K202" s="6"/>
      <c r="L202" s="6"/>
      <c r="M202" s="6"/>
      <c r="N202" s="6"/>
      <c r="O202" s="16"/>
      <c r="P202" s="6"/>
      <c r="Q202" s="4"/>
      <c r="R202" s="4"/>
      <c r="S202" s="4"/>
      <c r="T202" s="4"/>
      <c r="U202" s="4"/>
      <c r="V202" s="4"/>
      <c r="W202" s="4"/>
      <c r="X202" s="4"/>
      <c r="Y202" s="4"/>
      <c r="Z202" s="4"/>
      <c r="AA202" s="4"/>
      <c r="AB202" s="4"/>
      <c r="AC202" s="4"/>
    </row>
    <row r="203" spans="1:29" ht="12.75" x14ac:dyDescent="0.2">
      <c r="A203" s="16"/>
      <c r="B203" s="6"/>
      <c r="C203" s="17"/>
      <c r="D203" s="6"/>
      <c r="E203" s="4"/>
      <c r="F203" s="6"/>
      <c r="G203" s="6"/>
      <c r="H203" s="6"/>
      <c r="I203" s="6"/>
      <c r="J203" s="6"/>
      <c r="K203" s="6"/>
      <c r="L203" s="6"/>
      <c r="M203" s="6"/>
      <c r="N203" s="6"/>
      <c r="O203" s="16"/>
      <c r="P203" s="6"/>
      <c r="Q203" s="4"/>
      <c r="R203" s="4"/>
      <c r="S203" s="4"/>
      <c r="T203" s="4"/>
      <c r="U203" s="4"/>
      <c r="V203" s="4"/>
      <c r="W203" s="4"/>
      <c r="X203" s="4"/>
      <c r="Y203" s="4"/>
      <c r="Z203" s="4"/>
      <c r="AA203" s="4"/>
      <c r="AB203" s="4"/>
      <c r="AC203" s="4"/>
    </row>
    <row r="204" spans="1:29" ht="12.75" x14ac:dyDescent="0.2">
      <c r="A204" s="16"/>
      <c r="B204" s="6"/>
      <c r="C204" s="17"/>
      <c r="D204" s="6"/>
      <c r="E204" s="4"/>
      <c r="F204" s="6"/>
      <c r="G204" s="6"/>
      <c r="H204" s="6"/>
      <c r="I204" s="6"/>
      <c r="J204" s="6"/>
      <c r="K204" s="6"/>
      <c r="L204" s="6"/>
      <c r="M204" s="6"/>
      <c r="N204" s="6"/>
      <c r="O204" s="16"/>
      <c r="P204" s="6"/>
      <c r="Q204" s="4"/>
      <c r="R204" s="4"/>
      <c r="S204" s="4"/>
      <c r="T204" s="4"/>
      <c r="U204" s="4"/>
      <c r="V204" s="4"/>
      <c r="W204" s="4"/>
      <c r="X204" s="4"/>
      <c r="Y204" s="4"/>
      <c r="Z204" s="4"/>
      <c r="AA204" s="4"/>
      <c r="AB204" s="4"/>
      <c r="AC204" s="4"/>
    </row>
    <row r="205" spans="1:29" ht="12.75" x14ac:dyDescent="0.2">
      <c r="A205" s="16"/>
      <c r="B205" s="6"/>
      <c r="C205" s="17"/>
      <c r="D205" s="6"/>
      <c r="E205" s="4"/>
      <c r="F205" s="6"/>
      <c r="G205" s="6"/>
      <c r="H205" s="6"/>
      <c r="I205" s="6"/>
      <c r="J205" s="6"/>
      <c r="K205" s="6"/>
      <c r="L205" s="6"/>
      <c r="M205" s="6"/>
      <c r="N205" s="6"/>
      <c r="O205" s="16"/>
      <c r="P205" s="6"/>
      <c r="Q205" s="4"/>
      <c r="R205" s="4"/>
      <c r="S205" s="4"/>
      <c r="T205" s="4"/>
      <c r="U205" s="4"/>
      <c r="V205" s="4"/>
      <c r="W205" s="4"/>
      <c r="X205" s="4"/>
      <c r="Y205" s="4"/>
      <c r="Z205" s="4"/>
      <c r="AA205" s="4"/>
      <c r="AB205" s="4"/>
      <c r="AC205" s="4"/>
    </row>
    <row r="206" spans="1:29" ht="12.75" x14ac:dyDescent="0.2">
      <c r="A206" s="16"/>
      <c r="B206" s="6"/>
      <c r="C206" s="17"/>
      <c r="D206" s="6"/>
      <c r="E206" s="4"/>
      <c r="F206" s="6"/>
      <c r="G206" s="6"/>
      <c r="H206" s="6"/>
      <c r="I206" s="6"/>
      <c r="J206" s="6"/>
      <c r="K206" s="6"/>
      <c r="L206" s="6"/>
      <c r="M206" s="6"/>
      <c r="N206" s="6"/>
      <c r="O206" s="16"/>
      <c r="P206" s="6"/>
      <c r="Q206" s="4"/>
      <c r="R206" s="4"/>
      <c r="S206" s="4"/>
      <c r="T206" s="4"/>
      <c r="U206" s="4"/>
      <c r="V206" s="4"/>
      <c r="W206" s="4"/>
      <c r="X206" s="4"/>
      <c r="Y206" s="4"/>
      <c r="Z206" s="4"/>
      <c r="AA206" s="4"/>
      <c r="AB206" s="4"/>
      <c r="AC206" s="4"/>
    </row>
    <row r="207" spans="1:29" ht="12.75" x14ac:dyDescent="0.2">
      <c r="A207" s="16"/>
      <c r="B207" s="6"/>
      <c r="C207" s="17"/>
      <c r="D207" s="6"/>
      <c r="E207" s="4"/>
      <c r="F207" s="6"/>
      <c r="G207" s="6"/>
      <c r="H207" s="6"/>
      <c r="I207" s="6"/>
      <c r="J207" s="6"/>
      <c r="K207" s="6"/>
      <c r="L207" s="6"/>
      <c r="M207" s="6"/>
      <c r="N207" s="6"/>
      <c r="O207" s="16"/>
      <c r="P207" s="6"/>
      <c r="Q207" s="4"/>
      <c r="R207" s="4"/>
      <c r="S207" s="4"/>
      <c r="T207" s="4"/>
      <c r="U207" s="4"/>
      <c r="V207" s="4"/>
      <c r="W207" s="4"/>
      <c r="X207" s="4"/>
      <c r="Y207" s="4"/>
      <c r="Z207" s="4"/>
      <c r="AA207" s="4"/>
      <c r="AB207" s="4"/>
      <c r="AC207" s="4"/>
    </row>
    <row r="208" spans="1:29" ht="12.75" x14ac:dyDescent="0.2">
      <c r="A208" s="16"/>
      <c r="B208" s="6"/>
      <c r="C208" s="17"/>
      <c r="D208" s="6"/>
      <c r="E208" s="4"/>
      <c r="F208" s="6"/>
      <c r="G208" s="6"/>
      <c r="H208" s="6"/>
      <c r="I208" s="6"/>
      <c r="J208" s="6"/>
      <c r="K208" s="6"/>
      <c r="L208" s="6"/>
      <c r="M208" s="6"/>
      <c r="N208" s="6"/>
      <c r="O208" s="16"/>
      <c r="P208" s="6"/>
      <c r="Q208" s="4"/>
      <c r="R208" s="4"/>
      <c r="S208" s="4"/>
      <c r="T208" s="4"/>
      <c r="U208" s="4"/>
      <c r="V208" s="4"/>
      <c r="W208" s="4"/>
      <c r="X208" s="4"/>
      <c r="Y208" s="4"/>
      <c r="Z208" s="4"/>
      <c r="AA208" s="4"/>
      <c r="AB208" s="4"/>
      <c r="AC208" s="4"/>
    </row>
    <row r="209" spans="1:29" ht="12.75" x14ac:dyDescent="0.2">
      <c r="A209" s="16"/>
      <c r="B209" s="6"/>
      <c r="C209" s="17"/>
      <c r="D209" s="6"/>
      <c r="E209" s="4"/>
      <c r="F209" s="6"/>
      <c r="G209" s="6"/>
      <c r="H209" s="6"/>
      <c r="I209" s="6"/>
      <c r="J209" s="6"/>
      <c r="K209" s="6"/>
      <c r="L209" s="6"/>
      <c r="M209" s="6"/>
      <c r="N209" s="6"/>
      <c r="O209" s="16"/>
      <c r="P209" s="6"/>
      <c r="Q209" s="4"/>
      <c r="R209" s="4"/>
      <c r="S209" s="4"/>
      <c r="T209" s="4"/>
      <c r="U209" s="4"/>
      <c r="V209" s="4"/>
      <c r="W209" s="4"/>
      <c r="X209" s="4"/>
      <c r="Y209" s="4"/>
      <c r="Z209" s="4"/>
      <c r="AA209" s="4"/>
      <c r="AB209" s="4"/>
      <c r="AC209" s="4"/>
    </row>
    <row r="210" spans="1:29" ht="12.75" x14ac:dyDescent="0.2">
      <c r="A210" s="16"/>
      <c r="B210" s="6"/>
      <c r="C210" s="17"/>
      <c r="D210" s="6"/>
      <c r="E210" s="4"/>
      <c r="F210" s="6"/>
      <c r="G210" s="6"/>
      <c r="H210" s="6"/>
      <c r="I210" s="6"/>
      <c r="J210" s="6"/>
      <c r="K210" s="6"/>
      <c r="L210" s="6"/>
      <c r="M210" s="6"/>
      <c r="N210" s="6"/>
      <c r="O210" s="16"/>
      <c r="P210" s="6"/>
      <c r="Q210" s="4"/>
      <c r="R210" s="4"/>
      <c r="S210" s="4"/>
      <c r="T210" s="4"/>
      <c r="U210" s="4"/>
      <c r="V210" s="4"/>
      <c r="W210" s="4"/>
      <c r="X210" s="4"/>
      <c r="Y210" s="4"/>
      <c r="Z210" s="4"/>
      <c r="AA210" s="4"/>
      <c r="AB210" s="4"/>
      <c r="AC210" s="4"/>
    </row>
    <row r="211" spans="1:29" ht="12.75" x14ac:dyDescent="0.2">
      <c r="A211" s="16"/>
      <c r="B211" s="6"/>
      <c r="C211" s="17"/>
      <c r="D211" s="6"/>
      <c r="E211" s="4"/>
      <c r="F211" s="6"/>
      <c r="G211" s="6"/>
      <c r="H211" s="6"/>
      <c r="I211" s="6"/>
      <c r="J211" s="6"/>
      <c r="K211" s="6"/>
      <c r="L211" s="6"/>
      <c r="M211" s="6"/>
      <c r="N211" s="6"/>
      <c r="O211" s="16"/>
      <c r="P211" s="6"/>
      <c r="Q211" s="4"/>
      <c r="R211" s="4"/>
      <c r="S211" s="4"/>
      <c r="T211" s="4"/>
      <c r="U211" s="4"/>
      <c r="V211" s="4"/>
      <c r="W211" s="4"/>
      <c r="X211" s="4"/>
      <c r="Y211" s="4"/>
      <c r="Z211" s="4"/>
      <c r="AA211" s="4"/>
      <c r="AB211" s="4"/>
      <c r="AC211" s="4"/>
    </row>
    <row r="212" spans="1:29" ht="12.75" x14ac:dyDescent="0.2">
      <c r="A212" s="16"/>
      <c r="B212" s="6"/>
      <c r="C212" s="17"/>
      <c r="D212" s="6"/>
      <c r="E212" s="4"/>
      <c r="F212" s="6"/>
      <c r="G212" s="6"/>
      <c r="H212" s="6"/>
      <c r="I212" s="6"/>
      <c r="J212" s="6"/>
      <c r="K212" s="6"/>
      <c r="L212" s="6"/>
      <c r="M212" s="6"/>
      <c r="N212" s="6"/>
      <c r="O212" s="16"/>
      <c r="P212" s="6"/>
      <c r="Q212" s="4"/>
      <c r="R212" s="4"/>
      <c r="S212" s="4"/>
      <c r="T212" s="4"/>
      <c r="U212" s="4"/>
      <c r="V212" s="4"/>
      <c r="W212" s="4"/>
      <c r="X212" s="4"/>
      <c r="Y212" s="4"/>
      <c r="Z212" s="4"/>
      <c r="AA212" s="4"/>
      <c r="AB212" s="4"/>
      <c r="AC212" s="4"/>
    </row>
    <row r="213" spans="1:29" ht="12.75" x14ac:dyDescent="0.2">
      <c r="A213" s="16"/>
      <c r="B213" s="6"/>
      <c r="C213" s="17"/>
      <c r="D213" s="6"/>
      <c r="E213" s="4"/>
      <c r="F213" s="6"/>
      <c r="G213" s="6"/>
      <c r="H213" s="6"/>
      <c r="I213" s="6"/>
      <c r="J213" s="6"/>
      <c r="K213" s="6"/>
      <c r="L213" s="6"/>
      <c r="M213" s="6"/>
      <c r="N213" s="6"/>
      <c r="O213" s="16"/>
      <c r="P213" s="6"/>
      <c r="Q213" s="4"/>
      <c r="R213" s="4"/>
      <c r="S213" s="4"/>
      <c r="T213" s="4"/>
      <c r="U213" s="4"/>
      <c r="V213" s="4"/>
      <c r="W213" s="4"/>
      <c r="X213" s="4"/>
      <c r="Y213" s="4"/>
      <c r="Z213" s="4"/>
      <c r="AA213" s="4"/>
      <c r="AB213" s="4"/>
      <c r="AC213" s="4"/>
    </row>
    <row r="214" spans="1:29" ht="12.75" x14ac:dyDescent="0.2">
      <c r="A214" s="16"/>
      <c r="B214" s="6"/>
      <c r="C214" s="17"/>
      <c r="D214" s="6"/>
      <c r="E214" s="4"/>
      <c r="F214" s="6"/>
      <c r="G214" s="6"/>
      <c r="H214" s="6"/>
      <c r="I214" s="6"/>
      <c r="J214" s="6"/>
      <c r="K214" s="6"/>
      <c r="L214" s="6"/>
      <c r="M214" s="6"/>
      <c r="N214" s="6"/>
      <c r="O214" s="16"/>
      <c r="P214" s="6"/>
      <c r="Q214" s="4"/>
      <c r="R214" s="4"/>
      <c r="S214" s="4"/>
      <c r="T214" s="4"/>
      <c r="U214" s="4"/>
      <c r="V214" s="4"/>
      <c r="W214" s="4"/>
      <c r="X214" s="4"/>
      <c r="Y214" s="4"/>
      <c r="Z214" s="4"/>
      <c r="AA214" s="4"/>
      <c r="AB214" s="4"/>
      <c r="AC214" s="4"/>
    </row>
    <row r="215" spans="1:29" ht="12.75" x14ac:dyDescent="0.2">
      <c r="A215" s="16"/>
      <c r="B215" s="6"/>
      <c r="C215" s="17"/>
      <c r="D215" s="6"/>
      <c r="E215" s="4"/>
      <c r="F215" s="6"/>
      <c r="G215" s="6"/>
      <c r="H215" s="6"/>
      <c r="I215" s="6"/>
      <c r="J215" s="6"/>
      <c r="K215" s="6"/>
      <c r="L215" s="6"/>
      <c r="M215" s="6"/>
      <c r="N215" s="6"/>
      <c r="O215" s="16"/>
      <c r="P215" s="6"/>
      <c r="Q215" s="4"/>
      <c r="R215" s="4"/>
      <c r="S215" s="4"/>
      <c r="T215" s="4"/>
      <c r="U215" s="4"/>
      <c r="V215" s="4"/>
      <c r="W215" s="4"/>
      <c r="X215" s="4"/>
      <c r="Y215" s="4"/>
      <c r="Z215" s="4"/>
      <c r="AA215" s="4"/>
      <c r="AB215" s="4"/>
      <c r="AC215" s="4"/>
    </row>
    <row r="216" spans="1:29" ht="12.75" x14ac:dyDescent="0.2">
      <c r="A216" s="16"/>
      <c r="B216" s="6"/>
      <c r="C216" s="17"/>
      <c r="D216" s="6"/>
      <c r="E216" s="4"/>
      <c r="F216" s="6"/>
      <c r="G216" s="6"/>
      <c r="H216" s="6"/>
      <c r="I216" s="6"/>
      <c r="J216" s="6"/>
      <c r="K216" s="6"/>
      <c r="L216" s="6"/>
      <c r="M216" s="6"/>
      <c r="N216" s="6"/>
      <c r="O216" s="16"/>
      <c r="P216" s="6"/>
      <c r="Q216" s="4"/>
      <c r="R216" s="4"/>
      <c r="S216" s="4"/>
      <c r="T216" s="4"/>
      <c r="U216" s="4"/>
      <c r="V216" s="4"/>
      <c r="W216" s="4"/>
      <c r="X216" s="4"/>
      <c r="Y216" s="4"/>
      <c r="Z216" s="4"/>
      <c r="AA216" s="4"/>
      <c r="AB216" s="4"/>
      <c r="AC216" s="4"/>
    </row>
    <row r="217" spans="1:29" ht="12.75" x14ac:dyDescent="0.2">
      <c r="A217" s="16"/>
      <c r="B217" s="6"/>
      <c r="C217" s="17"/>
      <c r="D217" s="6"/>
      <c r="E217" s="4"/>
      <c r="F217" s="6"/>
      <c r="G217" s="6"/>
      <c r="H217" s="6"/>
      <c r="I217" s="6"/>
      <c r="J217" s="6"/>
      <c r="K217" s="6"/>
      <c r="L217" s="6"/>
      <c r="M217" s="6"/>
      <c r="N217" s="6"/>
      <c r="O217" s="16"/>
      <c r="P217" s="6"/>
      <c r="Q217" s="4"/>
      <c r="R217" s="4"/>
      <c r="S217" s="4"/>
      <c r="T217" s="4"/>
      <c r="U217" s="4"/>
      <c r="V217" s="4"/>
      <c r="W217" s="4"/>
      <c r="X217" s="4"/>
      <c r="Y217" s="4"/>
      <c r="Z217" s="4"/>
      <c r="AA217" s="4"/>
      <c r="AB217" s="4"/>
      <c r="AC217" s="4"/>
    </row>
    <row r="218" spans="1:29" ht="12.75" x14ac:dyDescent="0.2">
      <c r="A218" s="16"/>
      <c r="B218" s="6"/>
      <c r="C218" s="17"/>
      <c r="D218" s="6"/>
      <c r="E218" s="4"/>
      <c r="F218" s="6"/>
      <c r="G218" s="6"/>
      <c r="H218" s="6"/>
      <c r="I218" s="6"/>
      <c r="J218" s="6"/>
      <c r="K218" s="6"/>
      <c r="L218" s="6"/>
      <c r="M218" s="6"/>
      <c r="N218" s="6"/>
      <c r="O218" s="16"/>
      <c r="P218" s="6"/>
      <c r="Q218" s="4"/>
      <c r="R218" s="4"/>
      <c r="S218" s="4"/>
      <c r="T218" s="4"/>
      <c r="U218" s="4"/>
      <c r="V218" s="4"/>
      <c r="W218" s="4"/>
      <c r="X218" s="4"/>
      <c r="Y218" s="4"/>
      <c r="Z218" s="4"/>
      <c r="AA218" s="4"/>
      <c r="AB218" s="4"/>
      <c r="AC218" s="4"/>
    </row>
    <row r="219" spans="1:29" ht="12.75" x14ac:dyDescent="0.2">
      <c r="A219" s="16"/>
      <c r="B219" s="6"/>
      <c r="C219" s="17"/>
      <c r="D219" s="6"/>
      <c r="E219" s="4"/>
      <c r="F219" s="6"/>
      <c r="G219" s="6"/>
      <c r="H219" s="6"/>
      <c r="I219" s="6"/>
      <c r="J219" s="6"/>
      <c r="K219" s="6"/>
      <c r="L219" s="6"/>
      <c r="M219" s="6"/>
      <c r="N219" s="6"/>
      <c r="O219" s="16"/>
      <c r="P219" s="6"/>
      <c r="Q219" s="4"/>
      <c r="R219" s="4"/>
      <c r="S219" s="4"/>
      <c r="T219" s="4"/>
      <c r="U219" s="4"/>
      <c r="V219" s="4"/>
      <c r="W219" s="4"/>
      <c r="X219" s="4"/>
      <c r="Y219" s="4"/>
      <c r="Z219" s="4"/>
      <c r="AA219" s="4"/>
      <c r="AB219" s="4"/>
      <c r="AC219" s="4"/>
    </row>
    <row r="220" spans="1:29" ht="12.75" x14ac:dyDescent="0.2">
      <c r="A220" s="16"/>
      <c r="B220" s="6"/>
      <c r="C220" s="17"/>
      <c r="D220" s="6"/>
      <c r="E220" s="4"/>
      <c r="F220" s="6"/>
      <c r="G220" s="6"/>
      <c r="H220" s="6"/>
      <c r="I220" s="6"/>
      <c r="J220" s="6"/>
      <c r="K220" s="6"/>
      <c r="L220" s="6"/>
      <c r="M220" s="6"/>
      <c r="N220" s="6"/>
      <c r="O220" s="16"/>
      <c r="P220" s="6"/>
      <c r="Q220" s="4"/>
      <c r="R220" s="4"/>
      <c r="S220" s="4"/>
      <c r="T220" s="4"/>
      <c r="U220" s="4"/>
      <c r="V220" s="4"/>
      <c r="W220" s="4"/>
      <c r="X220" s="4"/>
      <c r="Y220" s="4"/>
      <c r="Z220" s="4"/>
      <c r="AA220" s="4"/>
      <c r="AB220" s="4"/>
      <c r="AC220" s="4"/>
    </row>
    <row r="221" spans="1:29" ht="12.75" x14ac:dyDescent="0.2">
      <c r="A221" s="16"/>
      <c r="B221" s="6"/>
      <c r="C221" s="17"/>
      <c r="D221" s="6"/>
      <c r="E221" s="4"/>
      <c r="F221" s="6"/>
      <c r="G221" s="6"/>
      <c r="H221" s="6"/>
      <c r="I221" s="6"/>
      <c r="J221" s="6"/>
      <c r="K221" s="6"/>
      <c r="L221" s="6"/>
      <c r="M221" s="6"/>
      <c r="N221" s="6"/>
      <c r="O221" s="16"/>
      <c r="P221" s="6"/>
      <c r="Q221" s="4"/>
      <c r="R221" s="4"/>
      <c r="S221" s="4"/>
      <c r="T221" s="4"/>
      <c r="U221" s="4"/>
      <c r="V221" s="4"/>
      <c r="W221" s="4"/>
      <c r="X221" s="4"/>
      <c r="Y221" s="4"/>
      <c r="Z221" s="4"/>
      <c r="AA221" s="4"/>
      <c r="AB221" s="4"/>
      <c r="AC221" s="4"/>
    </row>
    <row r="222" spans="1:29" ht="12.75" x14ac:dyDescent="0.2">
      <c r="A222" s="16"/>
      <c r="B222" s="6"/>
      <c r="C222" s="17"/>
      <c r="D222" s="6"/>
      <c r="E222" s="4"/>
      <c r="F222" s="6"/>
      <c r="G222" s="6"/>
      <c r="H222" s="6"/>
      <c r="I222" s="6"/>
      <c r="J222" s="6"/>
      <c r="K222" s="6"/>
      <c r="L222" s="6"/>
      <c r="M222" s="6"/>
      <c r="N222" s="6"/>
      <c r="O222" s="16"/>
      <c r="P222" s="6"/>
      <c r="Q222" s="4"/>
      <c r="R222" s="4"/>
      <c r="S222" s="4"/>
      <c r="T222" s="4"/>
      <c r="U222" s="4"/>
      <c r="V222" s="4"/>
      <c r="W222" s="4"/>
      <c r="X222" s="4"/>
      <c r="Y222" s="4"/>
      <c r="Z222" s="4"/>
      <c r="AA222" s="4"/>
      <c r="AB222" s="4"/>
      <c r="AC222" s="4"/>
    </row>
    <row r="223" spans="1:29" ht="12.75" x14ac:dyDescent="0.2">
      <c r="A223" s="16"/>
      <c r="B223" s="6"/>
      <c r="C223" s="17"/>
      <c r="D223" s="6"/>
      <c r="E223" s="4"/>
      <c r="F223" s="6"/>
      <c r="G223" s="6"/>
      <c r="H223" s="6"/>
      <c r="I223" s="6"/>
      <c r="J223" s="6"/>
      <c r="K223" s="6"/>
      <c r="L223" s="6"/>
      <c r="M223" s="6"/>
      <c r="N223" s="6"/>
      <c r="O223" s="16"/>
      <c r="P223" s="6"/>
      <c r="Q223" s="4"/>
      <c r="R223" s="4"/>
      <c r="S223" s="4"/>
      <c r="T223" s="4"/>
      <c r="U223" s="4"/>
      <c r="V223" s="4"/>
      <c r="W223" s="4"/>
      <c r="X223" s="4"/>
      <c r="Y223" s="4"/>
      <c r="Z223" s="4"/>
      <c r="AA223" s="4"/>
      <c r="AB223" s="4"/>
      <c r="AC223" s="4"/>
    </row>
    <row r="224" spans="1:29" ht="12.75" x14ac:dyDescent="0.2">
      <c r="A224" s="16"/>
      <c r="B224" s="6"/>
      <c r="C224" s="17"/>
      <c r="D224" s="6"/>
      <c r="E224" s="4"/>
      <c r="F224" s="6"/>
      <c r="G224" s="6"/>
      <c r="H224" s="6"/>
      <c r="I224" s="6"/>
      <c r="J224" s="6"/>
      <c r="K224" s="6"/>
      <c r="L224" s="6"/>
      <c r="M224" s="6"/>
      <c r="N224" s="6"/>
      <c r="O224" s="16"/>
      <c r="P224" s="6"/>
      <c r="Q224" s="4"/>
      <c r="R224" s="4"/>
      <c r="S224" s="4"/>
      <c r="T224" s="4"/>
      <c r="U224" s="4"/>
      <c r="V224" s="4"/>
      <c r="W224" s="4"/>
      <c r="X224" s="4"/>
      <c r="Y224" s="4"/>
      <c r="Z224" s="4"/>
      <c r="AA224" s="4"/>
      <c r="AB224" s="4"/>
      <c r="AC224" s="4"/>
    </row>
    <row r="225" spans="1:29" ht="12.75" x14ac:dyDescent="0.2">
      <c r="A225" s="16"/>
      <c r="B225" s="6"/>
      <c r="C225" s="17"/>
      <c r="D225" s="6"/>
      <c r="E225" s="4"/>
      <c r="F225" s="6"/>
      <c r="G225" s="6"/>
      <c r="H225" s="6"/>
      <c r="I225" s="6"/>
      <c r="J225" s="6"/>
      <c r="K225" s="6"/>
      <c r="L225" s="6"/>
      <c r="M225" s="6"/>
      <c r="N225" s="6"/>
      <c r="O225" s="16"/>
      <c r="P225" s="6"/>
      <c r="Q225" s="4"/>
      <c r="R225" s="4"/>
      <c r="S225" s="4"/>
      <c r="T225" s="4"/>
      <c r="U225" s="4"/>
      <c r="V225" s="4"/>
      <c r="W225" s="4"/>
      <c r="X225" s="4"/>
      <c r="Y225" s="4"/>
      <c r="Z225" s="4"/>
      <c r="AA225" s="4"/>
      <c r="AB225" s="4"/>
      <c r="AC225" s="4"/>
    </row>
    <row r="226" spans="1:29" ht="12.75" x14ac:dyDescent="0.2">
      <c r="A226" s="16"/>
      <c r="B226" s="6"/>
      <c r="C226" s="17"/>
      <c r="D226" s="6"/>
      <c r="E226" s="4"/>
      <c r="F226" s="6"/>
      <c r="G226" s="6"/>
      <c r="H226" s="6"/>
      <c r="I226" s="6"/>
      <c r="J226" s="6"/>
      <c r="K226" s="6"/>
      <c r="L226" s="6"/>
      <c r="M226" s="6"/>
      <c r="N226" s="6"/>
      <c r="O226" s="16"/>
      <c r="P226" s="6"/>
      <c r="Q226" s="4"/>
      <c r="R226" s="4"/>
      <c r="S226" s="4"/>
      <c r="T226" s="4"/>
      <c r="U226" s="4"/>
      <c r="V226" s="4"/>
      <c r="W226" s="4"/>
      <c r="X226" s="4"/>
      <c r="Y226" s="4"/>
      <c r="Z226" s="4"/>
      <c r="AA226" s="4"/>
      <c r="AB226" s="4"/>
      <c r="AC226" s="4"/>
    </row>
    <row r="227" spans="1:29" ht="12.75" x14ac:dyDescent="0.2">
      <c r="A227" s="16"/>
      <c r="B227" s="6"/>
      <c r="C227" s="17"/>
      <c r="D227" s="6"/>
      <c r="E227" s="4"/>
      <c r="F227" s="6"/>
      <c r="G227" s="6"/>
      <c r="H227" s="6"/>
      <c r="I227" s="6"/>
      <c r="J227" s="6"/>
      <c r="K227" s="6"/>
      <c r="L227" s="6"/>
      <c r="M227" s="6"/>
      <c r="N227" s="6"/>
      <c r="O227" s="16"/>
      <c r="P227" s="6"/>
      <c r="Q227" s="4"/>
      <c r="R227" s="4"/>
      <c r="S227" s="4"/>
      <c r="T227" s="4"/>
      <c r="U227" s="4"/>
      <c r="V227" s="4"/>
      <c r="W227" s="4"/>
      <c r="X227" s="4"/>
      <c r="Y227" s="4"/>
      <c r="Z227" s="4"/>
      <c r="AA227" s="4"/>
      <c r="AB227" s="4"/>
      <c r="AC227" s="4"/>
    </row>
    <row r="228" spans="1:29" ht="12.75" x14ac:dyDescent="0.2">
      <c r="A228" s="16"/>
      <c r="B228" s="6"/>
      <c r="C228" s="17"/>
      <c r="D228" s="6"/>
      <c r="E228" s="4"/>
      <c r="F228" s="6"/>
      <c r="G228" s="6"/>
      <c r="H228" s="6"/>
      <c r="I228" s="6"/>
      <c r="J228" s="6"/>
      <c r="K228" s="6"/>
      <c r="L228" s="6"/>
      <c r="M228" s="6"/>
      <c r="N228" s="6"/>
      <c r="O228" s="16"/>
      <c r="P228" s="6"/>
      <c r="Q228" s="4"/>
      <c r="R228" s="4"/>
      <c r="S228" s="4"/>
      <c r="T228" s="4"/>
      <c r="U228" s="4"/>
      <c r="V228" s="4"/>
      <c r="W228" s="4"/>
      <c r="X228" s="4"/>
      <c r="Y228" s="4"/>
      <c r="Z228" s="4"/>
      <c r="AA228" s="4"/>
      <c r="AB228" s="4"/>
      <c r="AC228" s="4"/>
    </row>
    <row r="229" spans="1:29" ht="12.75" x14ac:dyDescent="0.2">
      <c r="A229" s="16"/>
      <c r="B229" s="6"/>
      <c r="C229" s="17"/>
      <c r="D229" s="6"/>
      <c r="E229" s="4"/>
      <c r="F229" s="6"/>
      <c r="G229" s="6"/>
      <c r="H229" s="6"/>
      <c r="I229" s="6"/>
      <c r="J229" s="6"/>
      <c r="K229" s="6"/>
      <c r="L229" s="6"/>
      <c r="M229" s="6"/>
      <c r="N229" s="6"/>
      <c r="O229" s="16"/>
      <c r="P229" s="6"/>
      <c r="Q229" s="4"/>
      <c r="R229" s="4"/>
      <c r="S229" s="4"/>
      <c r="T229" s="4"/>
      <c r="U229" s="4"/>
      <c r="V229" s="4"/>
      <c r="W229" s="4"/>
      <c r="X229" s="4"/>
      <c r="Y229" s="4"/>
      <c r="Z229" s="4"/>
      <c r="AA229" s="4"/>
      <c r="AB229" s="4"/>
      <c r="AC229" s="4"/>
    </row>
    <row r="230" spans="1:29" ht="12.75" x14ac:dyDescent="0.2">
      <c r="A230" s="16"/>
      <c r="B230" s="6"/>
      <c r="C230" s="17"/>
      <c r="D230" s="6"/>
      <c r="E230" s="4"/>
      <c r="F230" s="6"/>
      <c r="G230" s="6"/>
      <c r="H230" s="6"/>
      <c r="I230" s="6"/>
      <c r="J230" s="6"/>
      <c r="K230" s="6"/>
      <c r="L230" s="6"/>
      <c r="M230" s="6"/>
      <c r="N230" s="6"/>
      <c r="O230" s="16"/>
      <c r="P230" s="6"/>
      <c r="Q230" s="4"/>
      <c r="R230" s="4"/>
      <c r="S230" s="4"/>
      <c r="T230" s="4"/>
      <c r="U230" s="4"/>
      <c r="V230" s="4"/>
      <c r="W230" s="4"/>
      <c r="X230" s="4"/>
      <c r="Y230" s="4"/>
      <c r="Z230" s="4"/>
      <c r="AA230" s="4"/>
      <c r="AB230" s="4"/>
      <c r="AC230" s="4"/>
    </row>
    <row r="231" spans="1:29" ht="12.75" x14ac:dyDescent="0.2">
      <c r="A231" s="16"/>
      <c r="B231" s="6"/>
      <c r="C231" s="17"/>
      <c r="D231" s="6"/>
      <c r="E231" s="4"/>
      <c r="F231" s="6"/>
      <c r="G231" s="6"/>
      <c r="H231" s="6"/>
      <c r="I231" s="6"/>
      <c r="J231" s="6"/>
      <c r="K231" s="6"/>
      <c r="L231" s="6"/>
      <c r="M231" s="6"/>
      <c r="N231" s="6"/>
      <c r="O231" s="16"/>
      <c r="P231" s="6"/>
      <c r="Q231" s="4"/>
      <c r="R231" s="4"/>
      <c r="S231" s="4"/>
      <c r="T231" s="4"/>
      <c r="U231" s="4"/>
      <c r="V231" s="4"/>
      <c r="W231" s="4"/>
      <c r="X231" s="4"/>
      <c r="Y231" s="4"/>
      <c r="Z231" s="4"/>
      <c r="AA231" s="4"/>
      <c r="AB231" s="4"/>
      <c r="AC231" s="4"/>
    </row>
    <row r="232" spans="1:29" ht="12.75" x14ac:dyDescent="0.2">
      <c r="A232" s="16"/>
      <c r="B232" s="6"/>
      <c r="C232" s="17"/>
      <c r="D232" s="6"/>
      <c r="E232" s="4"/>
      <c r="F232" s="6"/>
      <c r="G232" s="6"/>
      <c r="H232" s="6"/>
      <c r="I232" s="6"/>
      <c r="J232" s="6"/>
      <c r="K232" s="6"/>
      <c r="L232" s="6"/>
      <c r="M232" s="6"/>
      <c r="N232" s="6"/>
      <c r="O232" s="16"/>
      <c r="P232" s="6"/>
      <c r="Q232" s="4"/>
      <c r="R232" s="4"/>
      <c r="S232" s="4"/>
      <c r="T232" s="4"/>
      <c r="U232" s="4"/>
      <c r="V232" s="4"/>
      <c r="W232" s="4"/>
      <c r="X232" s="4"/>
      <c r="Y232" s="4"/>
      <c r="Z232" s="4"/>
      <c r="AA232" s="4"/>
      <c r="AB232" s="4"/>
      <c r="AC232" s="4"/>
    </row>
    <row r="233" spans="1:29" ht="12.75" x14ac:dyDescent="0.2">
      <c r="A233" s="16"/>
      <c r="B233" s="6"/>
      <c r="C233" s="17"/>
      <c r="D233" s="6"/>
      <c r="E233" s="4"/>
      <c r="F233" s="6"/>
      <c r="G233" s="6"/>
      <c r="H233" s="6"/>
      <c r="I233" s="6"/>
      <c r="J233" s="6"/>
      <c r="K233" s="6"/>
      <c r="L233" s="6"/>
      <c r="M233" s="6"/>
      <c r="N233" s="6"/>
      <c r="O233" s="16"/>
      <c r="P233" s="6"/>
      <c r="Q233" s="4"/>
      <c r="R233" s="4"/>
      <c r="S233" s="4"/>
      <c r="T233" s="4"/>
      <c r="U233" s="4"/>
      <c r="V233" s="4"/>
      <c r="W233" s="4"/>
      <c r="X233" s="4"/>
      <c r="Y233" s="4"/>
      <c r="Z233" s="4"/>
      <c r="AA233" s="4"/>
      <c r="AB233" s="4"/>
      <c r="AC233" s="4"/>
    </row>
    <row r="234" spans="1:29" ht="12.75" x14ac:dyDescent="0.2">
      <c r="A234" s="16"/>
      <c r="B234" s="6"/>
      <c r="C234" s="17"/>
      <c r="D234" s="6"/>
      <c r="E234" s="4"/>
      <c r="F234" s="6"/>
      <c r="G234" s="6"/>
      <c r="H234" s="6"/>
      <c r="I234" s="6"/>
      <c r="J234" s="6"/>
      <c r="K234" s="6"/>
      <c r="L234" s="6"/>
      <c r="M234" s="6"/>
      <c r="N234" s="6"/>
      <c r="O234" s="16"/>
      <c r="P234" s="6"/>
      <c r="Q234" s="4"/>
      <c r="R234" s="4"/>
      <c r="S234" s="4"/>
      <c r="T234" s="4"/>
      <c r="U234" s="4"/>
      <c r="V234" s="4"/>
      <c r="W234" s="4"/>
      <c r="X234" s="4"/>
      <c r="Y234" s="4"/>
      <c r="Z234" s="4"/>
      <c r="AA234" s="4"/>
      <c r="AB234" s="4"/>
      <c r="AC234" s="4"/>
    </row>
    <row r="235" spans="1:29" ht="12.75" x14ac:dyDescent="0.2">
      <c r="A235" s="16"/>
      <c r="B235" s="6"/>
      <c r="C235" s="17"/>
      <c r="D235" s="6"/>
      <c r="E235" s="4"/>
      <c r="F235" s="6"/>
      <c r="G235" s="6"/>
      <c r="H235" s="6"/>
      <c r="I235" s="6"/>
      <c r="J235" s="6"/>
      <c r="K235" s="6"/>
      <c r="L235" s="6"/>
      <c r="M235" s="6"/>
      <c r="N235" s="6"/>
      <c r="O235" s="16"/>
      <c r="P235" s="6"/>
      <c r="Q235" s="4"/>
      <c r="R235" s="4"/>
      <c r="S235" s="4"/>
      <c r="T235" s="4"/>
      <c r="U235" s="4"/>
      <c r="V235" s="4"/>
      <c r="W235" s="4"/>
      <c r="X235" s="4"/>
      <c r="Y235" s="4"/>
      <c r="Z235" s="4"/>
      <c r="AA235" s="4"/>
      <c r="AB235" s="4"/>
      <c r="AC235" s="4"/>
    </row>
    <row r="236" spans="1:29" ht="12.75" x14ac:dyDescent="0.2">
      <c r="A236" s="16"/>
      <c r="B236" s="6"/>
      <c r="C236" s="17"/>
      <c r="D236" s="6"/>
      <c r="E236" s="4"/>
      <c r="F236" s="6"/>
      <c r="G236" s="6"/>
      <c r="H236" s="6"/>
      <c r="I236" s="6"/>
      <c r="J236" s="6"/>
      <c r="K236" s="6"/>
      <c r="L236" s="6"/>
      <c r="M236" s="6"/>
      <c r="N236" s="6"/>
      <c r="O236" s="16"/>
      <c r="P236" s="6"/>
      <c r="Q236" s="4"/>
      <c r="R236" s="4"/>
      <c r="S236" s="4"/>
      <c r="T236" s="4"/>
      <c r="U236" s="4"/>
      <c r="V236" s="4"/>
      <c r="W236" s="4"/>
      <c r="X236" s="4"/>
      <c r="Y236" s="4"/>
      <c r="Z236" s="4"/>
      <c r="AA236" s="4"/>
      <c r="AB236" s="4"/>
      <c r="AC236" s="4"/>
    </row>
    <row r="237" spans="1:29" ht="12.75" x14ac:dyDescent="0.2">
      <c r="A237" s="16"/>
      <c r="B237" s="6"/>
      <c r="C237" s="6"/>
      <c r="D237" s="6"/>
      <c r="E237" s="4"/>
      <c r="F237" s="6"/>
      <c r="G237" s="6"/>
      <c r="H237" s="6"/>
      <c r="I237" s="6"/>
      <c r="J237" s="6"/>
      <c r="K237" s="6"/>
      <c r="L237" s="6"/>
      <c r="M237" s="6"/>
      <c r="N237" s="6"/>
      <c r="O237" s="16"/>
      <c r="P237" s="6"/>
      <c r="Q237" s="4"/>
      <c r="R237" s="4"/>
      <c r="S237" s="4"/>
      <c r="T237" s="4"/>
      <c r="U237" s="4"/>
      <c r="V237" s="4"/>
      <c r="W237" s="4"/>
      <c r="X237" s="4"/>
      <c r="Y237" s="4"/>
      <c r="Z237" s="4"/>
      <c r="AA237" s="4"/>
      <c r="AB237" s="4"/>
      <c r="AC237" s="4"/>
    </row>
    <row r="238" spans="1:29" ht="12.75" x14ac:dyDescent="0.2">
      <c r="A238" s="16"/>
      <c r="B238" s="6"/>
      <c r="C238" s="6"/>
      <c r="D238" s="6"/>
      <c r="E238" s="4"/>
      <c r="F238" s="6"/>
      <c r="G238" s="6"/>
      <c r="H238" s="6"/>
      <c r="I238" s="6"/>
      <c r="J238" s="6"/>
      <c r="K238" s="6"/>
      <c r="L238" s="6"/>
      <c r="M238" s="6"/>
      <c r="N238" s="6"/>
      <c r="O238" s="16"/>
      <c r="P238" s="6"/>
      <c r="Q238" s="4"/>
      <c r="R238" s="4"/>
      <c r="S238" s="4"/>
      <c r="T238" s="4"/>
      <c r="U238" s="4"/>
      <c r="V238" s="4"/>
      <c r="W238" s="4"/>
      <c r="X238" s="4"/>
      <c r="Y238" s="4"/>
      <c r="Z238" s="4"/>
      <c r="AA238" s="4"/>
      <c r="AB238" s="4"/>
      <c r="AC238" s="4"/>
    </row>
    <row r="239" spans="1:29" ht="12.75" x14ac:dyDescent="0.2">
      <c r="A239" s="16"/>
      <c r="B239" s="6"/>
      <c r="C239" s="6"/>
      <c r="D239" s="6"/>
      <c r="E239" s="4"/>
      <c r="F239" s="6"/>
      <c r="G239" s="6"/>
      <c r="H239" s="6"/>
      <c r="I239" s="6"/>
      <c r="J239" s="6"/>
      <c r="K239" s="6"/>
      <c r="L239" s="6"/>
      <c r="M239" s="6"/>
      <c r="N239" s="6"/>
      <c r="O239" s="16"/>
      <c r="P239" s="6"/>
      <c r="Q239" s="4"/>
      <c r="R239" s="4"/>
      <c r="S239" s="4"/>
      <c r="T239" s="4"/>
      <c r="U239" s="4"/>
      <c r="V239" s="4"/>
      <c r="W239" s="4"/>
      <c r="X239" s="4"/>
      <c r="Y239" s="4"/>
      <c r="Z239" s="4"/>
      <c r="AA239" s="4"/>
      <c r="AB239" s="4"/>
      <c r="AC239" s="4"/>
    </row>
    <row r="240" spans="1:29" ht="12.75" x14ac:dyDescent="0.2">
      <c r="A240" s="16"/>
      <c r="B240" s="6"/>
      <c r="C240" s="6"/>
      <c r="D240" s="6"/>
      <c r="E240" s="4"/>
      <c r="F240" s="6"/>
      <c r="G240" s="6"/>
      <c r="H240" s="6"/>
      <c r="I240" s="6"/>
      <c r="J240" s="6"/>
      <c r="K240" s="6"/>
      <c r="L240" s="6"/>
      <c r="M240" s="6"/>
      <c r="N240" s="6"/>
      <c r="O240" s="16"/>
      <c r="P240" s="6"/>
      <c r="Q240" s="4"/>
      <c r="R240" s="4"/>
      <c r="S240" s="4"/>
      <c r="T240" s="4"/>
      <c r="U240" s="4"/>
      <c r="V240" s="4"/>
      <c r="W240" s="4"/>
      <c r="X240" s="4"/>
      <c r="Y240" s="4"/>
      <c r="Z240" s="4"/>
      <c r="AA240" s="4"/>
      <c r="AB240" s="4"/>
      <c r="AC240" s="4"/>
    </row>
    <row r="241" spans="1:29" ht="12.75" x14ac:dyDescent="0.2">
      <c r="A241" s="16"/>
      <c r="B241" s="6"/>
      <c r="C241" s="6"/>
      <c r="D241" s="6"/>
      <c r="E241" s="4"/>
      <c r="F241" s="6"/>
      <c r="G241" s="6"/>
      <c r="H241" s="6"/>
      <c r="I241" s="6"/>
      <c r="J241" s="6"/>
      <c r="K241" s="6"/>
      <c r="L241" s="6"/>
      <c r="M241" s="6"/>
      <c r="N241" s="6"/>
      <c r="O241" s="16"/>
      <c r="P241" s="6"/>
      <c r="Q241" s="4"/>
      <c r="R241" s="4"/>
      <c r="S241" s="4"/>
      <c r="T241" s="4"/>
      <c r="U241" s="4"/>
      <c r="V241" s="4"/>
      <c r="W241" s="4"/>
      <c r="X241" s="4"/>
      <c r="Y241" s="4"/>
      <c r="Z241" s="4"/>
      <c r="AA241" s="4"/>
      <c r="AB241" s="4"/>
      <c r="AC241" s="4"/>
    </row>
    <row r="242" spans="1:29" ht="12.75" x14ac:dyDescent="0.2">
      <c r="A242" s="16"/>
      <c r="B242" s="6"/>
      <c r="C242" s="6"/>
      <c r="D242" s="6"/>
      <c r="E242" s="4"/>
      <c r="F242" s="6"/>
      <c r="G242" s="6"/>
      <c r="H242" s="6"/>
      <c r="I242" s="6"/>
      <c r="J242" s="6"/>
      <c r="K242" s="6"/>
      <c r="L242" s="6"/>
      <c r="M242" s="6"/>
      <c r="N242" s="6"/>
      <c r="O242" s="16"/>
      <c r="P242" s="6"/>
      <c r="Q242" s="4"/>
      <c r="R242" s="4"/>
      <c r="S242" s="4"/>
      <c r="T242" s="4"/>
      <c r="U242" s="4"/>
      <c r="V242" s="4"/>
      <c r="W242" s="4"/>
      <c r="X242" s="4"/>
      <c r="Y242" s="4"/>
      <c r="Z242" s="4"/>
      <c r="AA242" s="4"/>
      <c r="AB242" s="4"/>
      <c r="AC242" s="4"/>
    </row>
    <row r="243" spans="1:29" ht="12.75" x14ac:dyDescent="0.2">
      <c r="A243" s="16"/>
      <c r="B243" s="6"/>
      <c r="C243" s="6"/>
      <c r="D243" s="6"/>
      <c r="E243" s="4"/>
      <c r="F243" s="6"/>
      <c r="G243" s="6"/>
      <c r="H243" s="6"/>
      <c r="I243" s="6"/>
      <c r="J243" s="6"/>
      <c r="K243" s="6"/>
      <c r="L243" s="6"/>
      <c r="M243" s="6"/>
      <c r="N243" s="6"/>
      <c r="O243" s="16"/>
      <c r="P243" s="6"/>
      <c r="Q243" s="4"/>
      <c r="R243" s="4"/>
      <c r="S243" s="4"/>
      <c r="T243" s="4"/>
      <c r="U243" s="4"/>
      <c r="V243" s="4"/>
      <c r="W243" s="4"/>
      <c r="X243" s="4"/>
      <c r="Y243" s="4"/>
      <c r="Z243" s="4"/>
      <c r="AA243" s="4"/>
      <c r="AB243" s="4"/>
      <c r="AC243" s="4"/>
    </row>
    <row r="244" spans="1:29" ht="12.75" x14ac:dyDescent="0.2">
      <c r="A244" s="16"/>
      <c r="B244" s="6"/>
      <c r="C244" s="6"/>
      <c r="D244" s="6"/>
      <c r="E244" s="4"/>
      <c r="F244" s="6"/>
      <c r="G244" s="6"/>
      <c r="H244" s="6"/>
      <c r="I244" s="6"/>
      <c r="J244" s="6"/>
      <c r="K244" s="6"/>
      <c r="L244" s="6"/>
      <c r="M244" s="6"/>
      <c r="N244" s="6"/>
      <c r="O244" s="16"/>
      <c r="P244" s="6"/>
      <c r="Q244" s="4"/>
      <c r="R244" s="4"/>
      <c r="S244" s="4"/>
      <c r="T244" s="4"/>
      <c r="U244" s="4"/>
      <c r="V244" s="4"/>
      <c r="W244" s="4"/>
      <c r="X244" s="4"/>
      <c r="Y244" s="4"/>
      <c r="Z244" s="4"/>
      <c r="AA244" s="4"/>
      <c r="AB244" s="4"/>
      <c r="AC244" s="4"/>
    </row>
    <row r="245" spans="1:29" ht="12.75" x14ac:dyDescent="0.2">
      <c r="A245" s="16"/>
      <c r="B245" s="6"/>
      <c r="C245" s="6"/>
      <c r="D245" s="6"/>
      <c r="E245" s="4"/>
      <c r="F245" s="6"/>
      <c r="G245" s="6"/>
      <c r="H245" s="6"/>
      <c r="I245" s="6"/>
      <c r="J245" s="6"/>
      <c r="K245" s="6"/>
      <c r="L245" s="6"/>
      <c r="M245" s="6"/>
      <c r="N245" s="6"/>
      <c r="O245" s="16"/>
      <c r="P245" s="6"/>
      <c r="Q245" s="4"/>
      <c r="R245" s="4"/>
      <c r="S245" s="4"/>
      <c r="T245" s="4"/>
      <c r="U245" s="4"/>
      <c r="V245" s="4"/>
      <c r="W245" s="4"/>
      <c r="X245" s="4"/>
      <c r="Y245" s="4"/>
      <c r="Z245" s="4"/>
      <c r="AA245" s="4"/>
      <c r="AB245" s="4"/>
      <c r="AC245" s="4"/>
    </row>
    <row r="246" spans="1:29" ht="12.75" x14ac:dyDescent="0.2">
      <c r="A246" s="16"/>
      <c r="B246" s="6"/>
      <c r="C246" s="6"/>
      <c r="D246" s="6"/>
      <c r="E246" s="4"/>
      <c r="F246" s="6"/>
      <c r="G246" s="6"/>
      <c r="H246" s="6"/>
      <c r="I246" s="6"/>
      <c r="J246" s="6"/>
      <c r="K246" s="6"/>
      <c r="L246" s="6"/>
      <c r="M246" s="6"/>
      <c r="N246" s="6"/>
      <c r="O246" s="16"/>
      <c r="P246" s="6"/>
      <c r="Q246" s="4"/>
      <c r="R246" s="4"/>
      <c r="S246" s="4"/>
      <c r="T246" s="4"/>
      <c r="U246" s="4"/>
      <c r="V246" s="4"/>
      <c r="W246" s="4"/>
      <c r="X246" s="4"/>
      <c r="Y246" s="4"/>
      <c r="Z246" s="4"/>
      <c r="AA246" s="4"/>
      <c r="AB246" s="4"/>
      <c r="AC246" s="4"/>
    </row>
    <row r="247" spans="1:29" ht="12.75" x14ac:dyDescent="0.2">
      <c r="A247" s="16"/>
      <c r="B247" s="6"/>
      <c r="C247" s="6"/>
      <c r="D247" s="6"/>
      <c r="E247" s="4"/>
      <c r="F247" s="6"/>
      <c r="G247" s="6"/>
      <c r="H247" s="6"/>
      <c r="I247" s="6"/>
      <c r="J247" s="6"/>
      <c r="K247" s="6"/>
      <c r="L247" s="6"/>
      <c r="M247" s="6"/>
      <c r="N247" s="6"/>
      <c r="O247" s="16"/>
      <c r="P247" s="6"/>
      <c r="Q247" s="4"/>
      <c r="R247" s="4"/>
      <c r="S247" s="4"/>
      <c r="T247" s="4"/>
      <c r="U247" s="4"/>
      <c r="V247" s="4"/>
      <c r="W247" s="4"/>
      <c r="X247" s="4"/>
      <c r="Y247" s="4"/>
      <c r="Z247" s="4"/>
      <c r="AA247" s="4"/>
      <c r="AB247" s="4"/>
      <c r="AC247" s="4"/>
    </row>
    <row r="248" spans="1:29" ht="12.75" x14ac:dyDescent="0.2">
      <c r="A248" s="16"/>
      <c r="B248" s="6"/>
      <c r="C248" s="6"/>
      <c r="D248" s="6"/>
      <c r="E248" s="4"/>
      <c r="F248" s="6"/>
      <c r="G248" s="6"/>
      <c r="H248" s="6"/>
      <c r="I248" s="6"/>
      <c r="J248" s="6"/>
      <c r="K248" s="6"/>
      <c r="L248" s="6"/>
      <c r="M248" s="6"/>
      <c r="N248" s="6"/>
      <c r="O248" s="16"/>
      <c r="P248" s="6"/>
      <c r="Q248" s="4"/>
      <c r="R248" s="4"/>
      <c r="S248" s="4"/>
      <c r="T248" s="4"/>
      <c r="U248" s="4"/>
      <c r="V248" s="4"/>
      <c r="W248" s="4"/>
      <c r="X248" s="4"/>
      <c r="Y248" s="4"/>
      <c r="Z248" s="4"/>
      <c r="AA248" s="4"/>
      <c r="AB248" s="4"/>
      <c r="AC248" s="4"/>
    </row>
    <row r="249" spans="1:29" ht="12.75" x14ac:dyDescent="0.2">
      <c r="A249" s="16"/>
      <c r="B249" s="6"/>
      <c r="C249" s="6"/>
      <c r="D249" s="6"/>
      <c r="E249" s="4"/>
      <c r="F249" s="6"/>
      <c r="G249" s="6"/>
      <c r="H249" s="6"/>
      <c r="I249" s="6"/>
      <c r="J249" s="6"/>
      <c r="K249" s="6"/>
      <c r="L249" s="6"/>
      <c r="M249" s="6"/>
      <c r="N249" s="6"/>
      <c r="O249" s="16"/>
      <c r="P249" s="6"/>
      <c r="Q249" s="4"/>
      <c r="R249" s="4"/>
      <c r="S249" s="4"/>
      <c r="T249" s="4"/>
      <c r="U249" s="4"/>
      <c r="V249" s="4"/>
      <c r="W249" s="4"/>
      <c r="X249" s="4"/>
      <c r="Y249" s="4"/>
      <c r="Z249" s="4"/>
      <c r="AA249" s="4"/>
      <c r="AB249" s="4"/>
      <c r="AC249" s="4"/>
    </row>
    <row r="250" spans="1:29" ht="12.75" x14ac:dyDescent="0.2">
      <c r="A250" s="16"/>
      <c r="B250" s="6"/>
      <c r="C250" s="6"/>
      <c r="D250" s="6"/>
      <c r="E250" s="4"/>
      <c r="F250" s="6"/>
      <c r="G250" s="6"/>
      <c r="H250" s="6"/>
      <c r="I250" s="6"/>
      <c r="J250" s="6"/>
      <c r="K250" s="6"/>
      <c r="L250" s="6"/>
      <c r="M250" s="6"/>
      <c r="N250" s="6"/>
      <c r="O250" s="16"/>
      <c r="P250" s="6"/>
      <c r="Q250" s="4"/>
      <c r="R250" s="4"/>
      <c r="S250" s="4"/>
      <c r="T250" s="4"/>
      <c r="U250" s="4"/>
      <c r="V250" s="4"/>
      <c r="W250" s="4"/>
      <c r="X250" s="4"/>
      <c r="Y250" s="4"/>
      <c r="Z250" s="4"/>
      <c r="AA250" s="4"/>
      <c r="AB250" s="4"/>
      <c r="AC250" s="4"/>
    </row>
    <row r="251" spans="1:29" ht="12.75" x14ac:dyDescent="0.2">
      <c r="A251" s="16"/>
      <c r="B251" s="6"/>
      <c r="C251" s="6"/>
      <c r="D251" s="6"/>
      <c r="E251" s="4"/>
      <c r="F251" s="6"/>
      <c r="G251" s="6"/>
      <c r="H251" s="6"/>
      <c r="I251" s="6"/>
      <c r="J251" s="6"/>
      <c r="K251" s="6"/>
      <c r="L251" s="6"/>
      <c r="M251" s="6"/>
      <c r="N251" s="6"/>
      <c r="O251" s="16"/>
      <c r="P251" s="6"/>
      <c r="Q251" s="4"/>
      <c r="R251" s="4"/>
      <c r="S251" s="4"/>
      <c r="T251" s="4"/>
      <c r="U251" s="4"/>
      <c r="V251" s="4"/>
      <c r="W251" s="4"/>
      <c r="X251" s="4"/>
      <c r="Y251" s="4"/>
      <c r="Z251" s="4"/>
      <c r="AA251" s="4"/>
      <c r="AB251" s="4"/>
      <c r="AC251" s="4"/>
    </row>
    <row r="252" spans="1:29" ht="12.75" x14ac:dyDescent="0.2">
      <c r="A252" s="16"/>
      <c r="B252" s="6"/>
      <c r="C252" s="6"/>
      <c r="D252" s="6"/>
      <c r="E252" s="4"/>
      <c r="F252" s="6"/>
      <c r="G252" s="6"/>
      <c r="H252" s="6"/>
      <c r="I252" s="6"/>
      <c r="J252" s="6"/>
      <c r="K252" s="6"/>
      <c r="L252" s="6"/>
      <c r="M252" s="6"/>
      <c r="N252" s="6"/>
      <c r="O252" s="16"/>
      <c r="P252" s="6"/>
      <c r="Q252" s="4"/>
      <c r="R252" s="4"/>
      <c r="S252" s="4"/>
      <c r="T252" s="4"/>
      <c r="U252" s="4"/>
      <c r="V252" s="4"/>
      <c r="W252" s="4"/>
      <c r="X252" s="4"/>
      <c r="Y252" s="4"/>
      <c r="Z252" s="4"/>
      <c r="AA252" s="4"/>
      <c r="AB252" s="4"/>
      <c r="AC252" s="4"/>
    </row>
    <row r="253" spans="1:29" ht="12.75" x14ac:dyDescent="0.2">
      <c r="A253" s="16"/>
      <c r="B253" s="6"/>
      <c r="C253" s="6"/>
      <c r="D253" s="6"/>
      <c r="E253" s="4"/>
      <c r="F253" s="6"/>
      <c r="G253" s="6"/>
      <c r="H253" s="6"/>
      <c r="I253" s="6"/>
      <c r="J253" s="6"/>
      <c r="K253" s="6"/>
      <c r="L253" s="6"/>
      <c r="M253" s="6"/>
      <c r="N253" s="6"/>
      <c r="O253" s="16"/>
      <c r="P253" s="6"/>
      <c r="Q253" s="4"/>
      <c r="R253" s="4"/>
      <c r="S253" s="4"/>
      <c r="T253" s="4"/>
      <c r="U253" s="4"/>
      <c r="V253" s="4"/>
      <c r="W253" s="4"/>
      <c r="X253" s="4"/>
      <c r="Y253" s="4"/>
      <c r="Z253" s="4"/>
      <c r="AA253" s="4"/>
      <c r="AB253" s="4"/>
      <c r="AC253" s="4"/>
    </row>
    <row r="254" spans="1:29" ht="12.75" x14ac:dyDescent="0.2">
      <c r="A254" s="16"/>
      <c r="B254" s="6"/>
      <c r="C254" s="6"/>
      <c r="D254" s="6"/>
      <c r="E254" s="4"/>
      <c r="F254" s="6"/>
      <c r="G254" s="6"/>
      <c r="H254" s="6"/>
      <c r="I254" s="6"/>
      <c r="J254" s="6"/>
      <c r="K254" s="6"/>
      <c r="L254" s="6"/>
      <c r="M254" s="6"/>
      <c r="N254" s="6"/>
      <c r="O254" s="16"/>
      <c r="P254" s="6"/>
      <c r="Q254" s="4"/>
      <c r="R254" s="4"/>
      <c r="S254" s="4"/>
      <c r="T254" s="4"/>
      <c r="U254" s="4"/>
      <c r="V254" s="4"/>
      <c r="W254" s="4"/>
      <c r="X254" s="4"/>
      <c r="Y254" s="4"/>
      <c r="Z254" s="4"/>
      <c r="AA254" s="4"/>
      <c r="AB254" s="4"/>
      <c r="AC254" s="4"/>
    </row>
    <row r="255" spans="1:29" ht="12.75" x14ac:dyDescent="0.2">
      <c r="A255" s="16"/>
      <c r="B255" s="6"/>
      <c r="C255" s="6"/>
      <c r="D255" s="6"/>
      <c r="E255" s="4"/>
      <c r="F255" s="6"/>
      <c r="G255" s="6"/>
      <c r="H255" s="6"/>
      <c r="I255" s="6"/>
      <c r="J255" s="6"/>
      <c r="K255" s="6"/>
      <c r="L255" s="6"/>
      <c r="M255" s="6"/>
      <c r="N255" s="6"/>
      <c r="O255" s="16"/>
      <c r="P255" s="6"/>
      <c r="Q255" s="4"/>
      <c r="R255" s="4"/>
      <c r="S255" s="4"/>
      <c r="T255" s="4"/>
      <c r="U255" s="4"/>
      <c r="V255" s="4"/>
      <c r="W255" s="4"/>
      <c r="X255" s="4"/>
      <c r="Y255" s="4"/>
      <c r="Z255" s="4"/>
      <c r="AA255" s="4"/>
      <c r="AB255" s="4"/>
      <c r="AC255" s="4"/>
    </row>
    <row r="256" spans="1:29" ht="12.75" x14ac:dyDescent="0.2">
      <c r="A256" s="16"/>
      <c r="B256" s="6"/>
      <c r="C256" s="6"/>
      <c r="D256" s="6"/>
      <c r="E256" s="4"/>
      <c r="F256" s="6"/>
      <c r="G256" s="6"/>
      <c r="H256" s="6"/>
      <c r="I256" s="6"/>
      <c r="J256" s="6"/>
      <c r="K256" s="6"/>
      <c r="L256" s="6"/>
      <c r="M256" s="6"/>
      <c r="N256" s="6"/>
      <c r="O256" s="16"/>
      <c r="P256" s="6"/>
      <c r="Q256" s="4"/>
      <c r="R256" s="4"/>
      <c r="S256" s="4"/>
      <c r="T256" s="4"/>
      <c r="U256" s="4"/>
      <c r="V256" s="4"/>
      <c r="W256" s="4"/>
      <c r="X256" s="4"/>
      <c r="Y256" s="4"/>
      <c r="Z256" s="4"/>
      <c r="AA256" s="4"/>
      <c r="AB256" s="4"/>
      <c r="AC256" s="4"/>
    </row>
    <row r="257" spans="1:29" ht="12.75" x14ac:dyDescent="0.2">
      <c r="A257" s="16"/>
      <c r="B257" s="6"/>
      <c r="C257" s="6"/>
      <c r="D257" s="6"/>
      <c r="E257" s="4"/>
      <c r="F257" s="6"/>
      <c r="G257" s="6"/>
      <c r="H257" s="6"/>
      <c r="I257" s="6"/>
      <c r="J257" s="6"/>
      <c r="K257" s="6"/>
      <c r="L257" s="6"/>
      <c r="M257" s="6"/>
      <c r="N257" s="6"/>
      <c r="O257" s="16"/>
      <c r="P257" s="6"/>
      <c r="Q257" s="4"/>
      <c r="R257" s="4"/>
      <c r="S257" s="4"/>
      <c r="T257" s="4"/>
      <c r="U257" s="4"/>
      <c r="V257" s="4"/>
      <c r="W257" s="4"/>
      <c r="X257" s="4"/>
      <c r="Y257" s="4"/>
      <c r="Z257" s="4"/>
      <c r="AA257" s="4"/>
      <c r="AB257" s="4"/>
      <c r="AC257" s="4"/>
    </row>
    <row r="258" spans="1:29" ht="12.75" x14ac:dyDescent="0.2">
      <c r="A258" s="16"/>
      <c r="B258" s="6"/>
      <c r="C258" s="6"/>
      <c r="D258" s="6"/>
      <c r="E258" s="4"/>
      <c r="F258" s="6"/>
      <c r="G258" s="6"/>
      <c r="H258" s="6"/>
      <c r="I258" s="6"/>
      <c r="J258" s="6"/>
      <c r="K258" s="6"/>
      <c r="L258" s="6"/>
      <c r="M258" s="6"/>
      <c r="N258" s="6"/>
      <c r="O258" s="16"/>
      <c r="P258" s="6"/>
      <c r="Q258" s="4"/>
      <c r="R258" s="4"/>
      <c r="S258" s="4"/>
      <c r="T258" s="4"/>
      <c r="U258" s="4"/>
      <c r="V258" s="4"/>
      <c r="W258" s="4"/>
      <c r="X258" s="4"/>
      <c r="Y258" s="4"/>
      <c r="Z258" s="4"/>
      <c r="AA258" s="4"/>
      <c r="AB258" s="4"/>
      <c r="AC258" s="4"/>
    </row>
    <row r="259" spans="1:29" ht="12.75" x14ac:dyDescent="0.2">
      <c r="A259" s="16"/>
      <c r="B259" s="6"/>
      <c r="C259" s="6"/>
      <c r="D259" s="6"/>
      <c r="E259" s="4"/>
      <c r="F259" s="6"/>
      <c r="G259" s="6"/>
      <c r="H259" s="6"/>
      <c r="I259" s="6"/>
      <c r="J259" s="6"/>
      <c r="K259" s="6"/>
      <c r="L259" s="6"/>
      <c r="M259" s="6"/>
      <c r="N259" s="6"/>
      <c r="O259" s="16"/>
      <c r="P259" s="6"/>
      <c r="Q259" s="4"/>
      <c r="R259" s="4"/>
      <c r="S259" s="4"/>
      <c r="T259" s="4"/>
      <c r="U259" s="4"/>
      <c r="V259" s="4"/>
      <c r="W259" s="4"/>
      <c r="X259" s="4"/>
      <c r="Y259" s="4"/>
      <c r="Z259" s="4"/>
      <c r="AA259" s="4"/>
      <c r="AB259" s="4"/>
      <c r="AC259" s="4"/>
    </row>
    <row r="260" spans="1:29" ht="12.75" x14ac:dyDescent="0.2">
      <c r="A260" s="16"/>
      <c r="B260" s="6"/>
      <c r="C260" s="6"/>
      <c r="D260" s="6"/>
      <c r="E260" s="4"/>
      <c r="F260" s="6"/>
      <c r="G260" s="6"/>
      <c r="H260" s="6"/>
      <c r="I260" s="6"/>
      <c r="J260" s="6"/>
      <c r="K260" s="6"/>
      <c r="L260" s="6"/>
      <c r="M260" s="6"/>
      <c r="N260" s="6"/>
      <c r="O260" s="16"/>
      <c r="P260" s="6"/>
      <c r="Q260" s="4"/>
      <c r="R260" s="4"/>
      <c r="S260" s="4"/>
      <c r="T260" s="4"/>
      <c r="U260" s="4"/>
      <c r="V260" s="4"/>
      <c r="W260" s="4"/>
      <c r="X260" s="4"/>
      <c r="Y260" s="4"/>
      <c r="Z260" s="4"/>
      <c r="AA260" s="4"/>
      <c r="AB260" s="4"/>
      <c r="AC260" s="4"/>
    </row>
    <row r="261" spans="1:29" ht="12.75" x14ac:dyDescent="0.2">
      <c r="A261" s="16"/>
      <c r="B261" s="6"/>
      <c r="C261" s="6"/>
      <c r="D261" s="6"/>
      <c r="E261" s="4"/>
      <c r="F261" s="6"/>
      <c r="G261" s="6"/>
      <c r="H261" s="6"/>
      <c r="I261" s="6"/>
      <c r="J261" s="6"/>
      <c r="K261" s="6"/>
      <c r="L261" s="6"/>
      <c r="M261" s="6"/>
      <c r="N261" s="6"/>
      <c r="O261" s="16"/>
      <c r="P261" s="6"/>
      <c r="Q261" s="4"/>
      <c r="R261" s="4"/>
      <c r="S261" s="4"/>
      <c r="T261" s="4"/>
      <c r="U261" s="4"/>
      <c r="V261" s="4"/>
      <c r="W261" s="4"/>
      <c r="X261" s="4"/>
      <c r="Y261" s="4"/>
      <c r="Z261" s="4"/>
      <c r="AA261" s="4"/>
      <c r="AB261" s="4"/>
      <c r="AC261" s="4"/>
    </row>
    <row r="262" spans="1:29" ht="12.75" x14ac:dyDescent="0.2">
      <c r="A262" s="16"/>
      <c r="B262" s="6"/>
      <c r="C262" s="6"/>
      <c r="D262" s="6"/>
      <c r="E262" s="4"/>
      <c r="F262" s="6"/>
      <c r="G262" s="6"/>
      <c r="H262" s="6"/>
      <c r="I262" s="6"/>
      <c r="J262" s="6"/>
      <c r="K262" s="6"/>
      <c r="L262" s="6"/>
      <c r="M262" s="6"/>
      <c r="N262" s="6"/>
      <c r="O262" s="16"/>
      <c r="P262" s="6"/>
      <c r="Q262" s="4"/>
      <c r="R262" s="4"/>
      <c r="S262" s="4"/>
      <c r="T262" s="4"/>
      <c r="U262" s="4"/>
      <c r="V262" s="4"/>
      <c r="W262" s="4"/>
      <c r="X262" s="4"/>
      <c r="Y262" s="4"/>
      <c r="Z262" s="4"/>
      <c r="AA262" s="4"/>
      <c r="AB262" s="4"/>
      <c r="AC262" s="4"/>
    </row>
    <row r="263" spans="1:29" ht="12.75" x14ac:dyDescent="0.2">
      <c r="A263" s="16"/>
      <c r="B263" s="6"/>
      <c r="C263" s="6"/>
      <c r="D263" s="6"/>
      <c r="E263" s="4"/>
      <c r="F263" s="6"/>
      <c r="G263" s="6"/>
      <c r="H263" s="6"/>
      <c r="I263" s="6"/>
      <c r="J263" s="6"/>
      <c r="K263" s="6"/>
      <c r="L263" s="6"/>
      <c r="M263" s="6"/>
      <c r="N263" s="6"/>
      <c r="O263" s="16"/>
      <c r="P263" s="6"/>
      <c r="Q263" s="4"/>
      <c r="R263" s="4"/>
      <c r="S263" s="4"/>
      <c r="T263" s="4"/>
      <c r="U263" s="4"/>
      <c r="V263" s="4"/>
      <c r="W263" s="4"/>
      <c r="X263" s="4"/>
      <c r="Y263" s="4"/>
      <c r="Z263" s="4"/>
      <c r="AA263" s="4"/>
      <c r="AB263" s="4"/>
      <c r="AC263" s="4"/>
    </row>
    <row r="264" spans="1:29" ht="12.75" x14ac:dyDescent="0.2">
      <c r="A264" s="16"/>
      <c r="B264" s="6"/>
      <c r="C264" s="6"/>
      <c r="D264" s="6"/>
      <c r="E264" s="4"/>
      <c r="F264" s="6"/>
      <c r="G264" s="6"/>
      <c r="H264" s="6"/>
      <c r="I264" s="6"/>
      <c r="J264" s="6"/>
      <c r="K264" s="6"/>
      <c r="L264" s="6"/>
      <c r="M264" s="6"/>
      <c r="N264" s="6"/>
      <c r="O264" s="16"/>
      <c r="P264" s="6"/>
      <c r="Q264" s="4"/>
      <c r="R264" s="4"/>
      <c r="S264" s="4"/>
      <c r="T264" s="4"/>
      <c r="U264" s="4"/>
      <c r="V264" s="4"/>
      <c r="W264" s="4"/>
      <c r="X264" s="4"/>
      <c r="Y264" s="4"/>
      <c r="Z264" s="4"/>
      <c r="AA264" s="4"/>
      <c r="AB264" s="4"/>
      <c r="AC264" s="4"/>
    </row>
    <row r="265" spans="1:29" ht="12.75" x14ac:dyDescent="0.2">
      <c r="A265" s="16"/>
      <c r="B265" s="6"/>
      <c r="C265" s="6"/>
      <c r="D265" s="6"/>
      <c r="E265" s="4"/>
      <c r="F265" s="6"/>
      <c r="G265" s="6"/>
      <c r="H265" s="6"/>
      <c r="I265" s="6"/>
      <c r="J265" s="6"/>
      <c r="K265" s="6"/>
      <c r="L265" s="6"/>
      <c r="M265" s="6"/>
      <c r="N265" s="6"/>
      <c r="O265" s="16"/>
      <c r="P265" s="6"/>
      <c r="Q265" s="4"/>
      <c r="R265" s="4"/>
      <c r="S265" s="4"/>
      <c r="T265" s="4"/>
      <c r="U265" s="4"/>
      <c r="V265" s="4"/>
      <c r="W265" s="4"/>
      <c r="X265" s="4"/>
      <c r="Y265" s="4"/>
      <c r="Z265" s="4"/>
      <c r="AA265" s="4"/>
      <c r="AB265" s="4"/>
      <c r="AC265" s="4"/>
    </row>
    <row r="266" spans="1:29" ht="12.75" x14ac:dyDescent="0.2">
      <c r="A266" s="16"/>
      <c r="B266" s="6"/>
      <c r="C266" s="6"/>
      <c r="D266" s="6"/>
      <c r="E266" s="4"/>
      <c r="F266" s="6"/>
      <c r="G266" s="6"/>
      <c r="H266" s="6"/>
      <c r="I266" s="6"/>
      <c r="J266" s="6"/>
      <c r="K266" s="6"/>
      <c r="L266" s="6"/>
      <c r="M266" s="6"/>
      <c r="N266" s="6"/>
      <c r="O266" s="16"/>
      <c r="P266" s="6"/>
      <c r="Q266" s="4"/>
      <c r="R266" s="4"/>
      <c r="S266" s="4"/>
      <c r="T266" s="4"/>
      <c r="U266" s="4"/>
      <c r="V266" s="4"/>
      <c r="W266" s="4"/>
      <c r="X266" s="4"/>
      <c r="Y266" s="4"/>
      <c r="Z266" s="4"/>
      <c r="AA266" s="4"/>
      <c r="AB266" s="4"/>
      <c r="AC266" s="4"/>
    </row>
    <row r="267" spans="1:29" ht="12.75" x14ac:dyDescent="0.2">
      <c r="A267" s="16"/>
      <c r="B267" s="6"/>
      <c r="C267" s="6"/>
      <c r="D267" s="6"/>
      <c r="E267" s="4"/>
      <c r="F267" s="6"/>
      <c r="G267" s="6"/>
      <c r="H267" s="6"/>
      <c r="I267" s="6"/>
      <c r="J267" s="6"/>
      <c r="K267" s="6"/>
      <c r="L267" s="6"/>
      <c r="M267" s="6"/>
      <c r="N267" s="6"/>
      <c r="O267" s="16"/>
      <c r="P267" s="6"/>
      <c r="Q267" s="4"/>
      <c r="R267" s="4"/>
      <c r="S267" s="4"/>
      <c r="T267" s="4"/>
      <c r="U267" s="4"/>
      <c r="V267" s="4"/>
      <c r="W267" s="4"/>
      <c r="X267" s="4"/>
      <c r="Y267" s="4"/>
      <c r="Z267" s="4"/>
      <c r="AA267" s="4"/>
      <c r="AB267" s="4"/>
      <c r="AC267" s="4"/>
    </row>
    <row r="268" spans="1:29" ht="12.75" x14ac:dyDescent="0.2">
      <c r="A268" s="16"/>
      <c r="B268" s="6"/>
      <c r="C268" s="6"/>
      <c r="D268" s="6"/>
      <c r="E268" s="4"/>
      <c r="F268" s="6"/>
      <c r="G268" s="6"/>
      <c r="H268" s="6"/>
      <c r="I268" s="6"/>
      <c r="J268" s="6"/>
      <c r="K268" s="6"/>
      <c r="L268" s="6"/>
      <c r="M268" s="6"/>
      <c r="N268" s="6"/>
      <c r="O268" s="16"/>
      <c r="P268" s="6"/>
      <c r="Q268" s="4"/>
      <c r="R268" s="4"/>
      <c r="S268" s="4"/>
      <c r="T268" s="4"/>
      <c r="U268" s="4"/>
      <c r="V268" s="4"/>
      <c r="W268" s="4"/>
      <c r="X268" s="4"/>
      <c r="Y268" s="4"/>
      <c r="Z268" s="4"/>
      <c r="AA268" s="4"/>
      <c r="AB268" s="4"/>
      <c r="AC268" s="4"/>
    </row>
    <row r="269" spans="1:29" ht="12.75" x14ac:dyDescent="0.2">
      <c r="A269" s="16"/>
      <c r="B269" s="6"/>
      <c r="C269" s="6"/>
      <c r="D269" s="6"/>
      <c r="E269" s="4"/>
      <c r="F269" s="6"/>
      <c r="G269" s="6"/>
      <c r="H269" s="6"/>
      <c r="I269" s="6"/>
      <c r="J269" s="6"/>
      <c r="K269" s="6"/>
      <c r="L269" s="6"/>
      <c r="M269" s="6"/>
      <c r="N269" s="6"/>
      <c r="O269" s="16"/>
      <c r="P269" s="6"/>
      <c r="Q269" s="4"/>
      <c r="R269" s="4"/>
      <c r="S269" s="4"/>
      <c r="T269" s="4"/>
      <c r="U269" s="4"/>
      <c r="V269" s="4"/>
      <c r="W269" s="4"/>
      <c r="X269" s="4"/>
      <c r="Y269" s="4"/>
      <c r="Z269" s="4"/>
      <c r="AA269" s="4"/>
      <c r="AB269" s="4"/>
      <c r="AC269" s="4"/>
    </row>
    <row r="270" spans="1:29" ht="12.75" x14ac:dyDescent="0.2">
      <c r="A270" s="16"/>
      <c r="B270" s="6"/>
      <c r="C270" s="6"/>
      <c r="D270" s="6"/>
      <c r="E270" s="4"/>
      <c r="F270" s="6"/>
      <c r="G270" s="6"/>
      <c r="H270" s="6"/>
      <c r="I270" s="6"/>
      <c r="J270" s="6"/>
      <c r="K270" s="6"/>
      <c r="L270" s="6"/>
      <c r="M270" s="6"/>
      <c r="N270" s="6"/>
      <c r="O270" s="16"/>
      <c r="P270" s="6"/>
      <c r="Q270" s="4"/>
      <c r="R270" s="4"/>
      <c r="S270" s="4"/>
      <c r="T270" s="4"/>
      <c r="U270" s="4"/>
      <c r="V270" s="4"/>
      <c r="W270" s="4"/>
      <c r="X270" s="4"/>
      <c r="Y270" s="4"/>
      <c r="Z270" s="4"/>
      <c r="AA270" s="4"/>
      <c r="AB270" s="4"/>
      <c r="AC270" s="4"/>
    </row>
    <row r="271" spans="1:29" ht="12.75" x14ac:dyDescent="0.2">
      <c r="A271" s="16"/>
      <c r="B271" s="6"/>
      <c r="C271" s="6"/>
      <c r="D271" s="6"/>
      <c r="E271" s="4"/>
      <c r="F271" s="6"/>
      <c r="G271" s="6"/>
      <c r="H271" s="6"/>
      <c r="I271" s="6"/>
      <c r="J271" s="6"/>
      <c r="K271" s="6"/>
      <c r="L271" s="6"/>
      <c r="M271" s="6"/>
      <c r="N271" s="6"/>
      <c r="O271" s="16"/>
      <c r="P271" s="6"/>
      <c r="Q271" s="4"/>
      <c r="R271" s="4"/>
      <c r="S271" s="4"/>
      <c r="T271" s="4"/>
      <c r="U271" s="4"/>
      <c r="V271" s="4"/>
      <c r="W271" s="4"/>
      <c r="X271" s="4"/>
      <c r="Y271" s="4"/>
      <c r="Z271" s="4"/>
      <c r="AA271" s="4"/>
      <c r="AB271" s="4"/>
      <c r="AC271" s="4"/>
    </row>
    <row r="272" spans="1:29" ht="12.75" x14ac:dyDescent="0.2">
      <c r="A272" s="16"/>
      <c r="B272" s="6"/>
      <c r="C272" s="6"/>
      <c r="D272" s="6"/>
      <c r="E272" s="4"/>
      <c r="F272" s="6"/>
      <c r="G272" s="6"/>
      <c r="H272" s="6"/>
      <c r="I272" s="6"/>
      <c r="J272" s="6"/>
      <c r="K272" s="6"/>
      <c r="L272" s="6"/>
      <c r="M272" s="6"/>
      <c r="N272" s="6"/>
      <c r="O272" s="16"/>
      <c r="P272" s="6"/>
      <c r="Q272" s="4"/>
      <c r="R272" s="4"/>
      <c r="S272" s="4"/>
      <c r="T272" s="4"/>
      <c r="U272" s="4"/>
      <c r="V272" s="4"/>
      <c r="W272" s="4"/>
      <c r="X272" s="4"/>
      <c r="Y272" s="4"/>
      <c r="Z272" s="4"/>
      <c r="AA272" s="4"/>
      <c r="AB272" s="4"/>
      <c r="AC272" s="4"/>
    </row>
    <row r="273" spans="1:29" ht="12.75" x14ac:dyDescent="0.2">
      <c r="A273" s="16"/>
      <c r="B273" s="6"/>
      <c r="C273" s="6"/>
      <c r="D273" s="6"/>
      <c r="E273" s="4"/>
      <c r="F273" s="6"/>
      <c r="G273" s="6"/>
      <c r="H273" s="6"/>
      <c r="I273" s="6"/>
      <c r="J273" s="6"/>
      <c r="K273" s="6"/>
      <c r="L273" s="6"/>
      <c r="M273" s="6"/>
      <c r="N273" s="6"/>
      <c r="O273" s="16"/>
      <c r="P273" s="6"/>
      <c r="Q273" s="4"/>
      <c r="R273" s="4"/>
      <c r="S273" s="4"/>
      <c r="T273" s="4"/>
      <c r="U273" s="4"/>
      <c r="V273" s="4"/>
      <c r="W273" s="4"/>
      <c r="X273" s="4"/>
      <c r="Y273" s="4"/>
      <c r="Z273" s="4"/>
      <c r="AA273" s="4"/>
      <c r="AB273" s="4"/>
      <c r="AC273" s="4"/>
    </row>
    <row r="274" spans="1:29" ht="12.75" x14ac:dyDescent="0.2">
      <c r="A274" s="16"/>
      <c r="B274" s="6"/>
      <c r="C274" s="6"/>
      <c r="D274" s="6"/>
      <c r="E274" s="4"/>
      <c r="F274" s="6"/>
      <c r="G274" s="6"/>
      <c r="H274" s="6"/>
      <c r="I274" s="6"/>
      <c r="J274" s="6"/>
      <c r="K274" s="6"/>
      <c r="L274" s="6"/>
      <c r="M274" s="6"/>
      <c r="N274" s="6"/>
      <c r="O274" s="16"/>
      <c r="P274" s="6"/>
      <c r="Q274" s="4"/>
      <c r="R274" s="4"/>
      <c r="S274" s="4"/>
      <c r="T274" s="4"/>
      <c r="U274" s="4"/>
      <c r="V274" s="4"/>
      <c r="W274" s="4"/>
      <c r="X274" s="4"/>
      <c r="Y274" s="4"/>
      <c r="Z274" s="4"/>
      <c r="AA274" s="4"/>
      <c r="AB274" s="4"/>
      <c r="AC274" s="4"/>
    </row>
    <row r="275" spans="1:29" ht="12.75" x14ac:dyDescent="0.2">
      <c r="A275" s="16"/>
      <c r="B275" s="6"/>
      <c r="C275" s="6"/>
      <c r="D275" s="6"/>
      <c r="E275" s="4"/>
      <c r="F275" s="6"/>
      <c r="G275" s="6"/>
      <c r="H275" s="6"/>
      <c r="I275" s="6"/>
      <c r="J275" s="6"/>
      <c r="K275" s="6"/>
      <c r="L275" s="6"/>
      <c r="M275" s="6"/>
      <c r="N275" s="6"/>
      <c r="O275" s="16"/>
      <c r="P275" s="6"/>
      <c r="Q275" s="4"/>
      <c r="R275" s="4"/>
      <c r="S275" s="4"/>
      <c r="T275" s="4"/>
      <c r="U275" s="4"/>
      <c r="V275" s="4"/>
      <c r="W275" s="4"/>
      <c r="X275" s="4"/>
      <c r="Y275" s="4"/>
      <c r="Z275" s="4"/>
      <c r="AA275" s="4"/>
      <c r="AB275" s="4"/>
      <c r="AC275" s="4"/>
    </row>
    <row r="276" spans="1:29" ht="12.75" x14ac:dyDescent="0.2">
      <c r="A276" s="16"/>
      <c r="B276" s="6"/>
      <c r="C276" s="6"/>
      <c r="D276" s="6"/>
      <c r="E276" s="4"/>
      <c r="F276" s="6"/>
      <c r="G276" s="6"/>
      <c r="H276" s="6"/>
      <c r="I276" s="6"/>
      <c r="J276" s="6"/>
      <c r="K276" s="6"/>
      <c r="L276" s="6"/>
      <c r="M276" s="6"/>
      <c r="N276" s="6"/>
      <c r="O276" s="16"/>
      <c r="P276" s="6"/>
      <c r="Q276" s="4"/>
      <c r="R276" s="4"/>
      <c r="S276" s="4"/>
      <c r="T276" s="4"/>
      <c r="U276" s="4"/>
      <c r="V276" s="4"/>
      <c r="W276" s="4"/>
      <c r="X276" s="4"/>
      <c r="Y276" s="4"/>
      <c r="Z276" s="4"/>
      <c r="AA276" s="4"/>
      <c r="AB276" s="4"/>
      <c r="AC276" s="4"/>
    </row>
    <row r="277" spans="1:29" ht="12.75" x14ac:dyDescent="0.2">
      <c r="A277" s="16"/>
      <c r="B277" s="6"/>
      <c r="C277" s="6"/>
      <c r="D277" s="6"/>
      <c r="E277" s="4"/>
      <c r="F277" s="6"/>
      <c r="G277" s="6"/>
      <c r="H277" s="6"/>
      <c r="I277" s="6"/>
      <c r="J277" s="6"/>
      <c r="K277" s="6"/>
      <c r="L277" s="6"/>
      <c r="M277" s="6"/>
      <c r="N277" s="6"/>
      <c r="O277" s="16"/>
      <c r="P277" s="6"/>
      <c r="Q277" s="4"/>
      <c r="R277" s="4"/>
      <c r="S277" s="4"/>
      <c r="T277" s="4"/>
      <c r="U277" s="4"/>
      <c r="V277" s="4"/>
      <c r="W277" s="4"/>
      <c r="X277" s="4"/>
      <c r="Y277" s="4"/>
      <c r="Z277" s="4"/>
      <c r="AA277" s="4"/>
      <c r="AB277" s="4"/>
      <c r="AC277" s="4"/>
    </row>
    <row r="278" spans="1:29" ht="12.75" x14ac:dyDescent="0.2">
      <c r="A278" s="16"/>
      <c r="B278" s="6"/>
      <c r="C278" s="6"/>
      <c r="D278" s="6"/>
      <c r="E278" s="4"/>
      <c r="F278" s="6"/>
      <c r="G278" s="6"/>
      <c r="H278" s="6"/>
      <c r="I278" s="6"/>
      <c r="J278" s="6"/>
      <c r="K278" s="6"/>
      <c r="L278" s="6"/>
      <c r="M278" s="6"/>
      <c r="N278" s="6"/>
      <c r="O278" s="16"/>
      <c r="P278" s="6"/>
      <c r="Q278" s="4"/>
      <c r="R278" s="4"/>
      <c r="S278" s="4"/>
      <c r="T278" s="4"/>
      <c r="U278" s="4"/>
      <c r="V278" s="4"/>
      <c r="W278" s="4"/>
      <c r="X278" s="4"/>
      <c r="Y278" s="4"/>
      <c r="Z278" s="4"/>
      <c r="AA278" s="4"/>
      <c r="AB278" s="4"/>
      <c r="AC278" s="4"/>
    </row>
    <row r="279" spans="1:29" ht="12.75" x14ac:dyDescent="0.2">
      <c r="A279" s="16"/>
      <c r="B279" s="6"/>
      <c r="C279" s="6"/>
      <c r="D279" s="6"/>
      <c r="E279" s="4"/>
      <c r="F279" s="6"/>
      <c r="G279" s="6"/>
      <c r="H279" s="6"/>
      <c r="I279" s="6"/>
      <c r="J279" s="6"/>
      <c r="K279" s="6"/>
      <c r="L279" s="6"/>
      <c r="M279" s="6"/>
      <c r="N279" s="6"/>
      <c r="O279" s="16"/>
      <c r="P279" s="6"/>
      <c r="Q279" s="4"/>
      <c r="R279" s="4"/>
      <c r="S279" s="4"/>
      <c r="T279" s="4"/>
      <c r="U279" s="4"/>
      <c r="V279" s="4"/>
      <c r="W279" s="4"/>
      <c r="X279" s="4"/>
      <c r="Y279" s="4"/>
      <c r="Z279" s="4"/>
      <c r="AA279" s="4"/>
      <c r="AB279" s="4"/>
      <c r="AC279" s="4"/>
    </row>
    <row r="280" spans="1:29" ht="12.75" x14ac:dyDescent="0.2">
      <c r="A280" s="16"/>
      <c r="B280" s="6"/>
      <c r="C280" s="6"/>
      <c r="D280" s="6"/>
      <c r="E280" s="4"/>
      <c r="F280" s="6"/>
      <c r="G280" s="6"/>
      <c r="H280" s="6"/>
      <c r="I280" s="6"/>
      <c r="J280" s="6"/>
      <c r="K280" s="6"/>
      <c r="L280" s="6"/>
      <c r="M280" s="6"/>
      <c r="N280" s="6"/>
      <c r="O280" s="16"/>
      <c r="P280" s="6"/>
      <c r="Q280" s="4"/>
      <c r="R280" s="4"/>
      <c r="S280" s="4"/>
      <c r="T280" s="4"/>
      <c r="U280" s="4"/>
      <c r="V280" s="4"/>
      <c r="W280" s="4"/>
      <c r="X280" s="4"/>
      <c r="Y280" s="4"/>
      <c r="Z280" s="4"/>
      <c r="AA280" s="4"/>
      <c r="AB280" s="4"/>
      <c r="AC280" s="4"/>
    </row>
    <row r="281" spans="1:29" ht="12.75" x14ac:dyDescent="0.2">
      <c r="A281" s="16"/>
      <c r="B281" s="6"/>
      <c r="C281" s="6"/>
      <c r="D281" s="6"/>
      <c r="E281" s="4"/>
      <c r="F281" s="6"/>
      <c r="G281" s="6"/>
      <c r="H281" s="6"/>
      <c r="I281" s="6"/>
      <c r="J281" s="6"/>
      <c r="K281" s="6"/>
      <c r="L281" s="6"/>
      <c r="M281" s="6"/>
      <c r="N281" s="6"/>
      <c r="O281" s="16"/>
      <c r="P281" s="6"/>
      <c r="Q281" s="4"/>
      <c r="R281" s="4"/>
      <c r="S281" s="4"/>
      <c r="T281" s="4"/>
      <c r="U281" s="4"/>
      <c r="V281" s="4"/>
      <c r="W281" s="4"/>
      <c r="X281" s="4"/>
      <c r="Y281" s="4"/>
      <c r="Z281" s="4"/>
      <c r="AA281" s="4"/>
      <c r="AB281" s="4"/>
      <c r="AC281" s="4"/>
    </row>
    <row r="282" spans="1:29" ht="12.75" x14ac:dyDescent="0.2">
      <c r="A282" s="16"/>
      <c r="B282" s="6"/>
      <c r="C282" s="6"/>
      <c r="D282" s="6"/>
      <c r="E282" s="4"/>
      <c r="F282" s="6"/>
      <c r="G282" s="6"/>
      <c r="H282" s="6"/>
      <c r="I282" s="6"/>
      <c r="J282" s="6"/>
      <c r="K282" s="6"/>
      <c r="L282" s="6"/>
      <c r="M282" s="6"/>
      <c r="N282" s="6"/>
      <c r="O282" s="16"/>
      <c r="P282" s="6"/>
      <c r="Q282" s="4"/>
      <c r="R282" s="4"/>
      <c r="S282" s="4"/>
      <c r="T282" s="4"/>
      <c r="U282" s="4"/>
      <c r="V282" s="4"/>
      <c r="W282" s="4"/>
      <c r="X282" s="4"/>
      <c r="Y282" s="4"/>
      <c r="Z282" s="4"/>
      <c r="AA282" s="4"/>
      <c r="AB282" s="4"/>
      <c r="AC282" s="4"/>
    </row>
    <row r="283" spans="1:29" ht="12.75" x14ac:dyDescent="0.2">
      <c r="A283" s="16"/>
      <c r="B283" s="6"/>
      <c r="C283" s="6"/>
      <c r="D283" s="6"/>
      <c r="E283" s="4"/>
      <c r="F283" s="6"/>
      <c r="G283" s="6"/>
      <c r="H283" s="6"/>
      <c r="I283" s="6"/>
      <c r="J283" s="6"/>
      <c r="K283" s="6"/>
      <c r="L283" s="6"/>
      <c r="M283" s="6"/>
      <c r="N283" s="6"/>
      <c r="O283" s="16"/>
      <c r="P283" s="6"/>
      <c r="Q283" s="4"/>
      <c r="R283" s="4"/>
      <c r="S283" s="4"/>
      <c r="T283" s="4"/>
      <c r="U283" s="4"/>
      <c r="V283" s="4"/>
      <c r="W283" s="4"/>
      <c r="X283" s="4"/>
      <c r="Y283" s="4"/>
      <c r="Z283" s="4"/>
      <c r="AA283" s="4"/>
      <c r="AB283" s="4"/>
      <c r="AC283" s="4"/>
    </row>
    <row r="284" spans="1:29" ht="12.75" x14ac:dyDescent="0.2">
      <c r="A284" s="16"/>
      <c r="B284" s="6"/>
      <c r="C284" s="6"/>
      <c r="D284" s="6"/>
      <c r="E284" s="4"/>
      <c r="F284" s="6"/>
      <c r="G284" s="6"/>
      <c r="H284" s="6"/>
      <c r="I284" s="6"/>
      <c r="J284" s="6"/>
      <c r="K284" s="6"/>
      <c r="L284" s="6"/>
      <c r="M284" s="6"/>
      <c r="N284" s="6"/>
      <c r="O284" s="16"/>
      <c r="P284" s="6"/>
      <c r="Q284" s="4"/>
      <c r="R284" s="4"/>
      <c r="S284" s="4"/>
      <c r="T284" s="4"/>
      <c r="U284" s="4"/>
      <c r="V284" s="4"/>
      <c r="W284" s="4"/>
      <c r="X284" s="4"/>
      <c r="Y284" s="4"/>
      <c r="Z284" s="4"/>
      <c r="AA284" s="4"/>
      <c r="AB284" s="4"/>
      <c r="AC284" s="4"/>
    </row>
    <row r="285" spans="1:29" ht="12.75" x14ac:dyDescent="0.2">
      <c r="A285" s="16"/>
      <c r="B285" s="6"/>
      <c r="C285" s="6"/>
      <c r="D285" s="6"/>
      <c r="E285" s="4"/>
      <c r="F285" s="6"/>
      <c r="G285" s="6"/>
      <c r="H285" s="6"/>
      <c r="I285" s="6"/>
      <c r="J285" s="6"/>
      <c r="K285" s="6"/>
      <c r="L285" s="6"/>
      <c r="M285" s="6"/>
      <c r="N285" s="6"/>
      <c r="O285" s="16"/>
      <c r="P285" s="6"/>
      <c r="Q285" s="4"/>
      <c r="R285" s="4"/>
      <c r="S285" s="4"/>
      <c r="T285" s="4"/>
      <c r="U285" s="4"/>
      <c r="V285" s="4"/>
      <c r="W285" s="4"/>
      <c r="X285" s="4"/>
      <c r="Y285" s="4"/>
      <c r="Z285" s="4"/>
      <c r="AA285" s="4"/>
      <c r="AB285" s="4"/>
      <c r="AC285" s="4"/>
    </row>
    <row r="286" spans="1:29" ht="12.75" x14ac:dyDescent="0.2">
      <c r="A286" s="16"/>
      <c r="B286" s="6"/>
      <c r="C286" s="6"/>
      <c r="D286" s="6"/>
      <c r="E286" s="4"/>
      <c r="F286" s="6"/>
      <c r="G286" s="6"/>
      <c r="H286" s="6"/>
      <c r="I286" s="6"/>
      <c r="J286" s="6"/>
      <c r="K286" s="6"/>
      <c r="L286" s="6"/>
      <c r="M286" s="6"/>
      <c r="N286" s="6"/>
      <c r="O286" s="16"/>
      <c r="P286" s="6"/>
      <c r="Q286" s="4"/>
      <c r="R286" s="4"/>
      <c r="S286" s="4"/>
      <c r="T286" s="4"/>
      <c r="U286" s="4"/>
      <c r="V286" s="4"/>
      <c r="W286" s="4"/>
      <c r="X286" s="4"/>
      <c r="Y286" s="4"/>
      <c r="Z286" s="4"/>
      <c r="AA286" s="4"/>
      <c r="AB286" s="4"/>
      <c r="AC286" s="4"/>
    </row>
    <row r="287" spans="1:29" ht="12.75" x14ac:dyDescent="0.2">
      <c r="A287" s="16"/>
      <c r="B287" s="6"/>
      <c r="C287" s="6"/>
      <c r="D287" s="6"/>
      <c r="E287" s="4"/>
      <c r="F287" s="6"/>
      <c r="G287" s="6"/>
      <c r="H287" s="6"/>
      <c r="I287" s="6"/>
      <c r="J287" s="6"/>
      <c r="K287" s="6"/>
      <c r="L287" s="6"/>
      <c r="M287" s="6"/>
      <c r="N287" s="6"/>
      <c r="O287" s="16"/>
      <c r="P287" s="6"/>
      <c r="Q287" s="4"/>
      <c r="R287" s="4"/>
      <c r="S287" s="4"/>
      <c r="T287" s="4"/>
      <c r="U287" s="4"/>
      <c r="V287" s="4"/>
      <c r="W287" s="4"/>
      <c r="X287" s="4"/>
      <c r="Y287" s="4"/>
      <c r="Z287" s="4"/>
      <c r="AA287" s="4"/>
      <c r="AB287" s="4"/>
      <c r="AC287" s="4"/>
    </row>
    <row r="288" spans="1:29" ht="12.75" x14ac:dyDescent="0.2">
      <c r="A288" s="16"/>
      <c r="B288" s="6"/>
      <c r="C288" s="6"/>
      <c r="D288" s="6"/>
      <c r="E288" s="4"/>
      <c r="F288" s="6"/>
      <c r="G288" s="6"/>
      <c r="H288" s="6"/>
      <c r="I288" s="6"/>
      <c r="J288" s="6"/>
      <c r="K288" s="6"/>
      <c r="L288" s="6"/>
      <c r="M288" s="6"/>
      <c r="N288" s="6"/>
      <c r="O288" s="16"/>
      <c r="P288" s="6"/>
      <c r="Q288" s="4"/>
      <c r="R288" s="4"/>
      <c r="S288" s="4"/>
      <c r="T288" s="4"/>
      <c r="U288" s="4"/>
      <c r="V288" s="4"/>
      <c r="W288" s="4"/>
      <c r="X288" s="4"/>
      <c r="Y288" s="4"/>
      <c r="Z288" s="4"/>
      <c r="AA288" s="4"/>
      <c r="AB288" s="4"/>
      <c r="AC288" s="4"/>
    </row>
    <row r="289" spans="1:29" ht="12.75" x14ac:dyDescent="0.2">
      <c r="A289" s="16"/>
      <c r="B289" s="6"/>
      <c r="C289" s="6"/>
      <c r="D289" s="6"/>
      <c r="E289" s="4"/>
      <c r="F289" s="6"/>
      <c r="G289" s="6"/>
      <c r="H289" s="6"/>
      <c r="I289" s="6"/>
      <c r="J289" s="6"/>
      <c r="K289" s="6"/>
      <c r="L289" s="6"/>
      <c r="M289" s="6"/>
      <c r="N289" s="6"/>
      <c r="O289" s="16"/>
      <c r="P289" s="6"/>
      <c r="Q289" s="4"/>
      <c r="R289" s="4"/>
      <c r="S289" s="4"/>
      <c r="T289" s="4"/>
      <c r="U289" s="4"/>
      <c r="V289" s="4"/>
      <c r="W289" s="4"/>
      <c r="X289" s="4"/>
      <c r="Y289" s="4"/>
      <c r="Z289" s="4"/>
      <c r="AA289" s="4"/>
      <c r="AB289" s="4"/>
      <c r="AC289" s="4"/>
    </row>
    <row r="290" spans="1:29" ht="12.75" x14ac:dyDescent="0.2">
      <c r="A290" s="16"/>
      <c r="B290" s="6"/>
      <c r="C290" s="6"/>
      <c r="D290" s="6"/>
      <c r="E290" s="4"/>
      <c r="F290" s="6"/>
      <c r="G290" s="6"/>
      <c r="H290" s="6"/>
      <c r="I290" s="6"/>
      <c r="J290" s="6"/>
      <c r="K290" s="6"/>
      <c r="L290" s="6"/>
      <c r="M290" s="6"/>
      <c r="N290" s="6"/>
      <c r="O290" s="16"/>
      <c r="P290" s="6"/>
      <c r="Q290" s="4"/>
      <c r="R290" s="4"/>
      <c r="S290" s="4"/>
      <c r="T290" s="4"/>
      <c r="U290" s="4"/>
      <c r="V290" s="4"/>
      <c r="W290" s="4"/>
      <c r="X290" s="4"/>
      <c r="Y290" s="4"/>
      <c r="Z290" s="4"/>
      <c r="AA290" s="4"/>
      <c r="AB290" s="4"/>
      <c r="AC290" s="4"/>
    </row>
    <row r="291" spans="1:29" ht="12.75" x14ac:dyDescent="0.2">
      <c r="A291" s="16"/>
      <c r="B291" s="6"/>
      <c r="C291" s="6"/>
      <c r="D291" s="6"/>
      <c r="E291" s="4"/>
      <c r="F291" s="6"/>
      <c r="G291" s="6"/>
      <c r="H291" s="6"/>
      <c r="I291" s="6"/>
      <c r="J291" s="6"/>
      <c r="K291" s="6"/>
      <c r="L291" s="6"/>
      <c r="M291" s="6"/>
      <c r="N291" s="6"/>
      <c r="O291" s="16"/>
      <c r="P291" s="6"/>
      <c r="Q291" s="4"/>
      <c r="R291" s="4"/>
      <c r="S291" s="4"/>
      <c r="T291" s="4"/>
      <c r="U291" s="4"/>
      <c r="V291" s="4"/>
      <c r="W291" s="4"/>
      <c r="X291" s="4"/>
      <c r="Y291" s="4"/>
      <c r="Z291" s="4"/>
      <c r="AA291" s="4"/>
      <c r="AB291" s="4"/>
      <c r="AC291" s="4"/>
    </row>
    <row r="292" spans="1:29" ht="12.75" x14ac:dyDescent="0.2">
      <c r="A292" s="16"/>
      <c r="B292" s="6"/>
      <c r="C292" s="6"/>
      <c r="D292" s="6"/>
      <c r="E292" s="4"/>
      <c r="F292" s="6"/>
      <c r="G292" s="6"/>
      <c r="H292" s="6"/>
      <c r="I292" s="6"/>
      <c r="J292" s="6"/>
      <c r="K292" s="6"/>
      <c r="L292" s="6"/>
      <c r="M292" s="6"/>
      <c r="N292" s="6"/>
      <c r="O292" s="16"/>
      <c r="P292" s="6"/>
      <c r="Q292" s="4"/>
      <c r="R292" s="4"/>
      <c r="S292" s="4"/>
      <c r="T292" s="4"/>
      <c r="U292" s="4"/>
      <c r="V292" s="4"/>
      <c r="W292" s="4"/>
      <c r="X292" s="4"/>
      <c r="Y292" s="4"/>
      <c r="Z292" s="4"/>
      <c r="AA292" s="4"/>
      <c r="AB292" s="4"/>
      <c r="AC292" s="4"/>
    </row>
    <row r="293" spans="1:29" ht="12.75" x14ac:dyDescent="0.2">
      <c r="A293" s="16"/>
      <c r="B293" s="6"/>
      <c r="C293" s="6"/>
      <c r="D293" s="6"/>
      <c r="E293" s="4"/>
      <c r="F293" s="6"/>
      <c r="G293" s="6"/>
      <c r="H293" s="6"/>
      <c r="I293" s="6"/>
      <c r="J293" s="6"/>
      <c r="K293" s="6"/>
      <c r="L293" s="6"/>
      <c r="M293" s="6"/>
      <c r="N293" s="6"/>
      <c r="O293" s="16"/>
      <c r="P293" s="6"/>
      <c r="Q293" s="4"/>
      <c r="R293" s="4"/>
      <c r="S293" s="4"/>
      <c r="T293" s="4"/>
      <c r="U293" s="4"/>
      <c r="V293" s="4"/>
      <c r="W293" s="4"/>
      <c r="X293" s="4"/>
      <c r="Y293" s="4"/>
      <c r="Z293" s="4"/>
      <c r="AA293" s="4"/>
      <c r="AB293" s="4"/>
      <c r="AC293" s="4"/>
    </row>
    <row r="294" spans="1:29" ht="12.75" x14ac:dyDescent="0.2">
      <c r="A294" s="16"/>
      <c r="B294" s="6"/>
      <c r="C294" s="6"/>
      <c r="D294" s="6"/>
      <c r="E294" s="4"/>
      <c r="F294" s="6"/>
      <c r="G294" s="6"/>
      <c r="H294" s="6"/>
      <c r="I294" s="6"/>
      <c r="J294" s="6"/>
      <c r="K294" s="6"/>
      <c r="L294" s="6"/>
      <c r="M294" s="6"/>
      <c r="N294" s="6"/>
      <c r="O294" s="16"/>
      <c r="P294" s="6"/>
      <c r="Q294" s="4"/>
      <c r="R294" s="4"/>
      <c r="S294" s="4"/>
      <c r="T294" s="4"/>
      <c r="U294" s="4"/>
      <c r="V294" s="4"/>
      <c r="W294" s="4"/>
      <c r="X294" s="4"/>
      <c r="Y294" s="4"/>
      <c r="Z294" s="4"/>
      <c r="AA294" s="4"/>
      <c r="AB294" s="4"/>
      <c r="AC294" s="4"/>
    </row>
    <row r="295" spans="1:29" ht="12.75" x14ac:dyDescent="0.2">
      <c r="A295" s="16"/>
      <c r="B295" s="6"/>
      <c r="C295" s="6"/>
      <c r="D295" s="6"/>
      <c r="E295" s="4"/>
      <c r="F295" s="6"/>
      <c r="G295" s="6"/>
      <c r="H295" s="6"/>
      <c r="I295" s="6"/>
      <c r="J295" s="6"/>
      <c r="K295" s="6"/>
      <c r="L295" s="6"/>
      <c r="M295" s="6"/>
      <c r="N295" s="6"/>
      <c r="O295" s="16"/>
      <c r="P295" s="6"/>
      <c r="Q295" s="4"/>
      <c r="R295" s="4"/>
      <c r="S295" s="4"/>
      <c r="T295" s="4"/>
      <c r="U295" s="4"/>
      <c r="V295" s="4"/>
      <c r="W295" s="4"/>
      <c r="X295" s="4"/>
      <c r="Y295" s="4"/>
      <c r="Z295" s="4"/>
      <c r="AA295" s="4"/>
      <c r="AB295" s="4"/>
      <c r="AC295" s="4"/>
    </row>
    <row r="296" spans="1:29" ht="12.75" x14ac:dyDescent="0.2">
      <c r="A296" s="16"/>
      <c r="B296" s="6"/>
      <c r="C296" s="6"/>
      <c r="D296" s="6"/>
      <c r="E296" s="4"/>
      <c r="F296" s="6"/>
      <c r="G296" s="6"/>
      <c r="H296" s="6"/>
      <c r="I296" s="6"/>
      <c r="J296" s="6"/>
      <c r="K296" s="6"/>
      <c r="L296" s="6"/>
      <c r="M296" s="6"/>
      <c r="N296" s="6"/>
      <c r="O296" s="16"/>
      <c r="P296" s="6"/>
      <c r="Q296" s="4"/>
      <c r="R296" s="4"/>
      <c r="S296" s="4"/>
      <c r="T296" s="4"/>
      <c r="U296" s="4"/>
      <c r="V296" s="4"/>
      <c r="W296" s="4"/>
      <c r="X296" s="4"/>
      <c r="Y296" s="4"/>
      <c r="Z296" s="4"/>
      <c r="AA296" s="4"/>
      <c r="AB296" s="4"/>
      <c r="AC296" s="4"/>
    </row>
    <row r="297" spans="1:29" ht="12.75" x14ac:dyDescent="0.2">
      <c r="A297" s="16"/>
      <c r="B297" s="6"/>
      <c r="C297" s="6"/>
      <c r="D297" s="6"/>
      <c r="E297" s="4"/>
      <c r="F297" s="6"/>
      <c r="G297" s="6"/>
      <c r="H297" s="6"/>
      <c r="I297" s="6"/>
      <c r="J297" s="6"/>
      <c r="K297" s="6"/>
      <c r="L297" s="6"/>
      <c r="M297" s="6"/>
      <c r="N297" s="6"/>
      <c r="O297" s="16"/>
      <c r="P297" s="6"/>
      <c r="Q297" s="4"/>
      <c r="R297" s="4"/>
      <c r="S297" s="4"/>
      <c r="T297" s="4"/>
      <c r="U297" s="4"/>
      <c r="V297" s="4"/>
      <c r="W297" s="4"/>
      <c r="X297" s="4"/>
      <c r="Y297" s="4"/>
      <c r="Z297" s="4"/>
      <c r="AA297" s="4"/>
      <c r="AB297" s="4"/>
      <c r="AC297" s="4"/>
    </row>
    <row r="298" spans="1:29" ht="12.75" x14ac:dyDescent="0.2">
      <c r="A298" s="16"/>
      <c r="B298" s="6"/>
      <c r="C298" s="6"/>
      <c r="D298" s="6"/>
      <c r="E298" s="4"/>
      <c r="F298" s="6"/>
      <c r="G298" s="6"/>
      <c r="H298" s="6"/>
      <c r="I298" s="6"/>
      <c r="J298" s="6"/>
      <c r="K298" s="6"/>
      <c r="L298" s="6"/>
      <c r="M298" s="6"/>
      <c r="N298" s="6"/>
      <c r="O298" s="16"/>
      <c r="P298" s="6"/>
      <c r="Q298" s="4"/>
      <c r="R298" s="4"/>
      <c r="S298" s="4"/>
      <c r="T298" s="4"/>
      <c r="U298" s="4"/>
      <c r="V298" s="4"/>
      <c r="W298" s="4"/>
      <c r="X298" s="4"/>
      <c r="Y298" s="4"/>
      <c r="Z298" s="4"/>
      <c r="AA298" s="4"/>
      <c r="AB298" s="4"/>
      <c r="AC298" s="4"/>
    </row>
    <row r="299" spans="1:29" ht="12.75" x14ac:dyDescent="0.2">
      <c r="A299" s="16"/>
      <c r="B299" s="6"/>
      <c r="C299" s="6"/>
      <c r="D299" s="6"/>
      <c r="E299" s="4"/>
      <c r="F299" s="6"/>
      <c r="G299" s="6"/>
      <c r="H299" s="6"/>
      <c r="I299" s="6"/>
      <c r="J299" s="6"/>
      <c r="K299" s="6"/>
      <c r="L299" s="6"/>
      <c r="M299" s="6"/>
      <c r="N299" s="6"/>
      <c r="O299" s="16"/>
      <c r="P299" s="6"/>
      <c r="Q299" s="4"/>
      <c r="R299" s="4"/>
      <c r="S299" s="4"/>
      <c r="T299" s="4"/>
      <c r="U299" s="4"/>
      <c r="V299" s="4"/>
      <c r="W299" s="4"/>
      <c r="X299" s="4"/>
      <c r="Y299" s="4"/>
      <c r="Z299" s="4"/>
      <c r="AA299" s="4"/>
      <c r="AB299" s="4"/>
      <c r="AC299" s="4"/>
    </row>
    <row r="300" spans="1:29" ht="12.75" x14ac:dyDescent="0.2">
      <c r="A300" s="16"/>
      <c r="B300" s="6"/>
      <c r="C300" s="6"/>
      <c r="D300" s="6"/>
      <c r="E300" s="4"/>
      <c r="F300" s="6"/>
      <c r="G300" s="6"/>
      <c r="H300" s="6"/>
      <c r="I300" s="6"/>
      <c r="J300" s="6"/>
      <c r="K300" s="6"/>
      <c r="L300" s="6"/>
      <c r="M300" s="6"/>
      <c r="N300" s="6"/>
      <c r="O300" s="16"/>
      <c r="P300" s="6"/>
      <c r="Q300" s="4"/>
      <c r="R300" s="4"/>
      <c r="S300" s="4"/>
      <c r="T300" s="4"/>
      <c r="U300" s="4"/>
      <c r="V300" s="4"/>
      <c r="W300" s="4"/>
      <c r="X300" s="4"/>
      <c r="Y300" s="4"/>
      <c r="Z300" s="4"/>
      <c r="AA300" s="4"/>
      <c r="AB300" s="4"/>
      <c r="AC300" s="4"/>
    </row>
    <row r="301" spans="1:29" ht="12.75" x14ac:dyDescent="0.2">
      <c r="A301" s="16"/>
      <c r="B301" s="6"/>
      <c r="C301" s="6"/>
      <c r="D301" s="6"/>
      <c r="E301" s="4"/>
      <c r="F301" s="6"/>
      <c r="G301" s="6"/>
      <c r="H301" s="6"/>
      <c r="I301" s="6"/>
      <c r="J301" s="6"/>
      <c r="K301" s="6"/>
      <c r="L301" s="6"/>
      <c r="M301" s="6"/>
      <c r="N301" s="6"/>
      <c r="O301" s="16"/>
      <c r="P301" s="6"/>
      <c r="Q301" s="4"/>
      <c r="R301" s="4"/>
      <c r="S301" s="4"/>
      <c r="T301" s="4"/>
      <c r="U301" s="4"/>
      <c r="V301" s="4"/>
      <c r="W301" s="4"/>
      <c r="X301" s="4"/>
      <c r="Y301" s="4"/>
      <c r="Z301" s="4"/>
      <c r="AA301" s="4"/>
      <c r="AB301" s="4"/>
      <c r="AC301" s="4"/>
    </row>
    <row r="302" spans="1:29" ht="12.75" x14ac:dyDescent="0.2">
      <c r="A302" s="16"/>
      <c r="B302" s="6"/>
      <c r="C302" s="6"/>
      <c r="D302" s="6"/>
      <c r="E302" s="4"/>
      <c r="F302" s="6"/>
      <c r="G302" s="6"/>
      <c r="H302" s="6"/>
      <c r="I302" s="6"/>
      <c r="J302" s="6"/>
      <c r="K302" s="6"/>
      <c r="L302" s="6"/>
      <c r="M302" s="6"/>
      <c r="N302" s="6"/>
      <c r="O302" s="16"/>
      <c r="P302" s="6"/>
      <c r="Q302" s="4"/>
      <c r="R302" s="4"/>
      <c r="S302" s="4"/>
      <c r="T302" s="4"/>
      <c r="U302" s="4"/>
      <c r="V302" s="4"/>
      <c r="W302" s="4"/>
      <c r="X302" s="4"/>
      <c r="Y302" s="4"/>
      <c r="Z302" s="4"/>
      <c r="AA302" s="4"/>
      <c r="AB302" s="4"/>
      <c r="AC302" s="4"/>
    </row>
    <row r="303" spans="1:29" ht="12.75" x14ac:dyDescent="0.2">
      <c r="A303" s="16"/>
      <c r="B303" s="6"/>
      <c r="C303" s="6"/>
      <c r="D303" s="6"/>
      <c r="E303" s="4"/>
      <c r="F303" s="6"/>
      <c r="G303" s="6"/>
      <c r="H303" s="6"/>
      <c r="I303" s="6"/>
      <c r="J303" s="6"/>
      <c r="K303" s="6"/>
      <c r="L303" s="6"/>
      <c r="M303" s="6"/>
      <c r="N303" s="6"/>
      <c r="O303" s="16"/>
      <c r="P303" s="6"/>
      <c r="Q303" s="4"/>
      <c r="R303" s="4"/>
      <c r="S303" s="4"/>
      <c r="T303" s="4"/>
      <c r="U303" s="4"/>
      <c r="V303" s="4"/>
      <c r="W303" s="4"/>
      <c r="X303" s="4"/>
      <c r="Y303" s="4"/>
      <c r="Z303" s="4"/>
      <c r="AA303" s="4"/>
      <c r="AB303" s="4"/>
      <c r="AC303" s="4"/>
    </row>
    <row r="304" spans="1:29" ht="12.75" x14ac:dyDescent="0.2">
      <c r="A304" s="16"/>
      <c r="B304" s="6"/>
      <c r="C304" s="6"/>
      <c r="D304" s="6"/>
      <c r="E304" s="4"/>
      <c r="F304" s="6"/>
      <c r="G304" s="6"/>
      <c r="H304" s="6"/>
      <c r="I304" s="6"/>
      <c r="J304" s="6"/>
      <c r="K304" s="6"/>
      <c r="L304" s="6"/>
      <c r="M304" s="6"/>
      <c r="N304" s="6"/>
      <c r="O304" s="16"/>
      <c r="P304" s="6"/>
      <c r="Q304" s="4"/>
      <c r="R304" s="4"/>
      <c r="S304" s="4"/>
      <c r="T304" s="4"/>
      <c r="U304" s="4"/>
      <c r="V304" s="4"/>
      <c r="W304" s="4"/>
      <c r="X304" s="4"/>
      <c r="Y304" s="4"/>
      <c r="Z304" s="4"/>
      <c r="AA304" s="4"/>
      <c r="AB304" s="4"/>
      <c r="AC304" s="4"/>
    </row>
    <row r="305" spans="1:29" ht="12.75" x14ac:dyDescent="0.2">
      <c r="A305" s="16"/>
      <c r="B305" s="6"/>
      <c r="C305" s="6"/>
      <c r="D305" s="6"/>
      <c r="E305" s="4"/>
      <c r="F305" s="6"/>
      <c r="G305" s="6"/>
      <c r="H305" s="6"/>
      <c r="I305" s="6"/>
      <c r="J305" s="6"/>
      <c r="K305" s="6"/>
      <c r="L305" s="6"/>
      <c r="M305" s="6"/>
      <c r="N305" s="6"/>
      <c r="O305" s="16"/>
      <c r="P305" s="6"/>
      <c r="Q305" s="4"/>
      <c r="R305" s="4"/>
      <c r="S305" s="4"/>
      <c r="T305" s="4"/>
      <c r="U305" s="4"/>
      <c r="V305" s="4"/>
      <c r="W305" s="4"/>
      <c r="X305" s="4"/>
      <c r="Y305" s="4"/>
      <c r="Z305" s="4"/>
      <c r="AA305" s="4"/>
      <c r="AB305" s="4"/>
      <c r="AC305" s="4"/>
    </row>
    <row r="306" spans="1:29" ht="12.75" x14ac:dyDescent="0.2">
      <c r="A306" s="16"/>
      <c r="B306" s="6"/>
      <c r="C306" s="6"/>
      <c r="D306" s="6"/>
      <c r="E306" s="4"/>
      <c r="F306" s="6"/>
      <c r="G306" s="6"/>
      <c r="H306" s="6"/>
      <c r="I306" s="6"/>
      <c r="J306" s="6"/>
      <c r="K306" s="6"/>
      <c r="L306" s="6"/>
      <c r="M306" s="6"/>
      <c r="N306" s="6"/>
      <c r="O306" s="16"/>
      <c r="P306" s="6"/>
      <c r="Q306" s="4"/>
      <c r="R306" s="4"/>
      <c r="S306" s="4"/>
      <c r="T306" s="4"/>
      <c r="U306" s="4"/>
      <c r="V306" s="4"/>
      <c r="W306" s="4"/>
      <c r="X306" s="4"/>
      <c r="Y306" s="4"/>
      <c r="Z306" s="4"/>
      <c r="AA306" s="4"/>
      <c r="AB306" s="4"/>
      <c r="AC306" s="4"/>
    </row>
    <row r="307" spans="1:29" ht="12.75" x14ac:dyDescent="0.2">
      <c r="A307" s="16"/>
      <c r="B307" s="6"/>
      <c r="C307" s="6"/>
      <c r="D307" s="6"/>
      <c r="E307" s="4"/>
      <c r="F307" s="6"/>
      <c r="G307" s="6"/>
      <c r="H307" s="6"/>
      <c r="I307" s="6"/>
      <c r="J307" s="6"/>
      <c r="K307" s="6"/>
      <c r="L307" s="6"/>
      <c r="M307" s="6"/>
      <c r="N307" s="6"/>
      <c r="O307" s="16"/>
      <c r="P307" s="6"/>
      <c r="Q307" s="4"/>
      <c r="R307" s="4"/>
      <c r="S307" s="4"/>
      <c r="T307" s="4"/>
      <c r="U307" s="4"/>
      <c r="V307" s="4"/>
      <c r="W307" s="4"/>
      <c r="X307" s="4"/>
      <c r="Y307" s="4"/>
      <c r="Z307" s="4"/>
      <c r="AA307" s="4"/>
      <c r="AB307" s="4"/>
      <c r="AC307" s="4"/>
    </row>
    <row r="308" spans="1:29" ht="12.75" x14ac:dyDescent="0.2">
      <c r="A308" s="16"/>
      <c r="B308" s="6"/>
      <c r="C308" s="6"/>
      <c r="D308" s="6"/>
      <c r="E308" s="4"/>
      <c r="F308" s="6"/>
      <c r="G308" s="6"/>
      <c r="H308" s="6"/>
      <c r="I308" s="6"/>
      <c r="J308" s="6"/>
      <c r="K308" s="6"/>
      <c r="L308" s="6"/>
      <c r="M308" s="6"/>
      <c r="N308" s="6"/>
      <c r="O308" s="16"/>
      <c r="P308" s="6"/>
      <c r="Q308" s="4"/>
      <c r="R308" s="4"/>
      <c r="S308" s="4"/>
      <c r="T308" s="4"/>
      <c r="U308" s="4"/>
      <c r="V308" s="4"/>
      <c r="W308" s="4"/>
      <c r="X308" s="4"/>
      <c r="Y308" s="4"/>
      <c r="Z308" s="4"/>
      <c r="AA308" s="4"/>
      <c r="AB308" s="4"/>
      <c r="AC308" s="4"/>
    </row>
    <row r="309" spans="1:29" ht="12.75" x14ac:dyDescent="0.2">
      <c r="A309" s="16"/>
      <c r="B309" s="6"/>
      <c r="C309" s="6"/>
      <c r="D309" s="6"/>
      <c r="E309" s="4"/>
      <c r="F309" s="6"/>
      <c r="G309" s="6"/>
      <c r="H309" s="6"/>
      <c r="I309" s="6"/>
      <c r="J309" s="6"/>
      <c r="K309" s="6"/>
      <c r="L309" s="6"/>
      <c r="M309" s="6"/>
      <c r="N309" s="6"/>
      <c r="O309" s="16"/>
      <c r="P309" s="6"/>
      <c r="Q309" s="4"/>
      <c r="R309" s="4"/>
      <c r="S309" s="4"/>
      <c r="T309" s="4"/>
      <c r="U309" s="4"/>
      <c r="V309" s="4"/>
      <c r="W309" s="4"/>
      <c r="X309" s="4"/>
      <c r="Y309" s="4"/>
      <c r="Z309" s="4"/>
      <c r="AA309" s="4"/>
      <c r="AB309" s="4"/>
      <c r="AC309" s="4"/>
    </row>
    <row r="310" spans="1:29" ht="12.75" x14ac:dyDescent="0.2">
      <c r="A310" s="16"/>
      <c r="B310" s="6"/>
      <c r="C310" s="6"/>
      <c r="D310" s="6"/>
      <c r="E310" s="4"/>
      <c r="F310" s="6"/>
      <c r="G310" s="6"/>
      <c r="H310" s="6"/>
      <c r="I310" s="6"/>
      <c r="J310" s="6"/>
      <c r="K310" s="6"/>
      <c r="L310" s="6"/>
      <c r="M310" s="6"/>
      <c r="N310" s="6"/>
      <c r="O310" s="16"/>
      <c r="P310" s="6"/>
      <c r="Q310" s="4"/>
      <c r="R310" s="4"/>
      <c r="S310" s="4"/>
      <c r="T310" s="4"/>
      <c r="U310" s="4"/>
      <c r="V310" s="4"/>
      <c r="W310" s="4"/>
      <c r="X310" s="4"/>
      <c r="Y310" s="4"/>
      <c r="Z310" s="4"/>
      <c r="AA310" s="4"/>
      <c r="AB310" s="4"/>
      <c r="AC310" s="4"/>
    </row>
    <row r="311" spans="1:29" ht="12.75" x14ac:dyDescent="0.2">
      <c r="A311" s="16"/>
      <c r="B311" s="6"/>
      <c r="C311" s="6"/>
      <c r="D311" s="6"/>
      <c r="E311" s="4"/>
      <c r="F311" s="6"/>
      <c r="G311" s="6"/>
      <c r="H311" s="6"/>
      <c r="I311" s="6"/>
      <c r="J311" s="6"/>
      <c r="K311" s="6"/>
      <c r="L311" s="6"/>
      <c r="M311" s="6"/>
      <c r="N311" s="6"/>
      <c r="O311" s="16"/>
      <c r="P311" s="6"/>
      <c r="Q311" s="4"/>
      <c r="R311" s="4"/>
      <c r="S311" s="4"/>
      <c r="T311" s="4"/>
      <c r="U311" s="4"/>
      <c r="V311" s="4"/>
      <c r="W311" s="4"/>
      <c r="X311" s="4"/>
      <c r="Y311" s="4"/>
      <c r="Z311" s="4"/>
      <c r="AA311" s="4"/>
      <c r="AB311" s="4"/>
      <c r="AC311" s="4"/>
    </row>
    <row r="312" spans="1:29" ht="12.75" x14ac:dyDescent="0.2">
      <c r="A312" s="16"/>
      <c r="B312" s="6"/>
      <c r="C312" s="6"/>
      <c r="D312" s="6"/>
      <c r="E312" s="4"/>
      <c r="F312" s="6"/>
      <c r="G312" s="6"/>
      <c r="H312" s="6"/>
      <c r="I312" s="6"/>
      <c r="J312" s="6"/>
      <c r="K312" s="6"/>
      <c r="L312" s="6"/>
      <c r="M312" s="6"/>
      <c r="N312" s="6"/>
      <c r="O312" s="16"/>
      <c r="P312" s="6"/>
      <c r="Q312" s="4"/>
      <c r="R312" s="4"/>
      <c r="S312" s="4"/>
      <c r="T312" s="4"/>
      <c r="U312" s="4"/>
      <c r="V312" s="4"/>
      <c r="W312" s="4"/>
      <c r="X312" s="4"/>
      <c r="Y312" s="4"/>
      <c r="Z312" s="4"/>
      <c r="AA312" s="4"/>
      <c r="AB312" s="4"/>
      <c r="AC312" s="4"/>
    </row>
    <row r="313" spans="1:29" ht="12.75" x14ac:dyDescent="0.2">
      <c r="A313" s="16"/>
      <c r="B313" s="6"/>
      <c r="C313" s="6"/>
      <c r="D313" s="6"/>
      <c r="E313" s="4"/>
      <c r="F313" s="6"/>
      <c r="G313" s="6"/>
      <c r="H313" s="6"/>
      <c r="I313" s="6"/>
      <c r="J313" s="6"/>
      <c r="K313" s="6"/>
      <c r="L313" s="6"/>
      <c r="M313" s="6"/>
      <c r="N313" s="6"/>
      <c r="O313" s="16"/>
      <c r="P313" s="6"/>
      <c r="Q313" s="4"/>
      <c r="R313" s="4"/>
      <c r="S313" s="4"/>
      <c r="T313" s="4"/>
      <c r="U313" s="4"/>
      <c r="V313" s="4"/>
      <c r="W313" s="4"/>
      <c r="X313" s="4"/>
      <c r="Y313" s="4"/>
      <c r="Z313" s="4"/>
      <c r="AA313" s="4"/>
      <c r="AB313" s="4"/>
      <c r="AC313" s="4"/>
    </row>
    <row r="314" spans="1:29" ht="12.75" x14ac:dyDescent="0.2">
      <c r="A314" s="16"/>
      <c r="B314" s="6"/>
      <c r="C314" s="6"/>
      <c r="D314" s="6"/>
      <c r="E314" s="4"/>
      <c r="F314" s="6"/>
      <c r="G314" s="6"/>
      <c r="H314" s="6"/>
      <c r="I314" s="6"/>
      <c r="J314" s="6"/>
      <c r="K314" s="6"/>
      <c r="L314" s="6"/>
      <c r="M314" s="6"/>
      <c r="N314" s="6"/>
      <c r="O314" s="16"/>
      <c r="P314" s="6"/>
      <c r="Q314" s="4"/>
      <c r="R314" s="4"/>
      <c r="S314" s="4"/>
      <c r="T314" s="4"/>
      <c r="U314" s="4"/>
      <c r="V314" s="4"/>
      <c r="W314" s="4"/>
      <c r="X314" s="4"/>
      <c r="Y314" s="4"/>
      <c r="Z314" s="4"/>
      <c r="AA314" s="4"/>
      <c r="AB314" s="4"/>
      <c r="AC314" s="4"/>
    </row>
    <row r="315" spans="1:29" ht="12.75" x14ac:dyDescent="0.2">
      <c r="A315" s="16"/>
      <c r="B315" s="6"/>
      <c r="C315" s="6"/>
      <c r="D315" s="6"/>
      <c r="E315" s="4"/>
      <c r="F315" s="6"/>
      <c r="G315" s="6"/>
      <c r="H315" s="6"/>
      <c r="I315" s="6"/>
      <c r="J315" s="6"/>
      <c r="K315" s="6"/>
      <c r="L315" s="6"/>
      <c r="M315" s="6"/>
      <c r="N315" s="6"/>
      <c r="O315" s="16"/>
      <c r="P315" s="6"/>
      <c r="Q315" s="4"/>
      <c r="R315" s="4"/>
      <c r="S315" s="4"/>
      <c r="T315" s="4"/>
      <c r="U315" s="4"/>
      <c r="V315" s="4"/>
      <c r="W315" s="4"/>
      <c r="X315" s="4"/>
      <c r="Y315" s="4"/>
      <c r="Z315" s="4"/>
      <c r="AA315" s="4"/>
      <c r="AB315" s="4"/>
      <c r="AC315" s="4"/>
    </row>
    <row r="316" spans="1:29" ht="12.75" x14ac:dyDescent="0.2">
      <c r="A316" s="16"/>
      <c r="B316" s="6"/>
      <c r="C316" s="6"/>
      <c r="D316" s="6"/>
      <c r="E316" s="4"/>
      <c r="F316" s="6"/>
      <c r="G316" s="6"/>
      <c r="H316" s="6"/>
      <c r="I316" s="6"/>
      <c r="J316" s="6"/>
      <c r="K316" s="6"/>
      <c r="L316" s="6"/>
      <c r="M316" s="6"/>
      <c r="N316" s="6"/>
      <c r="O316" s="16"/>
      <c r="P316" s="6"/>
      <c r="Q316" s="4"/>
      <c r="R316" s="4"/>
      <c r="S316" s="4"/>
      <c r="T316" s="4"/>
      <c r="U316" s="4"/>
      <c r="V316" s="4"/>
      <c r="W316" s="4"/>
      <c r="X316" s="4"/>
      <c r="Y316" s="4"/>
      <c r="Z316" s="4"/>
      <c r="AA316" s="4"/>
      <c r="AB316" s="4"/>
      <c r="AC316" s="4"/>
    </row>
    <row r="317" spans="1:29" ht="12.75" x14ac:dyDescent="0.2">
      <c r="A317" s="16"/>
      <c r="B317" s="6"/>
      <c r="C317" s="6"/>
      <c r="D317" s="6"/>
      <c r="E317" s="4"/>
      <c r="F317" s="6"/>
      <c r="G317" s="6"/>
      <c r="H317" s="6"/>
      <c r="I317" s="6"/>
      <c r="J317" s="6"/>
      <c r="K317" s="6"/>
      <c r="L317" s="6"/>
      <c r="M317" s="6"/>
      <c r="N317" s="6"/>
      <c r="O317" s="16"/>
      <c r="P317" s="6"/>
      <c r="Q317" s="4"/>
      <c r="R317" s="4"/>
      <c r="S317" s="4"/>
      <c r="T317" s="4"/>
      <c r="U317" s="4"/>
      <c r="V317" s="4"/>
      <c r="W317" s="4"/>
      <c r="X317" s="4"/>
      <c r="Y317" s="4"/>
      <c r="Z317" s="4"/>
      <c r="AA317" s="4"/>
      <c r="AB317" s="4"/>
      <c r="AC317" s="4"/>
    </row>
    <row r="318" spans="1:29" ht="12.75" x14ac:dyDescent="0.2">
      <c r="A318" s="16"/>
      <c r="B318" s="6"/>
      <c r="C318" s="6"/>
      <c r="D318" s="6"/>
      <c r="E318" s="4"/>
      <c r="F318" s="6"/>
      <c r="G318" s="6"/>
      <c r="H318" s="6"/>
      <c r="I318" s="6"/>
      <c r="J318" s="6"/>
      <c r="K318" s="6"/>
      <c r="L318" s="6"/>
      <c r="M318" s="6"/>
      <c r="N318" s="6"/>
      <c r="O318" s="16"/>
      <c r="P318" s="6"/>
      <c r="Q318" s="4"/>
      <c r="R318" s="4"/>
      <c r="S318" s="4"/>
      <c r="T318" s="4"/>
      <c r="U318" s="4"/>
      <c r="V318" s="4"/>
      <c r="W318" s="4"/>
      <c r="X318" s="4"/>
      <c r="Y318" s="4"/>
      <c r="Z318" s="4"/>
      <c r="AA318" s="4"/>
      <c r="AB318" s="4"/>
      <c r="AC318" s="4"/>
    </row>
    <row r="319" spans="1:29" ht="12.75" x14ac:dyDescent="0.2">
      <c r="A319" s="16"/>
      <c r="B319" s="6"/>
      <c r="C319" s="6"/>
      <c r="D319" s="6"/>
      <c r="E319" s="4"/>
      <c r="F319" s="6"/>
      <c r="G319" s="6"/>
      <c r="H319" s="6"/>
      <c r="I319" s="6"/>
      <c r="J319" s="6"/>
      <c r="K319" s="6"/>
      <c r="L319" s="6"/>
      <c r="M319" s="6"/>
      <c r="N319" s="6"/>
      <c r="O319" s="16"/>
      <c r="P319" s="6"/>
      <c r="Q319" s="4"/>
      <c r="R319" s="4"/>
      <c r="S319" s="4"/>
      <c r="T319" s="4"/>
      <c r="U319" s="4"/>
      <c r="V319" s="4"/>
      <c r="W319" s="4"/>
      <c r="X319" s="4"/>
      <c r="Y319" s="4"/>
      <c r="Z319" s="4"/>
      <c r="AA319" s="4"/>
      <c r="AB319" s="4"/>
      <c r="AC319" s="4"/>
    </row>
    <row r="320" spans="1:29" ht="12.75" x14ac:dyDescent="0.2">
      <c r="A320" s="16"/>
      <c r="B320" s="6"/>
      <c r="C320" s="6"/>
      <c r="D320" s="6"/>
      <c r="E320" s="4"/>
      <c r="F320" s="6"/>
      <c r="G320" s="6"/>
      <c r="H320" s="6"/>
      <c r="I320" s="6"/>
      <c r="J320" s="6"/>
      <c r="K320" s="6"/>
      <c r="L320" s="6"/>
      <c r="M320" s="6"/>
      <c r="N320" s="6"/>
      <c r="O320" s="16"/>
      <c r="P320" s="6"/>
      <c r="Q320" s="4"/>
      <c r="R320" s="4"/>
      <c r="S320" s="4"/>
      <c r="T320" s="4"/>
      <c r="U320" s="4"/>
      <c r="V320" s="4"/>
      <c r="W320" s="4"/>
      <c r="X320" s="4"/>
      <c r="Y320" s="4"/>
      <c r="Z320" s="4"/>
      <c r="AA320" s="4"/>
      <c r="AB320" s="4"/>
      <c r="AC320" s="4"/>
    </row>
    <row r="321" spans="1:29" ht="12.75" x14ac:dyDescent="0.2">
      <c r="A321" s="16"/>
      <c r="B321" s="6"/>
      <c r="C321" s="6"/>
      <c r="D321" s="6"/>
      <c r="E321" s="4"/>
      <c r="F321" s="6"/>
      <c r="G321" s="6"/>
      <c r="H321" s="6"/>
      <c r="I321" s="6"/>
      <c r="J321" s="6"/>
      <c r="K321" s="6"/>
      <c r="L321" s="6"/>
      <c r="M321" s="6"/>
      <c r="N321" s="6"/>
      <c r="O321" s="16"/>
      <c r="P321" s="6"/>
      <c r="Q321" s="4"/>
      <c r="R321" s="4"/>
      <c r="S321" s="4"/>
      <c r="T321" s="4"/>
      <c r="U321" s="4"/>
      <c r="V321" s="4"/>
      <c r="W321" s="4"/>
      <c r="X321" s="4"/>
      <c r="Y321" s="4"/>
      <c r="Z321" s="4"/>
      <c r="AA321" s="4"/>
      <c r="AB321" s="4"/>
      <c r="AC321" s="4"/>
    </row>
    <row r="322" spans="1:29" ht="12.75" x14ac:dyDescent="0.2">
      <c r="A322" s="16"/>
      <c r="B322" s="6"/>
      <c r="C322" s="6"/>
      <c r="D322" s="6"/>
      <c r="E322" s="4"/>
      <c r="F322" s="6"/>
      <c r="G322" s="6"/>
      <c r="H322" s="6"/>
      <c r="I322" s="6"/>
      <c r="J322" s="6"/>
      <c r="K322" s="6"/>
      <c r="L322" s="6"/>
      <c r="M322" s="6"/>
      <c r="N322" s="6"/>
      <c r="O322" s="16"/>
      <c r="P322" s="6"/>
      <c r="Q322" s="4"/>
      <c r="R322" s="4"/>
      <c r="S322" s="4"/>
      <c r="T322" s="4"/>
      <c r="U322" s="4"/>
      <c r="V322" s="4"/>
      <c r="W322" s="4"/>
      <c r="X322" s="4"/>
      <c r="Y322" s="4"/>
      <c r="Z322" s="4"/>
      <c r="AA322" s="4"/>
      <c r="AB322" s="4"/>
      <c r="AC322" s="4"/>
    </row>
    <row r="323" spans="1:29" ht="12.75" x14ac:dyDescent="0.2">
      <c r="A323" s="16"/>
      <c r="B323" s="6"/>
      <c r="C323" s="6"/>
      <c r="D323" s="6"/>
      <c r="E323" s="4"/>
      <c r="F323" s="6"/>
      <c r="G323" s="6"/>
      <c r="H323" s="6"/>
      <c r="I323" s="6"/>
      <c r="J323" s="6"/>
      <c r="K323" s="6"/>
      <c r="L323" s="6"/>
      <c r="M323" s="6"/>
      <c r="N323" s="6"/>
      <c r="O323" s="16"/>
      <c r="P323" s="6"/>
      <c r="Q323" s="4"/>
      <c r="R323" s="4"/>
      <c r="S323" s="4"/>
      <c r="T323" s="4"/>
      <c r="U323" s="4"/>
      <c r="V323" s="4"/>
      <c r="W323" s="4"/>
      <c r="X323" s="4"/>
      <c r="Y323" s="4"/>
      <c r="Z323" s="4"/>
      <c r="AA323" s="4"/>
      <c r="AB323" s="4"/>
      <c r="AC323" s="4"/>
    </row>
    <row r="324" spans="1:29" ht="12.75" x14ac:dyDescent="0.2">
      <c r="A324" s="16"/>
      <c r="B324" s="6"/>
      <c r="C324" s="6"/>
      <c r="D324" s="6"/>
      <c r="E324" s="4"/>
      <c r="F324" s="6"/>
      <c r="G324" s="6"/>
      <c r="H324" s="6"/>
      <c r="I324" s="6"/>
      <c r="J324" s="6"/>
      <c r="K324" s="6"/>
      <c r="L324" s="6"/>
      <c r="M324" s="6"/>
      <c r="N324" s="6"/>
      <c r="O324" s="16"/>
      <c r="P324" s="6"/>
      <c r="Q324" s="4"/>
      <c r="R324" s="4"/>
      <c r="S324" s="4"/>
      <c r="T324" s="4"/>
      <c r="U324" s="4"/>
      <c r="V324" s="4"/>
      <c r="W324" s="4"/>
      <c r="X324" s="4"/>
      <c r="Y324" s="4"/>
      <c r="Z324" s="4"/>
      <c r="AA324" s="4"/>
      <c r="AB324" s="4"/>
      <c r="AC324" s="4"/>
    </row>
    <row r="325" spans="1:29" ht="12.75" x14ac:dyDescent="0.2">
      <c r="A325" s="16"/>
      <c r="B325" s="6"/>
      <c r="C325" s="6"/>
      <c r="D325" s="6"/>
      <c r="E325" s="4"/>
      <c r="F325" s="6"/>
      <c r="G325" s="6"/>
      <c r="H325" s="6"/>
      <c r="I325" s="6"/>
      <c r="J325" s="6"/>
      <c r="K325" s="6"/>
      <c r="L325" s="6"/>
      <c r="M325" s="6"/>
      <c r="N325" s="6"/>
      <c r="O325" s="16"/>
      <c r="P325" s="6"/>
      <c r="Q325" s="4"/>
      <c r="R325" s="4"/>
      <c r="S325" s="4"/>
      <c r="T325" s="4"/>
      <c r="U325" s="4"/>
      <c r="V325" s="4"/>
      <c r="W325" s="4"/>
      <c r="X325" s="4"/>
      <c r="Y325" s="4"/>
      <c r="Z325" s="4"/>
      <c r="AA325" s="4"/>
      <c r="AB325" s="4"/>
      <c r="AC325" s="4"/>
    </row>
    <row r="326" spans="1:29" ht="12.75" x14ac:dyDescent="0.2">
      <c r="A326" s="16"/>
      <c r="B326" s="6"/>
      <c r="C326" s="6"/>
      <c r="D326" s="6"/>
      <c r="E326" s="4"/>
      <c r="F326" s="6"/>
      <c r="G326" s="6"/>
      <c r="H326" s="6"/>
      <c r="I326" s="6"/>
      <c r="J326" s="6"/>
      <c r="K326" s="6"/>
      <c r="L326" s="6"/>
      <c r="M326" s="6"/>
      <c r="N326" s="6"/>
      <c r="O326" s="16"/>
      <c r="P326" s="6"/>
      <c r="Q326" s="4"/>
      <c r="R326" s="4"/>
      <c r="S326" s="4"/>
      <c r="T326" s="4"/>
      <c r="U326" s="4"/>
      <c r="V326" s="4"/>
      <c r="W326" s="4"/>
      <c r="X326" s="4"/>
      <c r="Y326" s="4"/>
      <c r="Z326" s="4"/>
      <c r="AA326" s="4"/>
      <c r="AB326" s="4"/>
      <c r="AC326" s="4"/>
    </row>
    <row r="327" spans="1:29" ht="12.75" x14ac:dyDescent="0.2">
      <c r="A327" s="16"/>
      <c r="B327" s="6"/>
      <c r="C327" s="6"/>
      <c r="D327" s="6"/>
      <c r="E327" s="4"/>
      <c r="F327" s="6"/>
      <c r="G327" s="6"/>
      <c r="H327" s="6"/>
      <c r="I327" s="6"/>
      <c r="J327" s="6"/>
      <c r="K327" s="6"/>
      <c r="L327" s="6"/>
      <c r="M327" s="6"/>
      <c r="N327" s="6"/>
      <c r="O327" s="16"/>
      <c r="P327" s="6"/>
      <c r="Q327" s="4"/>
      <c r="R327" s="4"/>
      <c r="S327" s="4"/>
      <c r="T327" s="4"/>
      <c r="U327" s="4"/>
      <c r="V327" s="4"/>
      <c r="W327" s="4"/>
      <c r="X327" s="4"/>
      <c r="Y327" s="4"/>
      <c r="Z327" s="4"/>
      <c r="AA327" s="4"/>
      <c r="AB327" s="4"/>
      <c r="AC327" s="4"/>
    </row>
    <row r="328" spans="1:29" ht="12.75" x14ac:dyDescent="0.2">
      <c r="A328" s="16"/>
      <c r="B328" s="6"/>
      <c r="C328" s="6"/>
      <c r="D328" s="6"/>
      <c r="E328" s="4"/>
      <c r="F328" s="6"/>
      <c r="G328" s="6"/>
      <c r="H328" s="6"/>
      <c r="I328" s="6"/>
      <c r="J328" s="6"/>
      <c r="K328" s="6"/>
      <c r="L328" s="6"/>
      <c r="M328" s="6"/>
      <c r="N328" s="6"/>
      <c r="O328" s="16"/>
      <c r="P328" s="6"/>
      <c r="Q328" s="4"/>
      <c r="R328" s="4"/>
      <c r="S328" s="4"/>
      <c r="T328" s="4"/>
      <c r="U328" s="4"/>
      <c r="V328" s="4"/>
      <c r="W328" s="4"/>
      <c r="X328" s="4"/>
      <c r="Y328" s="4"/>
      <c r="Z328" s="4"/>
      <c r="AA328" s="4"/>
      <c r="AB328" s="4"/>
      <c r="AC328" s="4"/>
    </row>
    <row r="329" spans="1:29" ht="12.75" x14ac:dyDescent="0.2">
      <c r="A329" s="16"/>
      <c r="B329" s="6"/>
      <c r="C329" s="6"/>
      <c r="D329" s="6"/>
      <c r="E329" s="4"/>
      <c r="F329" s="6"/>
      <c r="G329" s="6"/>
      <c r="H329" s="6"/>
      <c r="I329" s="6"/>
      <c r="J329" s="6"/>
      <c r="K329" s="6"/>
      <c r="L329" s="6"/>
      <c r="M329" s="6"/>
      <c r="N329" s="6"/>
      <c r="O329" s="16"/>
      <c r="P329" s="6"/>
      <c r="Q329" s="4"/>
      <c r="R329" s="4"/>
      <c r="S329" s="4"/>
      <c r="T329" s="4"/>
      <c r="U329" s="4"/>
      <c r="V329" s="4"/>
      <c r="W329" s="4"/>
      <c r="X329" s="4"/>
      <c r="Y329" s="4"/>
      <c r="Z329" s="4"/>
      <c r="AA329" s="4"/>
      <c r="AB329" s="4"/>
      <c r="AC329" s="4"/>
    </row>
    <row r="330" spans="1:29" ht="12.75" x14ac:dyDescent="0.2">
      <c r="A330" s="16"/>
      <c r="B330" s="6"/>
      <c r="C330" s="6"/>
      <c r="D330" s="6"/>
      <c r="E330" s="4"/>
      <c r="F330" s="6"/>
      <c r="G330" s="6"/>
      <c r="H330" s="6"/>
      <c r="I330" s="6"/>
      <c r="J330" s="6"/>
      <c r="K330" s="6"/>
      <c r="L330" s="6"/>
      <c r="M330" s="6"/>
      <c r="N330" s="6"/>
      <c r="O330" s="16"/>
      <c r="P330" s="6"/>
      <c r="Q330" s="4"/>
      <c r="R330" s="4"/>
      <c r="S330" s="4"/>
      <c r="T330" s="4"/>
      <c r="U330" s="4"/>
      <c r="V330" s="4"/>
      <c r="W330" s="4"/>
      <c r="X330" s="4"/>
      <c r="Y330" s="4"/>
      <c r="Z330" s="4"/>
      <c r="AA330" s="4"/>
      <c r="AB330" s="4"/>
      <c r="AC330" s="4"/>
    </row>
    <row r="331" spans="1:29" ht="12.75" x14ac:dyDescent="0.2">
      <c r="A331" s="16"/>
      <c r="B331" s="6"/>
      <c r="C331" s="6"/>
      <c r="D331" s="6"/>
      <c r="E331" s="4"/>
      <c r="F331" s="6"/>
      <c r="G331" s="6"/>
      <c r="H331" s="6"/>
      <c r="I331" s="6"/>
      <c r="J331" s="6"/>
      <c r="K331" s="6"/>
      <c r="L331" s="6"/>
      <c r="M331" s="6"/>
      <c r="N331" s="6"/>
      <c r="O331" s="16"/>
      <c r="P331" s="6"/>
      <c r="Q331" s="4"/>
      <c r="R331" s="4"/>
      <c r="S331" s="4"/>
      <c r="T331" s="4"/>
      <c r="U331" s="4"/>
      <c r="V331" s="4"/>
      <c r="W331" s="4"/>
      <c r="X331" s="4"/>
      <c r="Y331" s="4"/>
      <c r="Z331" s="4"/>
      <c r="AA331" s="4"/>
      <c r="AB331" s="4"/>
      <c r="AC331" s="4"/>
    </row>
    <row r="332" spans="1:29" ht="12.75" x14ac:dyDescent="0.2">
      <c r="A332" s="16"/>
      <c r="B332" s="6"/>
      <c r="C332" s="6"/>
      <c r="D332" s="6"/>
      <c r="E332" s="4"/>
      <c r="F332" s="6"/>
      <c r="G332" s="6"/>
      <c r="H332" s="6"/>
      <c r="I332" s="6"/>
      <c r="J332" s="6"/>
      <c r="K332" s="6"/>
      <c r="L332" s="6"/>
      <c r="M332" s="6"/>
      <c r="N332" s="6"/>
      <c r="O332" s="16"/>
      <c r="P332" s="6"/>
      <c r="Q332" s="4"/>
      <c r="R332" s="4"/>
      <c r="S332" s="4"/>
      <c r="T332" s="4"/>
      <c r="U332" s="4"/>
      <c r="V332" s="4"/>
      <c r="W332" s="4"/>
      <c r="X332" s="4"/>
      <c r="Y332" s="4"/>
      <c r="Z332" s="4"/>
      <c r="AA332" s="4"/>
      <c r="AB332" s="4"/>
      <c r="AC332" s="4"/>
    </row>
    <row r="333" spans="1:29" ht="12.75" x14ac:dyDescent="0.2">
      <c r="A333" s="16"/>
      <c r="B333" s="6"/>
      <c r="C333" s="6"/>
      <c r="D333" s="6"/>
      <c r="E333" s="4"/>
      <c r="F333" s="6"/>
      <c r="G333" s="6"/>
      <c r="H333" s="6"/>
      <c r="I333" s="6"/>
      <c r="J333" s="6"/>
      <c r="K333" s="6"/>
      <c r="L333" s="6"/>
      <c r="M333" s="6"/>
      <c r="N333" s="6"/>
      <c r="O333" s="16"/>
      <c r="P333" s="6"/>
      <c r="Q333" s="4"/>
      <c r="R333" s="4"/>
      <c r="S333" s="4"/>
      <c r="T333" s="4"/>
      <c r="U333" s="4"/>
      <c r="V333" s="4"/>
      <c r="W333" s="4"/>
      <c r="X333" s="4"/>
      <c r="Y333" s="4"/>
      <c r="Z333" s="4"/>
      <c r="AA333" s="4"/>
      <c r="AB333" s="4"/>
      <c r="AC333" s="4"/>
    </row>
    <row r="334" spans="1:29" ht="12.75" x14ac:dyDescent="0.2">
      <c r="A334" s="16"/>
      <c r="B334" s="6"/>
      <c r="C334" s="6"/>
      <c r="D334" s="6"/>
      <c r="E334" s="4"/>
      <c r="F334" s="6"/>
      <c r="G334" s="6"/>
      <c r="H334" s="6"/>
      <c r="I334" s="6"/>
      <c r="J334" s="6"/>
      <c r="K334" s="6"/>
      <c r="L334" s="6"/>
      <c r="M334" s="6"/>
      <c r="N334" s="6"/>
      <c r="O334" s="16"/>
      <c r="P334" s="6"/>
      <c r="Q334" s="4"/>
      <c r="R334" s="4"/>
      <c r="S334" s="4"/>
      <c r="T334" s="4"/>
      <c r="U334" s="4"/>
      <c r="V334" s="4"/>
      <c r="W334" s="4"/>
      <c r="X334" s="4"/>
      <c r="Y334" s="4"/>
      <c r="Z334" s="4"/>
      <c r="AA334" s="4"/>
      <c r="AB334" s="4"/>
      <c r="AC334" s="4"/>
    </row>
    <row r="335" spans="1:29" ht="12.75" x14ac:dyDescent="0.2">
      <c r="A335" s="16"/>
      <c r="B335" s="6"/>
      <c r="C335" s="6"/>
      <c r="D335" s="6"/>
      <c r="E335" s="4"/>
      <c r="F335" s="6"/>
      <c r="G335" s="6"/>
      <c r="H335" s="6"/>
      <c r="I335" s="6"/>
      <c r="J335" s="6"/>
      <c r="K335" s="6"/>
      <c r="L335" s="6"/>
      <c r="M335" s="6"/>
      <c r="N335" s="6"/>
      <c r="O335" s="16"/>
      <c r="P335" s="6"/>
      <c r="Q335" s="4"/>
      <c r="R335" s="4"/>
      <c r="S335" s="4"/>
      <c r="T335" s="4"/>
      <c r="U335" s="4"/>
      <c r="V335" s="4"/>
      <c r="W335" s="4"/>
      <c r="X335" s="4"/>
      <c r="Y335" s="4"/>
      <c r="Z335" s="4"/>
      <c r="AA335" s="4"/>
      <c r="AB335" s="4"/>
      <c r="AC335" s="4"/>
    </row>
    <row r="336" spans="1:29" ht="12.75" x14ac:dyDescent="0.2">
      <c r="A336" s="16"/>
      <c r="B336" s="6"/>
      <c r="C336" s="6"/>
      <c r="D336" s="6"/>
      <c r="E336" s="4"/>
      <c r="F336" s="6"/>
      <c r="G336" s="6"/>
      <c r="H336" s="6"/>
      <c r="I336" s="6"/>
      <c r="J336" s="6"/>
      <c r="K336" s="6"/>
      <c r="L336" s="6"/>
      <c r="M336" s="6"/>
      <c r="N336" s="6"/>
      <c r="O336" s="16"/>
      <c r="P336" s="6"/>
      <c r="Q336" s="4"/>
      <c r="R336" s="4"/>
      <c r="S336" s="4"/>
      <c r="T336" s="4"/>
      <c r="U336" s="4"/>
      <c r="V336" s="4"/>
      <c r="W336" s="4"/>
      <c r="X336" s="4"/>
      <c r="Y336" s="4"/>
      <c r="Z336" s="4"/>
      <c r="AA336" s="4"/>
      <c r="AB336" s="4"/>
      <c r="AC336" s="4"/>
    </row>
    <row r="337" spans="1:29" ht="12.75" x14ac:dyDescent="0.2">
      <c r="A337" s="16"/>
      <c r="B337" s="6"/>
      <c r="C337" s="6"/>
      <c r="D337" s="6"/>
      <c r="E337" s="4"/>
      <c r="F337" s="6"/>
      <c r="G337" s="6"/>
      <c r="H337" s="6"/>
      <c r="I337" s="6"/>
      <c r="J337" s="6"/>
      <c r="K337" s="6"/>
      <c r="L337" s="6"/>
      <c r="M337" s="6"/>
      <c r="N337" s="6"/>
      <c r="O337" s="16"/>
      <c r="P337" s="6"/>
      <c r="Q337" s="4"/>
      <c r="R337" s="4"/>
      <c r="S337" s="4"/>
      <c r="T337" s="4"/>
      <c r="U337" s="4"/>
      <c r="V337" s="4"/>
      <c r="W337" s="4"/>
      <c r="X337" s="4"/>
      <c r="Y337" s="4"/>
      <c r="Z337" s="4"/>
      <c r="AA337" s="4"/>
      <c r="AB337" s="4"/>
      <c r="AC337" s="4"/>
    </row>
    <row r="338" spans="1:29" ht="12.75" x14ac:dyDescent="0.2">
      <c r="A338" s="16"/>
      <c r="B338" s="6"/>
      <c r="C338" s="6"/>
      <c r="D338" s="6"/>
      <c r="E338" s="4"/>
      <c r="F338" s="6"/>
      <c r="G338" s="6"/>
      <c r="H338" s="6"/>
      <c r="I338" s="6"/>
      <c r="J338" s="6"/>
      <c r="K338" s="6"/>
      <c r="L338" s="6"/>
      <c r="M338" s="6"/>
      <c r="N338" s="6"/>
      <c r="O338" s="16"/>
      <c r="P338" s="6"/>
      <c r="Q338" s="4"/>
      <c r="R338" s="4"/>
      <c r="S338" s="4"/>
      <c r="T338" s="4"/>
      <c r="U338" s="4"/>
      <c r="V338" s="4"/>
      <c r="W338" s="4"/>
      <c r="X338" s="4"/>
      <c r="Y338" s="4"/>
      <c r="Z338" s="4"/>
      <c r="AA338" s="4"/>
      <c r="AB338" s="4"/>
      <c r="AC338" s="4"/>
    </row>
    <row r="339" spans="1:29" ht="12.75" x14ac:dyDescent="0.2">
      <c r="A339" s="16"/>
      <c r="B339" s="6"/>
      <c r="C339" s="6"/>
      <c r="D339" s="6"/>
      <c r="E339" s="4"/>
      <c r="F339" s="6"/>
      <c r="G339" s="6"/>
      <c r="H339" s="6"/>
      <c r="I339" s="6"/>
      <c r="J339" s="6"/>
      <c r="K339" s="6"/>
      <c r="L339" s="6"/>
      <c r="M339" s="6"/>
      <c r="N339" s="6"/>
      <c r="O339" s="16"/>
      <c r="P339" s="6"/>
      <c r="Q339" s="4"/>
      <c r="R339" s="4"/>
      <c r="S339" s="4"/>
      <c r="T339" s="4"/>
      <c r="U339" s="4"/>
      <c r="V339" s="4"/>
      <c r="W339" s="4"/>
      <c r="X339" s="4"/>
      <c r="Y339" s="4"/>
      <c r="Z339" s="4"/>
      <c r="AA339" s="4"/>
      <c r="AB339" s="4"/>
      <c r="AC339" s="4"/>
    </row>
    <row r="340" spans="1:29" ht="12.75" x14ac:dyDescent="0.2">
      <c r="A340" s="16"/>
      <c r="B340" s="6"/>
      <c r="C340" s="6"/>
      <c r="D340" s="6"/>
      <c r="E340" s="4"/>
      <c r="F340" s="6"/>
      <c r="G340" s="6"/>
      <c r="H340" s="6"/>
      <c r="I340" s="6"/>
      <c r="J340" s="6"/>
      <c r="K340" s="6"/>
      <c r="L340" s="6"/>
      <c r="M340" s="6"/>
      <c r="N340" s="6"/>
      <c r="O340" s="16"/>
      <c r="P340" s="6"/>
      <c r="Q340" s="4"/>
      <c r="R340" s="4"/>
      <c r="S340" s="4"/>
      <c r="T340" s="4"/>
      <c r="U340" s="4"/>
      <c r="V340" s="4"/>
      <c r="W340" s="4"/>
      <c r="X340" s="4"/>
      <c r="Y340" s="4"/>
      <c r="Z340" s="4"/>
      <c r="AA340" s="4"/>
      <c r="AB340" s="4"/>
      <c r="AC340" s="4"/>
    </row>
    <row r="341" spans="1:29" ht="12.75" x14ac:dyDescent="0.2">
      <c r="A341" s="16"/>
      <c r="B341" s="6"/>
      <c r="C341" s="6"/>
      <c r="D341" s="6"/>
      <c r="E341" s="4"/>
      <c r="F341" s="6"/>
      <c r="G341" s="6"/>
      <c r="H341" s="6"/>
      <c r="I341" s="6"/>
      <c r="J341" s="6"/>
      <c r="K341" s="6"/>
      <c r="L341" s="6"/>
      <c r="M341" s="6"/>
      <c r="N341" s="6"/>
      <c r="O341" s="16"/>
      <c r="P341" s="6"/>
      <c r="Q341" s="4"/>
      <c r="R341" s="4"/>
      <c r="S341" s="4"/>
      <c r="T341" s="4"/>
      <c r="U341" s="4"/>
      <c r="V341" s="4"/>
      <c r="W341" s="4"/>
      <c r="X341" s="4"/>
      <c r="Y341" s="4"/>
      <c r="Z341" s="4"/>
      <c r="AA341" s="4"/>
      <c r="AB341" s="4"/>
      <c r="AC341" s="4"/>
    </row>
    <row r="342" spans="1:29" ht="12.75" x14ac:dyDescent="0.2">
      <c r="A342" s="16"/>
      <c r="B342" s="6"/>
      <c r="C342" s="6"/>
      <c r="D342" s="6"/>
      <c r="E342" s="4"/>
      <c r="F342" s="6"/>
      <c r="G342" s="6"/>
      <c r="H342" s="6"/>
      <c r="I342" s="6"/>
      <c r="J342" s="6"/>
      <c r="K342" s="6"/>
      <c r="L342" s="6"/>
      <c r="M342" s="6"/>
      <c r="N342" s="6"/>
      <c r="O342" s="16"/>
      <c r="P342" s="6"/>
      <c r="Q342" s="4"/>
      <c r="R342" s="4"/>
      <c r="S342" s="4"/>
      <c r="T342" s="4"/>
      <c r="U342" s="4"/>
      <c r="V342" s="4"/>
      <c r="W342" s="4"/>
      <c r="X342" s="4"/>
      <c r="Y342" s="4"/>
      <c r="Z342" s="4"/>
      <c r="AA342" s="4"/>
      <c r="AB342" s="4"/>
      <c r="AC342" s="4"/>
    </row>
    <row r="343" spans="1:29" ht="12.75" x14ac:dyDescent="0.2">
      <c r="A343" s="16"/>
      <c r="B343" s="6"/>
      <c r="C343" s="6"/>
      <c r="D343" s="6"/>
      <c r="E343" s="4"/>
      <c r="F343" s="6"/>
      <c r="G343" s="6"/>
      <c r="H343" s="6"/>
      <c r="I343" s="6"/>
      <c r="J343" s="6"/>
      <c r="K343" s="6"/>
      <c r="L343" s="6"/>
      <c r="M343" s="6"/>
      <c r="N343" s="6"/>
      <c r="O343" s="16"/>
      <c r="P343" s="6"/>
      <c r="Q343" s="4"/>
      <c r="R343" s="4"/>
      <c r="S343" s="4"/>
      <c r="T343" s="4"/>
      <c r="U343" s="4"/>
      <c r="V343" s="4"/>
      <c r="W343" s="4"/>
      <c r="X343" s="4"/>
      <c r="Y343" s="4"/>
      <c r="Z343" s="4"/>
      <c r="AA343" s="4"/>
      <c r="AB343" s="4"/>
      <c r="AC343" s="4"/>
    </row>
    <row r="344" spans="1:29" ht="12.75" x14ac:dyDescent="0.2">
      <c r="A344" s="16"/>
      <c r="B344" s="6"/>
      <c r="C344" s="6"/>
      <c r="D344" s="6"/>
      <c r="E344" s="4"/>
      <c r="F344" s="6"/>
      <c r="G344" s="6"/>
      <c r="H344" s="6"/>
      <c r="I344" s="6"/>
      <c r="J344" s="6"/>
      <c r="K344" s="6"/>
      <c r="L344" s="6"/>
      <c r="M344" s="6"/>
      <c r="N344" s="6"/>
      <c r="O344" s="16"/>
      <c r="P344" s="6"/>
      <c r="Q344" s="4"/>
      <c r="R344" s="4"/>
      <c r="S344" s="4"/>
      <c r="T344" s="4"/>
      <c r="U344" s="4"/>
      <c r="V344" s="4"/>
      <c r="W344" s="4"/>
      <c r="X344" s="4"/>
      <c r="Y344" s="4"/>
      <c r="Z344" s="4"/>
      <c r="AA344" s="4"/>
      <c r="AB344" s="4"/>
      <c r="AC344" s="4"/>
    </row>
    <row r="345" spans="1:29" ht="12.75" x14ac:dyDescent="0.2">
      <c r="A345" s="16"/>
      <c r="B345" s="6"/>
      <c r="C345" s="6"/>
      <c r="D345" s="6"/>
      <c r="E345" s="4"/>
      <c r="F345" s="6"/>
      <c r="G345" s="6"/>
      <c r="H345" s="6"/>
      <c r="I345" s="6"/>
      <c r="J345" s="6"/>
      <c r="K345" s="6"/>
      <c r="L345" s="6"/>
      <c r="M345" s="6"/>
      <c r="N345" s="6"/>
      <c r="O345" s="16"/>
      <c r="P345" s="6"/>
      <c r="Q345" s="4"/>
      <c r="R345" s="4"/>
      <c r="S345" s="4"/>
      <c r="T345" s="4"/>
      <c r="U345" s="4"/>
      <c r="V345" s="4"/>
      <c r="W345" s="4"/>
      <c r="X345" s="4"/>
      <c r="Y345" s="4"/>
      <c r="Z345" s="4"/>
      <c r="AA345" s="4"/>
      <c r="AB345" s="4"/>
      <c r="AC345" s="4"/>
    </row>
    <row r="346" spans="1:29" ht="12.75" x14ac:dyDescent="0.2">
      <c r="A346" s="16"/>
      <c r="B346" s="6"/>
      <c r="C346" s="6"/>
      <c r="D346" s="6"/>
      <c r="E346" s="4"/>
      <c r="F346" s="6"/>
      <c r="G346" s="6"/>
      <c r="H346" s="6"/>
      <c r="I346" s="6"/>
      <c r="J346" s="6"/>
      <c r="K346" s="6"/>
      <c r="L346" s="6"/>
      <c r="M346" s="6"/>
      <c r="N346" s="6"/>
      <c r="O346" s="16"/>
      <c r="P346" s="6"/>
      <c r="Q346" s="4"/>
      <c r="R346" s="4"/>
      <c r="S346" s="4"/>
      <c r="T346" s="4"/>
      <c r="U346" s="4"/>
      <c r="V346" s="4"/>
      <c r="W346" s="4"/>
      <c r="X346" s="4"/>
      <c r="Y346" s="4"/>
      <c r="Z346" s="4"/>
      <c r="AA346" s="4"/>
      <c r="AB346" s="4"/>
      <c r="AC346" s="4"/>
    </row>
    <row r="347" spans="1:29" ht="12.75" x14ac:dyDescent="0.2">
      <c r="A347" s="16"/>
      <c r="B347" s="6"/>
      <c r="C347" s="6"/>
      <c r="D347" s="6"/>
      <c r="E347" s="4"/>
      <c r="F347" s="6"/>
      <c r="G347" s="6"/>
      <c r="H347" s="6"/>
      <c r="I347" s="6"/>
      <c r="J347" s="6"/>
      <c r="K347" s="6"/>
      <c r="L347" s="6"/>
      <c r="M347" s="6"/>
      <c r="N347" s="6"/>
      <c r="O347" s="16"/>
      <c r="P347" s="6"/>
      <c r="Q347" s="4"/>
      <c r="R347" s="4"/>
      <c r="S347" s="4"/>
      <c r="T347" s="4"/>
      <c r="U347" s="4"/>
      <c r="V347" s="4"/>
      <c r="W347" s="4"/>
      <c r="X347" s="4"/>
      <c r="Y347" s="4"/>
      <c r="Z347" s="4"/>
      <c r="AA347" s="4"/>
      <c r="AB347" s="4"/>
      <c r="AC347" s="4"/>
    </row>
    <row r="348" spans="1:29" ht="12.75" x14ac:dyDescent="0.2">
      <c r="A348" s="16"/>
      <c r="B348" s="6"/>
      <c r="C348" s="6"/>
      <c r="D348" s="6"/>
      <c r="E348" s="4"/>
      <c r="F348" s="6"/>
      <c r="G348" s="6"/>
      <c r="H348" s="6"/>
      <c r="I348" s="6"/>
      <c r="J348" s="6"/>
      <c r="K348" s="6"/>
      <c r="L348" s="6"/>
      <c r="M348" s="6"/>
      <c r="N348" s="6"/>
      <c r="O348" s="16"/>
      <c r="P348" s="6"/>
      <c r="Q348" s="4"/>
      <c r="R348" s="4"/>
      <c r="S348" s="4"/>
      <c r="T348" s="4"/>
      <c r="U348" s="4"/>
      <c r="V348" s="4"/>
      <c r="W348" s="4"/>
      <c r="X348" s="4"/>
      <c r="Y348" s="4"/>
      <c r="Z348" s="4"/>
      <c r="AA348" s="4"/>
      <c r="AB348" s="4"/>
      <c r="AC348" s="4"/>
    </row>
    <row r="349" spans="1:29" ht="12.75" x14ac:dyDescent="0.2">
      <c r="A349" s="16"/>
      <c r="B349" s="6"/>
      <c r="C349" s="6"/>
      <c r="D349" s="6"/>
      <c r="E349" s="4"/>
      <c r="F349" s="6"/>
      <c r="G349" s="6"/>
      <c r="H349" s="6"/>
      <c r="I349" s="6"/>
      <c r="J349" s="6"/>
      <c r="K349" s="6"/>
      <c r="L349" s="6"/>
      <c r="M349" s="6"/>
      <c r="N349" s="6"/>
      <c r="O349" s="16"/>
      <c r="P349" s="6"/>
      <c r="Q349" s="4"/>
      <c r="R349" s="4"/>
      <c r="S349" s="4"/>
      <c r="T349" s="4"/>
      <c r="U349" s="4"/>
      <c r="V349" s="4"/>
      <c r="W349" s="4"/>
      <c r="X349" s="4"/>
      <c r="Y349" s="4"/>
      <c r="Z349" s="4"/>
      <c r="AA349" s="4"/>
      <c r="AB349" s="4"/>
      <c r="AC349" s="4"/>
    </row>
    <row r="350" spans="1:29" ht="12.75" x14ac:dyDescent="0.2">
      <c r="A350" s="16"/>
      <c r="B350" s="6"/>
      <c r="C350" s="6"/>
      <c r="D350" s="6"/>
      <c r="E350" s="4"/>
      <c r="F350" s="6"/>
      <c r="G350" s="6"/>
      <c r="H350" s="6"/>
      <c r="I350" s="6"/>
      <c r="J350" s="6"/>
      <c r="K350" s="6"/>
      <c r="L350" s="6"/>
      <c r="M350" s="6"/>
      <c r="N350" s="6"/>
      <c r="O350" s="16"/>
      <c r="P350" s="6"/>
      <c r="Q350" s="4"/>
      <c r="R350" s="4"/>
      <c r="S350" s="4"/>
      <c r="T350" s="4"/>
      <c r="U350" s="4"/>
      <c r="V350" s="4"/>
      <c r="W350" s="4"/>
      <c r="X350" s="4"/>
      <c r="Y350" s="4"/>
      <c r="Z350" s="4"/>
      <c r="AA350" s="4"/>
      <c r="AB350" s="4"/>
      <c r="AC350" s="4"/>
    </row>
    <row r="351" spans="1:29" ht="12.75" x14ac:dyDescent="0.2">
      <c r="A351" s="16"/>
      <c r="B351" s="6"/>
      <c r="C351" s="6"/>
      <c r="D351" s="6"/>
      <c r="E351" s="4"/>
      <c r="F351" s="6"/>
      <c r="G351" s="6"/>
      <c r="H351" s="6"/>
      <c r="I351" s="6"/>
      <c r="J351" s="6"/>
      <c r="K351" s="6"/>
      <c r="L351" s="6"/>
      <c r="M351" s="6"/>
      <c r="N351" s="6"/>
      <c r="O351" s="16"/>
      <c r="P351" s="6"/>
      <c r="Q351" s="4"/>
      <c r="R351" s="4"/>
      <c r="S351" s="4"/>
      <c r="T351" s="4"/>
      <c r="U351" s="4"/>
      <c r="V351" s="4"/>
      <c r="W351" s="4"/>
      <c r="X351" s="4"/>
      <c r="Y351" s="4"/>
      <c r="Z351" s="4"/>
      <c r="AA351" s="4"/>
      <c r="AB351" s="4"/>
      <c r="AC351" s="4"/>
    </row>
    <row r="352" spans="1:29" ht="12.75" x14ac:dyDescent="0.2">
      <c r="A352" s="16"/>
      <c r="B352" s="6"/>
      <c r="C352" s="6"/>
      <c r="D352" s="6"/>
      <c r="E352" s="4"/>
      <c r="F352" s="6"/>
      <c r="G352" s="6"/>
      <c r="H352" s="6"/>
      <c r="I352" s="6"/>
      <c r="J352" s="6"/>
      <c r="K352" s="6"/>
      <c r="L352" s="6"/>
      <c r="M352" s="6"/>
      <c r="N352" s="6"/>
      <c r="O352" s="16"/>
      <c r="P352" s="6"/>
      <c r="Q352" s="4"/>
      <c r="R352" s="4"/>
      <c r="S352" s="4"/>
      <c r="T352" s="4"/>
      <c r="U352" s="4"/>
      <c r="V352" s="4"/>
      <c r="W352" s="4"/>
      <c r="X352" s="4"/>
      <c r="Y352" s="4"/>
      <c r="Z352" s="4"/>
      <c r="AA352" s="4"/>
      <c r="AB352" s="4"/>
      <c r="AC352" s="4"/>
    </row>
    <row r="353" spans="1:29" ht="12.75" x14ac:dyDescent="0.2">
      <c r="A353" s="16"/>
      <c r="B353" s="6"/>
      <c r="C353" s="6"/>
      <c r="D353" s="6"/>
      <c r="E353" s="4"/>
      <c r="F353" s="6"/>
      <c r="G353" s="6"/>
      <c r="H353" s="6"/>
      <c r="I353" s="6"/>
      <c r="J353" s="6"/>
      <c r="K353" s="6"/>
      <c r="L353" s="6"/>
      <c r="M353" s="6"/>
      <c r="N353" s="6"/>
      <c r="O353" s="16"/>
      <c r="P353" s="6"/>
      <c r="Q353" s="4"/>
      <c r="R353" s="4"/>
      <c r="S353" s="4"/>
      <c r="T353" s="4"/>
      <c r="U353" s="4"/>
      <c r="V353" s="4"/>
      <c r="W353" s="4"/>
      <c r="X353" s="4"/>
      <c r="Y353" s="4"/>
      <c r="Z353" s="4"/>
      <c r="AA353" s="4"/>
      <c r="AB353" s="4"/>
      <c r="AC353" s="4"/>
    </row>
    <row r="354" spans="1:29" ht="12.75" x14ac:dyDescent="0.2">
      <c r="A354" s="16"/>
      <c r="B354" s="6"/>
      <c r="C354" s="6"/>
      <c r="D354" s="6"/>
      <c r="E354" s="4"/>
      <c r="F354" s="6"/>
      <c r="G354" s="6"/>
      <c r="H354" s="6"/>
      <c r="I354" s="6"/>
      <c r="J354" s="6"/>
      <c r="K354" s="6"/>
      <c r="L354" s="6"/>
      <c r="M354" s="6"/>
      <c r="N354" s="6"/>
      <c r="O354" s="16"/>
      <c r="P354" s="6"/>
      <c r="Q354" s="4"/>
      <c r="R354" s="4"/>
      <c r="S354" s="4"/>
      <c r="T354" s="4"/>
      <c r="U354" s="4"/>
      <c r="V354" s="4"/>
      <c r="W354" s="4"/>
      <c r="X354" s="4"/>
      <c r="Y354" s="4"/>
      <c r="Z354" s="4"/>
      <c r="AA354" s="4"/>
      <c r="AB354" s="4"/>
      <c r="AC354" s="4"/>
    </row>
    <row r="355" spans="1:29" ht="12.75" x14ac:dyDescent="0.2">
      <c r="A355" s="16"/>
      <c r="B355" s="6"/>
      <c r="C355" s="6"/>
      <c r="D355" s="6"/>
      <c r="E355" s="4"/>
      <c r="F355" s="6"/>
      <c r="G355" s="6"/>
      <c r="H355" s="6"/>
      <c r="I355" s="6"/>
      <c r="J355" s="6"/>
      <c r="K355" s="6"/>
      <c r="L355" s="6"/>
      <c r="M355" s="6"/>
      <c r="N355" s="6"/>
      <c r="O355" s="16"/>
      <c r="P355" s="6"/>
      <c r="Q355" s="4"/>
      <c r="R355" s="4"/>
      <c r="S355" s="4"/>
      <c r="T355" s="4"/>
      <c r="U355" s="4"/>
      <c r="V355" s="4"/>
      <c r="W355" s="4"/>
      <c r="X355" s="4"/>
      <c r="Y355" s="4"/>
      <c r="Z355" s="4"/>
      <c r="AA355" s="4"/>
      <c r="AB355" s="4"/>
      <c r="AC355" s="4"/>
    </row>
    <row r="356" spans="1:29" ht="12.75" x14ac:dyDescent="0.2">
      <c r="A356" s="16"/>
      <c r="B356" s="6"/>
      <c r="C356" s="6"/>
      <c r="D356" s="6"/>
      <c r="E356" s="4"/>
      <c r="F356" s="6"/>
      <c r="G356" s="6"/>
      <c r="H356" s="6"/>
      <c r="I356" s="6"/>
      <c r="J356" s="6"/>
      <c r="K356" s="6"/>
      <c r="L356" s="6"/>
      <c r="M356" s="6"/>
      <c r="N356" s="6"/>
      <c r="O356" s="16"/>
      <c r="P356" s="6"/>
      <c r="Q356" s="4"/>
      <c r="R356" s="4"/>
      <c r="S356" s="4"/>
      <c r="T356" s="4"/>
      <c r="U356" s="4"/>
      <c r="V356" s="4"/>
      <c r="W356" s="4"/>
      <c r="X356" s="4"/>
      <c r="Y356" s="4"/>
      <c r="Z356" s="4"/>
      <c r="AA356" s="4"/>
      <c r="AB356" s="4"/>
      <c r="AC356" s="4"/>
    </row>
    <row r="357" spans="1:29" ht="12.75" x14ac:dyDescent="0.2">
      <c r="A357" s="16"/>
      <c r="B357" s="6"/>
      <c r="C357" s="6"/>
      <c r="D357" s="6"/>
      <c r="E357" s="4"/>
      <c r="F357" s="6"/>
      <c r="G357" s="6"/>
      <c r="H357" s="6"/>
      <c r="I357" s="6"/>
      <c r="J357" s="6"/>
      <c r="K357" s="6"/>
      <c r="L357" s="6"/>
      <c r="M357" s="6"/>
      <c r="N357" s="6"/>
      <c r="O357" s="16"/>
      <c r="P357" s="6"/>
      <c r="Q357" s="4"/>
      <c r="R357" s="4"/>
      <c r="S357" s="4"/>
      <c r="T357" s="4"/>
      <c r="U357" s="4"/>
      <c r="V357" s="4"/>
      <c r="W357" s="4"/>
      <c r="X357" s="4"/>
      <c r="Y357" s="4"/>
      <c r="Z357" s="4"/>
      <c r="AA357" s="4"/>
      <c r="AB357" s="4"/>
      <c r="AC357" s="4"/>
    </row>
    <row r="358" spans="1:29" ht="12.75" x14ac:dyDescent="0.2">
      <c r="A358" s="16"/>
      <c r="B358" s="6"/>
      <c r="C358" s="6"/>
      <c r="D358" s="6"/>
      <c r="E358" s="4"/>
      <c r="F358" s="6"/>
      <c r="G358" s="6"/>
      <c r="H358" s="6"/>
      <c r="I358" s="6"/>
      <c r="J358" s="6"/>
      <c r="K358" s="6"/>
      <c r="L358" s="6"/>
      <c r="M358" s="6"/>
      <c r="N358" s="6"/>
      <c r="O358" s="16"/>
      <c r="P358" s="6"/>
      <c r="Q358" s="4"/>
      <c r="R358" s="4"/>
      <c r="S358" s="4"/>
      <c r="T358" s="4"/>
      <c r="U358" s="4"/>
      <c r="V358" s="4"/>
      <c r="W358" s="4"/>
      <c r="X358" s="4"/>
      <c r="Y358" s="4"/>
      <c r="Z358" s="4"/>
      <c r="AA358" s="4"/>
      <c r="AB358" s="4"/>
      <c r="AC358" s="4"/>
    </row>
    <row r="359" spans="1:29" ht="12.75" x14ac:dyDescent="0.2">
      <c r="A359" s="16"/>
      <c r="B359" s="6"/>
      <c r="C359" s="6"/>
      <c r="D359" s="6"/>
      <c r="E359" s="4"/>
      <c r="F359" s="6"/>
      <c r="G359" s="6"/>
      <c r="H359" s="6"/>
      <c r="I359" s="6"/>
      <c r="J359" s="6"/>
      <c r="K359" s="6"/>
      <c r="L359" s="6"/>
      <c r="M359" s="6"/>
      <c r="N359" s="6"/>
      <c r="O359" s="16"/>
      <c r="P359" s="6"/>
      <c r="Q359" s="4"/>
      <c r="R359" s="4"/>
      <c r="S359" s="4"/>
      <c r="T359" s="4"/>
      <c r="U359" s="4"/>
      <c r="V359" s="4"/>
      <c r="W359" s="4"/>
      <c r="X359" s="4"/>
      <c r="Y359" s="4"/>
      <c r="Z359" s="4"/>
      <c r="AA359" s="4"/>
      <c r="AB359" s="4"/>
      <c r="AC359" s="4"/>
    </row>
    <row r="360" spans="1:29" ht="12.75" x14ac:dyDescent="0.2">
      <c r="A360" s="16"/>
      <c r="B360" s="6"/>
      <c r="C360" s="6"/>
      <c r="D360" s="6"/>
      <c r="E360" s="4"/>
      <c r="F360" s="6"/>
      <c r="G360" s="6"/>
      <c r="H360" s="6"/>
      <c r="I360" s="6"/>
      <c r="J360" s="6"/>
      <c r="K360" s="6"/>
      <c r="L360" s="6"/>
      <c r="M360" s="6"/>
      <c r="N360" s="6"/>
      <c r="O360" s="16"/>
      <c r="P360" s="6"/>
      <c r="Q360" s="4"/>
      <c r="R360" s="4"/>
      <c r="S360" s="4"/>
      <c r="T360" s="4"/>
      <c r="U360" s="4"/>
      <c r="V360" s="4"/>
      <c r="W360" s="4"/>
      <c r="X360" s="4"/>
      <c r="Y360" s="4"/>
      <c r="Z360" s="4"/>
      <c r="AA360" s="4"/>
      <c r="AB360" s="4"/>
      <c r="AC360" s="4"/>
    </row>
    <row r="361" spans="1:29" ht="12.75" x14ac:dyDescent="0.2">
      <c r="A361" s="16"/>
      <c r="B361" s="6"/>
      <c r="C361" s="6"/>
      <c r="D361" s="6"/>
      <c r="E361" s="4"/>
      <c r="F361" s="6"/>
      <c r="G361" s="6"/>
      <c r="H361" s="6"/>
      <c r="I361" s="6"/>
      <c r="J361" s="6"/>
      <c r="K361" s="6"/>
      <c r="L361" s="6"/>
      <c r="M361" s="6"/>
      <c r="N361" s="6"/>
      <c r="O361" s="16"/>
      <c r="P361" s="6"/>
      <c r="Q361" s="4"/>
      <c r="R361" s="4"/>
      <c r="S361" s="4"/>
      <c r="T361" s="4"/>
      <c r="U361" s="4"/>
      <c r="V361" s="4"/>
      <c r="W361" s="4"/>
      <c r="X361" s="4"/>
      <c r="Y361" s="4"/>
      <c r="Z361" s="4"/>
      <c r="AA361" s="4"/>
      <c r="AB361" s="4"/>
      <c r="AC361" s="4"/>
    </row>
    <row r="362" spans="1:29" ht="12.75" x14ac:dyDescent="0.2">
      <c r="A362" s="16"/>
      <c r="B362" s="6"/>
      <c r="C362" s="6"/>
      <c r="D362" s="6"/>
      <c r="E362" s="4"/>
      <c r="F362" s="6"/>
      <c r="G362" s="6"/>
      <c r="H362" s="6"/>
      <c r="I362" s="6"/>
      <c r="J362" s="6"/>
      <c r="K362" s="6"/>
      <c r="L362" s="6"/>
      <c r="M362" s="6"/>
      <c r="N362" s="6"/>
      <c r="O362" s="16"/>
      <c r="P362" s="6"/>
      <c r="Q362" s="4"/>
      <c r="R362" s="4"/>
      <c r="S362" s="4"/>
      <c r="T362" s="4"/>
      <c r="U362" s="4"/>
      <c r="V362" s="4"/>
      <c r="W362" s="4"/>
      <c r="X362" s="4"/>
      <c r="Y362" s="4"/>
      <c r="Z362" s="4"/>
      <c r="AA362" s="4"/>
      <c r="AB362" s="4"/>
      <c r="AC362" s="4"/>
    </row>
    <row r="363" spans="1:29" ht="12.75" x14ac:dyDescent="0.2">
      <c r="A363" s="16"/>
      <c r="B363" s="6"/>
      <c r="C363" s="6"/>
      <c r="D363" s="6"/>
      <c r="E363" s="4"/>
      <c r="F363" s="6"/>
      <c r="G363" s="6"/>
      <c r="H363" s="6"/>
      <c r="I363" s="6"/>
      <c r="J363" s="6"/>
      <c r="K363" s="6"/>
      <c r="L363" s="6"/>
      <c r="M363" s="6"/>
      <c r="N363" s="6"/>
      <c r="O363" s="16"/>
      <c r="P363" s="6"/>
      <c r="Q363" s="4"/>
      <c r="R363" s="4"/>
      <c r="S363" s="4"/>
      <c r="T363" s="4"/>
      <c r="U363" s="4"/>
      <c r="V363" s="4"/>
      <c r="W363" s="4"/>
      <c r="X363" s="4"/>
      <c r="Y363" s="4"/>
      <c r="Z363" s="4"/>
      <c r="AA363" s="4"/>
      <c r="AB363" s="4"/>
      <c r="AC363" s="4"/>
    </row>
    <row r="364" spans="1:29" ht="12.75" x14ac:dyDescent="0.2">
      <c r="A364" s="16"/>
      <c r="B364" s="6"/>
      <c r="C364" s="6"/>
      <c r="D364" s="6"/>
      <c r="E364" s="4"/>
      <c r="F364" s="6"/>
      <c r="G364" s="6"/>
      <c r="H364" s="6"/>
      <c r="I364" s="6"/>
      <c r="J364" s="6"/>
      <c r="K364" s="6"/>
      <c r="L364" s="6"/>
      <c r="M364" s="6"/>
      <c r="N364" s="6"/>
      <c r="O364" s="16"/>
      <c r="P364" s="6"/>
      <c r="Q364" s="4"/>
      <c r="R364" s="4"/>
      <c r="S364" s="4"/>
      <c r="T364" s="4"/>
      <c r="U364" s="4"/>
      <c r="V364" s="4"/>
      <c r="W364" s="4"/>
      <c r="X364" s="4"/>
      <c r="Y364" s="4"/>
      <c r="Z364" s="4"/>
      <c r="AA364" s="4"/>
      <c r="AB364" s="4"/>
      <c r="AC364" s="4"/>
    </row>
    <row r="365" spans="1:29" ht="12.75" x14ac:dyDescent="0.2">
      <c r="A365" s="16"/>
      <c r="B365" s="6"/>
      <c r="C365" s="6"/>
      <c r="D365" s="6"/>
      <c r="E365" s="4"/>
      <c r="F365" s="6"/>
      <c r="G365" s="6"/>
      <c r="H365" s="6"/>
      <c r="I365" s="6"/>
      <c r="J365" s="6"/>
      <c r="K365" s="6"/>
      <c r="L365" s="6"/>
      <c r="M365" s="6"/>
      <c r="N365" s="6"/>
      <c r="O365" s="16"/>
      <c r="P365" s="6"/>
      <c r="Q365" s="4"/>
      <c r="R365" s="4"/>
      <c r="S365" s="4"/>
      <c r="T365" s="4"/>
      <c r="U365" s="4"/>
      <c r="V365" s="4"/>
      <c r="W365" s="4"/>
      <c r="X365" s="4"/>
      <c r="Y365" s="4"/>
      <c r="Z365" s="4"/>
      <c r="AA365" s="4"/>
      <c r="AB365" s="4"/>
      <c r="AC365" s="4"/>
    </row>
    <row r="366" spans="1:29" ht="12.75" x14ac:dyDescent="0.2">
      <c r="A366" s="16"/>
      <c r="B366" s="6"/>
      <c r="C366" s="6"/>
      <c r="D366" s="6"/>
      <c r="E366" s="4"/>
      <c r="F366" s="6"/>
      <c r="G366" s="6"/>
      <c r="H366" s="6"/>
      <c r="I366" s="6"/>
      <c r="J366" s="6"/>
      <c r="K366" s="6"/>
      <c r="L366" s="6"/>
      <c r="M366" s="6"/>
      <c r="N366" s="6"/>
      <c r="O366" s="16"/>
      <c r="P366" s="6"/>
      <c r="Q366" s="4"/>
      <c r="R366" s="4"/>
      <c r="S366" s="4"/>
      <c r="T366" s="4"/>
      <c r="U366" s="4"/>
      <c r="V366" s="4"/>
      <c r="W366" s="4"/>
      <c r="X366" s="4"/>
      <c r="Y366" s="4"/>
      <c r="Z366" s="4"/>
      <c r="AA366" s="4"/>
      <c r="AB366" s="4"/>
      <c r="AC366" s="4"/>
    </row>
    <row r="367" spans="1:29" ht="12.75" x14ac:dyDescent="0.2">
      <c r="A367" s="16"/>
      <c r="B367" s="6"/>
      <c r="C367" s="6"/>
      <c r="D367" s="6"/>
      <c r="E367" s="4"/>
      <c r="F367" s="6"/>
      <c r="G367" s="6"/>
      <c r="H367" s="6"/>
      <c r="I367" s="6"/>
      <c r="J367" s="6"/>
      <c r="K367" s="6"/>
      <c r="L367" s="6"/>
      <c r="M367" s="6"/>
      <c r="N367" s="6"/>
      <c r="O367" s="16"/>
      <c r="P367" s="6"/>
      <c r="Q367" s="4"/>
      <c r="R367" s="4"/>
      <c r="S367" s="4"/>
      <c r="T367" s="4"/>
      <c r="U367" s="4"/>
      <c r="V367" s="4"/>
      <c r="W367" s="4"/>
      <c r="X367" s="4"/>
      <c r="Y367" s="4"/>
      <c r="Z367" s="4"/>
      <c r="AA367" s="4"/>
      <c r="AB367" s="4"/>
      <c r="AC367" s="4"/>
    </row>
    <row r="368" spans="1:29" ht="12.75" x14ac:dyDescent="0.2">
      <c r="A368" s="16"/>
      <c r="B368" s="6"/>
      <c r="C368" s="6"/>
      <c r="D368" s="6"/>
      <c r="E368" s="4"/>
      <c r="F368" s="6"/>
      <c r="G368" s="6"/>
      <c r="H368" s="6"/>
      <c r="I368" s="6"/>
      <c r="J368" s="6"/>
      <c r="K368" s="6"/>
      <c r="L368" s="6"/>
      <c r="M368" s="6"/>
      <c r="N368" s="6"/>
      <c r="O368" s="16"/>
      <c r="P368" s="6"/>
      <c r="Q368" s="4"/>
      <c r="R368" s="4"/>
      <c r="S368" s="4"/>
      <c r="T368" s="4"/>
      <c r="U368" s="4"/>
      <c r="V368" s="4"/>
      <c r="W368" s="4"/>
      <c r="X368" s="4"/>
      <c r="Y368" s="4"/>
      <c r="Z368" s="4"/>
      <c r="AA368" s="4"/>
      <c r="AB368" s="4"/>
      <c r="AC368" s="4"/>
    </row>
    <row r="369" spans="1:29" ht="12.75" x14ac:dyDescent="0.2">
      <c r="A369" s="16"/>
      <c r="B369" s="6"/>
      <c r="C369" s="6"/>
      <c r="D369" s="6"/>
      <c r="E369" s="4"/>
      <c r="F369" s="6"/>
      <c r="G369" s="6"/>
      <c r="H369" s="6"/>
      <c r="I369" s="6"/>
      <c r="J369" s="6"/>
      <c r="K369" s="6"/>
      <c r="L369" s="6"/>
      <c r="M369" s="6"/>
      <c r="N369" s="6"/>
      <c r="O369" s="16"/>
      <c r="P369" s="6"/>
      <c r="Q369" s="4"/>
      <c r="R369" s="4"/>
      <c r="S369" s="4"/>
      <c r="T369" s="4"/>
      <c r="U369" s="4"/>
      <c r="V369" s="4"/>
      <c r="W369" s="4"/>
      <c r="X369" s="4"/>
      <c r="Y369" s="4"/>
      <c r="Z369" s="4"/>
      <c r="AA369" s="4"/>
      <c r="AB369" s="4"/>
      <c r="AC369" s="4"/>
    </row>
    <row r="370" spans="1:29" ht="12.75" x14ac:dyDescent="0.2">
      <c r="A370" s="16"/>
      <c r="B370" s="6"/>
      <c r="C370" s="6"/>
      <c r="D370" s="6"/>
      <c r="E370" s="4"/>
      <c r="F370" s="6"/>
      <c r="G370" s="6"/>
      <c r="H370" s="6"/>
      <c r="I370" s="6"/>
      <c r="J370" s="6"/>
      <c r="K370" s="6"/>
      <c r="L370" s="6"/>
      <c r="M370" s="6"/>
      <c r="N370" s="6"/>
      <c r="O370" s="16"/>
      <c r="P370" s="6"/>
      <c r="Q370" s="4"/>
      <c r="R370" s="4"/>
      <c r="S370" s="4"/>
      <c r="T370" s="4"/>
      <c r="U370" s="4"/>
      <c r="V370" s="4"/>
      <c r="W370" s="4"/>
      <c r="X370" s="4"/>
      <c r="Y370" s="4"/>
      <c r="Z370" s="4"/>
      <c r="AA370" s="4"/>
      <c r="AB370" s="4"/>
      <c r="AC370" s="4"/>
    </row>
    <row r="371" spans="1:29" ht="12.75" x14ac:dyDescent="0.2">
      <c r="A371" s="16"/>
      <c r="B371" s="6"/>
      <c r="C371" s="6"/>
      <c r="D371" s="6"/>
      <c r="E371" s="4"/>
      <c r="F371" s="6"/>
      <c r="G371" s="6"/>
      <c r="H371" s="6"/>
      <c r="I371" s="6"/>
      <c r="J371" s="6"/>
      <c r="K371" s="6"/>
      <c r="L371" s="6"/>
      <c r="M371" s="6"/>
      <c r="N371" s="6"/>
      <c r="O371" s="16"/>
      <c r="P371" s="6"/>
      <c r="Q371" s="4"/>
      <c r="R371" s="4"/>
      <c r="S371" s="4"/>
      <c r="T371" s="4"/>
      <c r="U371" s="4"/>
      <c r="V371" s="4"/>
      <c r="W371" s="4"/>
      <c r="X371" s="4"/>
      <c r="Y371" s="4"/>
      <c r="Z371" s="4"/>
      <c r="AA371" s="4"/>
      <c r="AB371" s="4"/>
      <c r="AC371" s="4"/>
    </row>
    <row r="372" spans="1:29" ht="12.75" x14ac:dyDescent="0.2">
      <c r="A372" s="16"/>
      <c r="B372" s="6"/>
      <c r="C372" s="6"/>
      <c r="D372" s="6"/>
      <c r="E372" s="4"/>
      <c r="F372" s="6"/>
      <c r="G372" s="6"/>
      <c r="H372" s="6"/>
      <c r="I372" s="6"/>
      <c r="J372" s="6"/>
      <c r="K372" s="6"/>
      <c r="L372" s="6"/>
      <c r="M372" s="6"/>
      <c r="N372" s="6"/>
      <c r="O372" s="16"/>
      <c r="P372" s="6"/>
      <c r="Q372" s="4"/>
      <c r="R372" s="4"/>
      <c r="S372" s="4"/>
      <c r="T372" s="4"/>
      <c r="U372" s="4"/>
      <c r="V372" s="4"/>
      <c r="W372" s="4"/>
      <c r="X372" s="4"/>
      <c r="Y372" s="4"/>
      <c r="Z372" s="4"/>
      <c r="AA372" s="4"/>
      <c r="AB372" s="4"/>
      <c r="AC372" s="4"/>
    </row>
    <row r="373" spans="1:29" ht="12.75" x14ac:dyDescent="0.2">
      <c r="A373" s="16"/>
      <c r="B373" s="6"/>
      <c r="C373" s="6"/>
      <c r="D373" s="6"/>
      <c r="E373" s="4"/>
      <c r="F373" s="6"/>
      <c r="G373" s="6"/>
      <c r="H373" s="6"/>
      <c r="I373" s="6"/>
      <c r="J373" s="6"/>
      <c r="K373" s="6"/>
      <c r="L373" s="6"/>
      <c r="M373" s="6"/>
      <c r="N373" s="6"/>
      <c r="O373" s="16"/>
      <c r="P373" s="6"/>
      <c r="Q373" s="4"/>
      <c r="R373" s="4"/>
      <c r="S373" s="4"/>
      <c r="T373" s="4"/>
      <c r="U373" s="4"/>
      <c r="V373" s="4"/>
      <c r="W373" s="4"/>
      <c r="X373" s="4"/>
      <c r="Y373" s="4"/>
      <c r="Z373" s="4"/>
      <c r="AA373" s="4"/>
      <c r="AB373" s="4"/>
      <c r="AC373" s="4"/>
    </row>
    <row r="374" spans="1:29" ht="12.75" x14ac:dyDescent="0.2">
      <c r="A374" s="16"/>
      <c r="B374" s="6"/>
      <c r="C374" s="6"/>
      <c r="D374" s="6"/>
      <c r="E374" s="4"/>
      <c r="F374" s="6"/>
      <c r="G374" s="6"/>
      <c r="H374" s="6"/>
      <c r="I374" s="6"/>
      <c r="J374" s="6"/>
      <c r="K374" s="6"/>
      <c r="L374" s="6"/>
      <c r="M374" s="6"/>
      <c r="N374" s="6"/>
      <c r="O374" s="16"/>
      <c r="P374" s="6"/>
      <c r="Q374" s="4"/>
      <c r="R374" s="4"/>
      <c r="S374" s="4"/>
      <c r="T374" s="4"/>
      <c r="U374" s="4"/>
      <c r="V374" s="4"/>
      <c r="W374" s="4"/>
      <c r="X374" s="4"/>
      <c r="Y374" s="4"/>
      <c r="Z374" s="4"/>
      <c r="AA374" s="4"/>
      <c r="AB374" s="4"/>
      <c r="AC374" s="4"/>
    </row>
    <row r="375" spans="1:29" ht="12.75" x14ac:dyDescent="0.2">
      <c r="A375" s="16"/>
      <c r="B375" s="6"/>
      <c r="C375" s="6"/>
      <c r="D375" s="6"/>
      <c r="E375" s="4"/>
      <c r="F375" s="6"/>
      <c r="G375" s="6"/>
      <c r="H375" s="6"/>
      <c r="I375" s="6"/>
      <c r="J375" s="6"/>
      <c r="K375" s="6"/>
      <c r="L375" s="6"/>
      <c r="M375" s="6"/>
      <c r="N375" s="6"/>
      <c r="O375" s="16"/>
      <c r="P375" s="6"/>
      <c r="Q375" s="4"/>
      <c r="R375" s="4"/>
      <c r="S375" s="4"/>
      <c r="T375" s="4"/>
      <c r="U375" s="4"/>
      <c r="V375" s="4"/>
      <c r="W375" s="4"/>
      <c r="X375" s="4"/>
      <c r="Y375" s="4"/>
      <c r="Z375" s="4"/>
      <c r="AA375" s="4"/>
      <c r="AB375" s="4"/>
      <c r="AC375" s="4"/>
    </row>
    <row r="376" spans="1:29" ht="12.75" x14ac:dyDescent="0.2">
      <c r="A376" s="16"/>
      <c r="B376" s="6"/>
      <c r="C376" s="6"/>
      <c r="D376" s="6"/>
      <c r="E376" s="4"/>
      <c r="F376" s="6"/>
      <c r="G376" s="6"/>
      <c r="H376" s="6"/>
      <c r="I376" s="6"/>
      <c r="J376" s="6"/>
      <c r="K376" s="6"/>
      <c r="L376" s="6"/>
      <c r="M376" s="6"/>
      <c r="N376" s="6"/>
      <c r="O376" s="16"/>
      <c r="P376" s="6"/>
      <c r="Q376" s="4"/>
      <c r="R376" s="4"/>
      <c r="S376" s="4"/>
      <c r="T376" s="4"/>
      <c r="U376" s="4"/>
      <c r="V376" s="4"/>
      <c r="W376" s="4"/>
      <c r="X376" s="4"/>
      <c r="Y376" s="4"/>
      <c r="Z376" s="4"/>
      <c r="AA376" s="4"/>
      <c r="AB376" s="4"/>
      <c r="AC376" s="4"/>
    </row>
    <row r="377" spans="1:29" ht="12.75" x14ac:dyDescent="0.2">
      <c r="A377" s="16"/>
      <c r="B377" s="6"/>
      <c r="C377" s="6"/>
      <c r="D377" s="6"/>
      <c r="E377" s="4"/>
      <c r="F377" s="6"/>
      <c r="G377" s="6"/>
      <c r="H377" s="6"/>
      <c r="I377" s="6"/>
      <c r="J377" s="6"/>
      <c r="K377" s="6"/>
      <c r="L377" s="6"/>
      <c r="M377" s="6"/>
      <c r="N377" s="6"/>
      <c r="O377" s="16"/>
      <c r="P377" s="6"/>
      <c r="Q377" s="4"/>
      <c r="R377" s="4"/>
      <c r="S377" s="4"/>
      <c r="T377" s="4"/>
      <c r="U377" s="4"/>
      <c r="V377" s="4"/>
      <c r="W377" s="4"/>
      <c r="X377" s="4"/>
      <c r="Y377" s="4"/>
      <c r="Z377" s="4"/>
      <c r="AA377" s="4"/>
      <c r="AB377" s="4"/>
      <c r="AC377" s="4"/>
    </row>
    <row r="378" spans="1:29" ht="12.75" x14ac:dyDescent="0.2">
      <c r="A378" s="16"/>
      <c r="B378" s="6"/>
      <c r="C378" s="6"/>
      <c r="D378" s="6"/>
      <c r="E378" s="4"/>
      <c r="F378" s="6"/>
      <c r="G378" s="6"/>
      <c r="H378" s="6"/>
      <c r="I378" s="6"/>
      <c r="J378" s="6"/>
      <c r="K378" s="6"/>
      <c r="L378" s="6"/>
      <c r="M378" s="6"/>
      <c r="N378" s="6"/>
      <c r="O378" s="16"/>
      <c r="P378" s="6"/>
      <c r="Q378" s="4"/>
      <c r="R378" s="4"/>
      <c r="S378" s="4"/>
      <c r="T378" s="4"/>
      <c r="U378" s="4"/>
      <c r="V378" s="4"/>
      <c r="W378" s="4"/>
      <c r="X378" s="4"/>
      <c r="Y378" s="4"/>
      <c r="Z378" s="4"/>
      <c r="AA378" s="4"/>
      <c r="AB378" s="4"/>
      <c r="AC378" s="4"/>
    </row>
    <row r="379" spans="1:29" ht="12.75" x14ac:dyDescent="0.2">
      <c r="A379" s="16"/>
      <c r="B379" s="6"/>
      <c r="C379" s="6"/>
      <c r="D379" s="6"/>
      <c r="E379" s="4"/>
      <c r="F379" s="6"/>
      <c r="G379" s="6"/>
      <c r="H379" s="6"/>
      <c r="I379" s="6"/>
      <c r="J379" s="6"/>
      <c r="K379" s="6"/>
      <c r="L379" s="6"/>
      <c r="M379" s="6"/>
      <c r="N379" s="6"/>
      <c r="O379" s="16"/>
      <c r="P379" s="6"/>
      <c r="Q379" s="4"/>
      <c r="R379" s="4"/>
      <c r="S379" s="4"/>
      <c r="T379" s="4"/>
      <c r="U379" s="4"/>
      <c r="V379" s="4"/>
      <c r="W379" s="4"/>
      <c r="X379" s="4"/>
      <c r="Y379" s="4"/>
      <c r="Z379" s="4"/>
      <c r="AA379" s="4"/>
      <c r="AB379" s="4"/>
      <c r="AC379" s="4"/>
    </row>
    <row r="380" spans="1:29" ht="12.75" x14ac:dyDescent="0.2">
      <c r="A380" s="16"/>
      <c r="B380" s="6"/>
      <c r="C380" s="6"/>
      <c r="D380" s="6"/>
      <c r="E380" s="4"/>
      <c r="F380" s="6"/>
      <c r="G380" s="6"/>
      <c r="H380" s="6"/>
      <c r="I380" s="6"/>
      <c r="J380" s="6"/>
      <c r="K380" s="6"/>
      <c r="L380" s="6"/>
      <c r="M380" s="6"/>
      <c r="N380" s="6"/>
      <c r="O380" s="16"/>
      <c r="P380" s="6"/>
      <c r="Q380" s="4"/>
      <c r="R380" s="4"/>
      <c r="S380" s="4"/>
      <c r="T380" s="4"/>
      <c r="U380" s="4"/>
      <c r="V380" s="4"/>
      <c r="W380" s="4"/>
      <c r="X380" s="4"/>
      <c r="Y380" s="4"/>
      <c r="Z380" s="4"/>
      <c r="AA380" s="4"/>
      <c r="AB380" s="4"/>
      <c r="AC380" s="4"/>
    </row>
    <row r="381" spans="1:29" ht="12.75" x14ac:dyDescent="0.2">
      <c r="A381" s="16"/>
      <c r="B381" s="6"/>
      <c r="C381" s="6"/>
      <c r="D381" s="6"/>
      <c r="E381" s="4"/>
      <c r="F381" s="6"/>
      <c r="G381" s="6"/>
      <c r="H381" s="6"/>
      <c r="I381" s="6"/>
      <c r="J381" s="6"/>
      <c r="K381" s="6"/>
      <c r="L381" s="6"/>
      <c r="M381" s="6"/>
      <c r="N381" s="6"/>
      <c r="O381" s="16"/>
      <c r="P381" s="6"/>
      <c r="Q381" s="4"/>
      <c r="R381" s="4"/>
      <c r="S381" s="4"/>
      <c r="T381" s="4"/>
      <c r="U381" s="4"/>
      <c r="V381" s="4"/>
      <c r="W381" s="4"/>
      <c r="X381" s="4"/>
      <c r="Y381" s="4"/>
      <c r="Z381" s="4"/>
      <c r="AA381" s="4"/>
      <c r="AB381" s="4"/>
      <c r="AC381" s="4"/>
    </row>
    <row r="382" spans="1:29" ht="12.75" x14ac:dyDescent="0.2">
      <c r="A382" s="16"/>
      <c r="B382" s="6"/>
      <c r="C382" s="6"/>
      <c r="D382" s="6"/>
      <c r="E382" s="4"/>
      <c r="F382" s="6"/>
      <c r="G382" s="6"/>
      <c r="H382" s="6"/>
      <c r="I382" s="6"/>
      <c r="J382" s="6"/>
      <c r="K382" s="6"/>
      <c r="L382" s="6"/>
      <c r="M382" s="6"/>
      <c r="N382" s="6"/>
      <c r="O382" s="16"/>
      <c r="P382" s="6"/>
      <c r="Q382" s="4"/>
      <c r="R382" s="4"/>
      <c r="S382" s="4"/>
      <c r="T382" s="4"/>
      <c r="U382" s="4"/>
      <c r="V382" s="4"/>
      <c r="W382" s="4"/>
      <c r="X382" s="4"/>
      <c r="Y382" s="4"/>
      <c r="Z382" s="4"/>
      <c r="AA382" s="4"/>
      <c r="AB382" s="4"/>
      <c r="AC382" s="4"/>
    </row>
    <row r="383" spans="1:29" ht="12.75" x14ac:dyDescent="0.2">
      <c r="A383" s="16"/>
      <c r="B383" s="6"/>
      <c r="C383" s="6"/>
      <c r="D383" s="6"/>
      <c r="E383" s="4"/>
      <c r="F383" s="6"/>
      <c r="G383" s="6"/>
      <c r="H383" s="6"/>
      <c r="I383" s="6"/>
      <c r="J383" s="6"/>
      <c r="K383" s="6"/>
      <c r="L383" s="6"/>
      <c r="M383" s="6"/>
      <c r="N383" s="6"/>
      <c r="O383" s="16"/>
      <c r="P383" s="6"/>
      <c r="Q383" s="4"/>
      <c r="R383" s="4"/>
      <c r="S383" s="4"/>
      <c r="T383" s="4"/>
      <c r="U383" s="4"/>
      <c r="V383" s="4"/>
      <c r="W383" s="4"/>
      <c r="X383" s="4"/>
      <c r="Y383" s="4"/>
      <c r="Z383" s="4"/>
      <c r="AA383" s="4"/>
      <c r="AB383" s="4"/>
      <c r="AC383" s="4"/>
    </row>
    <row r="384" spans="1:29" ht="12.75" x14ac:dyDescent="0.2">
      <c r="A384" s="16"/>
      <c r="B384" s="6"/>
      <c r="C384" s="6"/>
      <c r="D384" s="6"/>
      <c r="E384" s="4"/>
      <c r="F384" s="6"/>
      <c r="G384" s="6"/>
      <c r="H384" s="6"/>
      <c r="I384" s="6"/>
      <c r="J384" s="6"/>
      <c r="K384" s="6"/>
      <c r="L384" s="6"/>
      <c r="M384" s="6"/>
      <c r="N384" s="6"/>
      <c r="O384" s="16"/>
      <c r="P384" s="6"/>
      <c r="Q384" s="4"/>
      <c r="R384" s="4"/>
      <c r="S384" s="4"/>
      <c r="T384" s="4"/>
      <c r="U384" s="4"/>
      <c r="V384" s="4"/>
      <c r="W384" s="4"/>
      <c r="X384" s="4"/>
      <c r="Y384" s="4"/>
      <c r="Z384" s="4"/>
      <c r="AA384" s="4"/>
      <c r="AB384" s="4"/>
      <c r="AC384" s="4"/>
    </row>
    <row r="385" spans="1:29" ht="12.75" x14ac:dyDescent="0.2">
      <c r="A385" s="16"/>
      <c r="B385" s="6"/>
      <c r="C385" s="6"/>
      <c r="D385" s="6"/>
      <c r="E385" s="4"/>
      <c r="F385" s="6"/>
      <c r="G385" s="6"/>
      <c r="H385" s="6"/>
      <c r="I385" s="6"/>
      <c r="J385" s="6"/>
      <c r="K385" s="6"/>
      <c r="L385" s="6"/>
      <c r="M385" s="6"/>
      <c r="N385" s="6"/>
      <c r="O385" s="16"/>
      <c r="P385" s="6"/>
      <c r="Q385" s="4"/>
      <c r="R385" s="4"/>
      <c r="S385" s="4"/>
      <c r="T385" s="4"/>
      <c r="U385" s="4"/>
      <c r="V385" s="4"/>
      <c r="W385" s="4"/>
      <c r="X385" s="4"/>
      <c r="Y385" s="4"/>
      <c r="Z385" s="4"/>
      <c r="AA385" s="4"/>
      <c r="AB385" s="4"/>
      <c r="AC385" s="4"/>
    </row>
    <row r="386" spans="1:29" ht="12.75" x14ac:dyDescent="0.2">
      <c r="A386" s="16"/>
      <c r="B386" s="6"/>
      <c r="C386" s="6"/>
      <c r="D386" s="6"/>
      <c r="E386" s="4"/>
      <c r="F386" s="6"/>
      <c r="G386" s="6"/>
      <c r="H386" s="6"/>
      <c r="I386" s="6"/>
      <c r="J386" s="6"/>
      <c r="K386" s="6"/>
      <c r="L386" s="6"/>
      <c r="M386" s="6"/>
      <c r="N386" s="6"/>
      <c r="O386" s="16"/>
      <c r="P386" s="6"/>
      <c r="Q386" s="4"/>
      <c r="R386" s="4"/>
      <c r="S386" s="4"/>
      <c r="T386" s="4"/>
      <c r="U386" s="4"/>
      <c r="V386" s="4"/>
      <c r="W386" s="4"/>
      <c r="X386" s="4"/>
      <c r="Y386" s="4"/>
      <c r="Z386" s="4"/>
      <c r="AA386" s="4"/>
      <c r="AB386" s="4"/>
      <c r="AC386" s="4"/>
    </row>
    <row r="387" spans="1:29" ht="12.75" x14ac:dyDescent="0.2">
      <c r="A387" s="16"/>
      <c r="B387" s="6"/>
      <c r="C387" s="6"/>
      <c r="D387" s="6"/>
      <c r="E387" s="4"/>
      <c r="F387" s="6"/>
      <c r="G387" s="6"/>
      <c r="H387" s="6"/>
      <c r="I387" s="6"/>
      <c r="J387" s="6"/>
      <c r="K387" s="6"/>
      <c r="L387" s="6"/>
      <c r="M387" s="6"/>
      <c r="N387" s="6"/>
      <c r="O387" s="16"/>
      <c r="P387" s="6"/>
      <c r="Q387" s="4"/>
      <c r="R387" s="4"/>
      <c r="S387" s="4"/>
      <c r="T387" s="4"/>
      <c r="U387" s="4"/>
      <c r="V387" s="4"/>
      <c r="W387" s="4"/>
      <c r="X387" s="4"/>
      <c r="Y387" s="4"/>
      <c r="Z387" s="4"/>
      <c r="AA387" s="4"/>
      <c r="AB387" s="4"/>
      <c r="AC387" s="4"/>
    </row>
    <row r="388" spans="1:29" ht="12.75" x14ac:dyDescent="0.2">
      <c r="A388" s="16"/>
      <c r="B388" s="6"/>
      <c r="C388" s="6"/>
      <c r="D388" s="6"/>
      <c r="E388" s="4"/>
      <c r="F388" s="6"/>
      <c r="G388" s="6"/>
      <c r="H388" s="6"/>
      <c r="I388" s="6"/>
      <c r="J388" s="6"/>
      <c r="K388" s="6"/>
      <c r="L388" s="6"/>
      <c r="M388" s="6"/>
      <c r="N388" s="6"/>
      <c r="O388" s="16"/>
      <c r="P388" s="6"/>
      <c r="Q388" s="4"/>
      <c r="R388" s="4"/>
      <c r="S388" s="4"/>
      <c r="T388" s="4"/>
      <c r="U388" s="4"/>
      <c r="V388" s="4"/>
      <c r="W388" s="4"/>
      <c r="X388" s="4"/>
      <c r="Y388" s="4"/>
      <c r="Z388" s="4"/>
      <c r="AA388" s="4"/>
      <c r="AB388" s="4"/>
      <c r="AC388" s="4"/>
    </row>
    <row r="389" spans="1:29" ht="12.75" x14ac:dyDescent="0.2">
      <c r="A389" s="16"/>
      <c r="B389" s="6"/>
      <c r="C389" s="6"/>
      <c r="D389" s="6"/>
      <c r="E389" s="4"/>
      <c r="F389" s="6"/>
      <c r="G389" s="6"/>
      <c r="H389" s="6"/>
      <c r="I389" s="6"/>
      <c r="J389" s="6"/>
      <c r="K389" s="6"/>
      <c r="L389" s="6"/>
      <c r="M389" s="6"/>
      <c r="N389" s="6"/>
      <c r="O389" s="16"/>
      <c r="P389" s="6"/>
      <c r="Q389" s="4"/>
      <c r="R389" s="4"/>
      <c r="S389" s="4"/>
      <c r="T389" s="4"/>
      <c r="U389" s="4"/>
      <c r="V389" s="4"/>
      <c r="W389" s="4"/>
      <c r="X389" s="4"/>
      <c r="Y389" s="4"/>
      <c r="Z389" s="4"/>
      <c r="AA389" s="4"/>
      <c r="AB389" s="4"/>
      <c r="AC389" s="4"/>
    </row>
    <row r="390" spans="1:29" ht="12.75" x14ac:dyDescent="0.2">
      <c r="A390" s="16"/>
      <c r="B390" s="6"/>
      <c r="C390" s="6"/>
      <c r="D390" s="6"/>
      <c r="E390" s="4"/>
      <c r="F390" s="6"/>
      <c r="G390" s="6"/>
      <c r="H390" s="6"/>
      <c r="I390" s="6"/>
      <c r="J390" s="6"/>
      <c r="K390" s="6"/>
      <c r="L390" s="6"/>
      <c r="M390" s="6"/>
      <c r="N390" s="6"/>
      <c r="O390" s="16"/>
      <c r="P390" s="6"/>
      <c r="Q390" s="4"/>
      <c r="R390" s="4"/>
      <c r="S390" s="4"/>
      <c r="T390" s="4"/>
      <c r="U390" s="4"/>
      <c r="V390" s="4"/>
      <c r="W390" s="4"/>
      <c r="X390" s="4"/>
      <c r="Y390" s="4"/>
      <c r="Z390" s="4"/>
      <c r="AA390" s="4"/>
      <c r="AB390" s="4"/>
      <c r="AC390" s="4"/>
    </row>
    <row r="391" spans="1:29" ht="12.75" x14ac:dyDescent="0.2">
      <c r="A391" s="16"/>
      <c r="B391" s="6"/>
      <c r="C391" s="6"/>
      <c r="D391" s="6"/>
      <c r="E391" s="4"/>
      <c r="F391" s="6"/>
      <c r="G391" s="6"/>
      <c r="H391" s="6"/>
      <c r="I391" s="6"/>
      <c r="J391" s="6"/>
      <c r="K391" s="6"/>
      <c r="L391" s="6"/>
      <c r="M391" s="6"/>
      <c r="N391" s="6"/>
      <c r="O391" s="16"/>
      <c r="P391" s="6"/>
      <c r="Q391" s="4"/>
      <c r="R391" s="4"/>
      <c r="S391" s="4"/>
      <c r="T391" s="4"/>
      <c r="U391" s="4"/>
      <c r="V391" s="4"/>
      <c r="W391" s="4"/>
      <c r="X391" s="4"/>
      <c r="Y391" s="4"/>
      <c r="Z391" s="4"/>
      <c r="AA391" s="4"/>
      <c r="AB391" s="4"/>
      <c r="AC391" s="4"/>
    </row>
    <row r="392" spans="1:29" ht="12.75" x14ac:dyDescent="0.2">
      <c r="A392" s="16"/>
      <c r="B392" s="6"/>
      <c r="C392" s="6"/>
      <c r="D392" s="6"/>
      <c r="E392" s="4"/>
      <c r="F392" s="6"/>
      <c r="G392" s="6"/>
      <c r="H392" s="6"/>
      <c r="I392" s="6"/>
      <c r="J392" s="6"/>
      <c r="K392" s="6"/>
      <c r="L392" s="6"/>
      <c r="M392" s="6"/>
      <c r="N392" s="6"/>
      <c r="O392" s="16"/>
      <c r="P392" s="6"/>
      <c r="Q392" s="4"/>
      <c r="R392" s="4"/>
      <c r="S392" s="4"/>
      <c r="T392" s="4"/>
      <c r="U392" s="4"/>
      <c r="V392" s="4"/>
      <c r="W392" s="4"/>
      <c r="X392" s="4"/>
      <c r="Y392" s="4"/>
      <c r="Z392" s="4"/>
      <c r="AA392" s="4"/>
      <c r="AB392" s="4"/>
      <c r="AC392" s="4"/>
    </row>
    <row r="393" spans="1:29" ht="12.75" x14ac:dyDescent="0.2">
      <c r="A393" s="16"/>
      <c r="B393" s="6"/>
      <c r="C393" s="6"/>
      <c r="D393" s="6"/>
      <c r="E393" s="4"/>
      <c r="F393" s="6"/>
      <c r="G393" s="6"/>
      <c r="H393" s="6"/>
      <c r="I393" s="6"/>
      <c r="J393" s="6"/>
      <c r="K393" s="6"/>
      <c r="L393" s="6"/>
      <c r="M393" s="6"/>
      <c r="N393" s="6"/>
      <c r="O393" s="16"/>
      <c r="P393" s="6"/>
      <c r="Q393" s="4"/>
      <c r="R393" s="4"/>
      <c r="S393" s="4"/>
      <c r="T393" s="4"/>
      <c r="U393" s="4"/>
      <c r="V393" s="4"/>
      <c r="W393" s="4"/>
      <c r="X393" s="4"/>
      <c r="Y393" s="4"/>
      <c r="Z393" s="4"/>
      <c r="AA393" s="4"/>
      <c r="AB393" s="4"/>
      <c r="AC393" s="4"/>
    </row>
    <row r="394" spans="1:29" ht="12.75" x14ac:dyDescent="0.2">
      <c r="A394" s="16"/>
      <c r="B394" s="6"/>
      <c r="C394" s="6"/>
      <c r="D394" s="6"/>
      <c r="E394" s="4"/>
      <c r="F394" s="6"/>
      <c r="G394" s="6"/>
      <c r="H394" s="6"/>
      <c r="I394" s="6"/>
      <c r="J394" s="6"/>
      <c r="K394" s="6"/>
      <c r="L394" s="6"/>
      <c r="M394" s="6"/>
      <c r="N394" s="6"/>
      <c r="O394" s="16"/>
      <c r="P394" s="6"/>
      <c r="Q394" s="4"/>
      <c r="R394" s="4"/>
      <c r="S394" s="4"/>
      <c r="T394" s="4"/>
      <c r="U394" s="4"/>
      <c r="V394" s="4"/>
      <c r="W394" s="4"/>
      <c r="X394" s="4"/>
      <c r="Y394" s="4"/>
      <c r="Z394" s="4"/>
      <c r="AA394" s="4"/>
      <c r="AB394" s="4"/>
      <c r="AC394" s="4"/>
    </row>
    <row r="395" spans="1:29" ht="12.75" x14ac:dyDescent="0.2">
      <c r="A395" s="16"/>
      <c r="B395" s="6"/>
      <c r="C395" s="6"/>
      <c r="D395" s="6"/>
      <c r="E395" s="4"/>
      <c r="F395" s="6"/>
      <c r="G395" s="6"/>
      <c r="H395" s="6"/>
      <c r="I395" s="6"/>
      <c r="J395" s="6"/>
      <c r="K395" s="6"/>
      <c r="L395" s="6"/>
      <c r="M395" s="6"/>
      <c r="N395" s="6"/>
      <c r="O395" s="16"/>
      <c r="P395" s="6"/>
      <c r="Q395" s="4"/>
      <c r="R395" s="4"/>
      <c r="S395" s="4"/>
      <c r="T395" s="4"/>
      <c r="U395" s="4"/>
      <c r="V395" s="4"/>
      <c r="W395" s="4"/>
      <c r="X395" s="4"/>
      <c r="Y395" s="4"/>
      <c r="Z395" s="4"/>
      <c r="AA395" s="4"/>
      <c r="AB395" s="4"/>
      <c r="AC395" s="4"/>
    </row>
    <row r="396" spans="1:29" ht="12.75" x14ac:dyDescent="0.2">
      <c r="A396" s="16"/>
      <c r="B396" s="6"/>
      <c r="C396" s="6"/>
      <c r="D396" s="6"/>
      <c r="E396" s="4"/>
      <c r="F396" s="6"/>
      <c r="G396" s="6"/>
      <c r="H396" s="6"/>
      <c r="I396" s="6"/>
      <c r="J396" s="6"/>
      <c r="K396" s="6"/>
      <c r="L396" s="6"/>
      <c r="M396" s="6"/>
      <c r="N396" s="6"/>
      <c r="O396" s="16"/>
      <c r="P396" s="6"/>
      <c r="Q396" s="4"/>
      <c r="R396" s="4"/>
      <c r="S396" s="4"/>
      <c r="T396" s="4"/>
      <c r="U396" s="4"/>
      <c r="V396" s="4"/>
      <c r="W396" s="4"/>
      <c r="X396" s="4"/>
      <c r="Y396" s="4"/>
      <c r="Z396" s="4"/>
      <c r="AA396" s="4"/>
      <c r="AB396" s="4"/>
      <c r="AC396" s="4"/>
    </row>
    <row r="397" spans="1:29" ht="12.75" x14ac:dyDescent="0.2">
      <c r="A397" s="16"/>
      <c r="B397" s="6"/>
      <c r="C397" s="6"/>
      <c r="D397" s="6"/>
      <c r="E397" s="4"/>
      <c r="F397" s="6"/>
      <c r="G397" s="6"/>
      <c r="H397" s="6"/>
      <c r="I397" s="6"/>
      <c r="J397" s="6"/>
      <c r="K397" s="6"/>
      <c r="L397" s="6"/>
      <c r="M397" s="6"/>
      <c r="N397" s="6"/>
      <c r="O397" s="16"/>
      <c r="P397" s="6"/>
      <c r="Q397" s="4"/>
      <c r="R397" s="4"/>
      <c r="S397" s="4"/>
      <c r="T397" s="4"/>
      <c r="U397" s="4"/>
      <c r="V397" s="4"/>
      <c r="W397" s="4"/>
      <c r="X397" s="4"/>
      <c r="Y397" s="4"/>
      <c r="Z397" s="4"/>
      <c r="AA397" s="4"/>
      <c r="AB397" s="4"/>
      <c r="AC397" s="4"/>
    </row>
    <row r="398" spans="1:29" ht="12.75" x14ac:dyDescent="0.2">
      <c r="A398" s="16"/>
      <c r="B398" s="6"/>
      <c r="C398" s="6"/>
      <c r="D398" s="6"/>
      <c r="E398" s="4"/>
      <c r="F398" s="6"/>
      <c r="G398" s="6"/>
      <c r="H398" s="6"/>
      <c r="I398" s="6"/>
      <c r="J398" s="6"/>
      <c r="K398" s="6"/>
      <c r="L398" s="6"/>
      <c r="M398" s="6"/>
      <c r="N398" s="6"/>
      <c r="O398" s="16"/>
      <c r="P398" s="6"/>
      <c r="Q398" s="4"/>
      <c r="R398" s="4"/>
      <c r="S398" s="4"/>
      <c r="T398" s="4"/>
      <c r="U398" s="4"/>
      <c r="V398" s="4"/>
      <c r="W398" s="4"/>
      <c r="X398" s="4"/>
      <c r="Y398" s="4"/>
      <c r="Z398" s="4"/>
      <c r="AA398" s="4"/>
      <c r="AB398" s="4"/>
      <c r="AC398" s="4"/>
    </row>
    <row r="399" spans="1:29" ht="12.75" x14ac:dyDescent="0.2">
      <c r="A399" s="16"/>
      <c r="B399" s="6"/>
      <c r="C399" s="6"/>
      <c r="D399" s="6"/>
      <c r="E399" s="4"/>
      <c r="F399" s="6"/>
      <c r="G399" s="6"/>
      <c r="H399" s="6"/>
      <c r="I399" s="6"/>
      <c r="J399" s="6"/>
      <c r="K399" s="6"/>
      <c r="L399" s="6"/>
      <c r="M399" s="6"/>
      <c r="N399" s="6"/>
      <c r="O399" s="16"/>
      <c r="P399" s="6"/>
      <c r="Q399" s="4"/>
      <c r="R399" s="4"/>
      <c r="S399" s="4"/>
      <c r="T399" s="4"/>
      <c r="U399" s="4"/>
      <c r="V399" s="4"/>
      <c r="W399" s="4"/>
      <c r="X399" s="4"/>
      <c r="Y399" s="4"/>
      <c r="Z399" s="4"/>
      <c r="AA399" s="4"/>
      <c r="AB399" s="4"/>
      <c r="AC399" s="4"/>
    </row>
    <row r="400" spans="1:29" ht="12.75" x14ac:dyDescent="0.2">
      <c r="A400" s="16"/>
      <c r="B400" s="6"/>
      <c r="C400" s="6"/>
      <c r="D400" s="6"/>
      <c r="E400" s="4"/>
      <c r="F400" s="6"/>
      <c r="G400" s="6"/>
      <c r="H400" s="6"/>
      <c r="I400" s="6"/>
      <c r="J400" s="6"/>
      <c r="K400" s="6"/>
      <c r="L400" s="6"/>
      <c r="M400" s="6"/>
      <c r="N400" s="6"/>
      <c r="O400" s="16"/>
      <c r="P400" s="6"/>
      <c r="Q400" s="4"/>
      <c r="R400" s="4"/>
      <c r="S400" s="4"/>
      <c r="T400" s="4"/>
      <c r="U400" s="4"/>
      <c r="V400" s="4"/>
      <c r="W400" s="4"/>
      <c r="X400" s="4"/>
      <c r="Y400" s="4"/>
      <c r="Z400" s="4"/>
      <c r="AA400" s="4"/>
      <c r="AB400" s="4"/>
      <c r="AC400" s="4"/>
    </row>
    <row r="401" spans="1:29" ht="12.75" x14ac:dyDescent="0.2">
      <c r="A401" s="16"/>
      <c r="B401" s="6"/>
      <c r="C401" s="6"/>
      <c r="D401" s="6"/>
      <c r="E401" s="4"/>
      <c r="F401" s="6"/>
      <c r="G401" s="6"/>
      <c r="H401" s="6"/>
      <c r="I401" s="6"/>
      <c r="J401" s="6"/>
      <c r="K401" s="6"/>
      <c r="L401" s="6"/>
      <c r="M401" s="6"/>
      <c r="N401" s="6"/>
      <c r="O401" s="16"/>
      <c r="P401" s="6"/>
      <c r="Q401" s="4"/>
      <c r="R401" s="4"/>
      <c r="S401" s="4"/>
      <c r="T401" s="4"/>
      <c r="U401" s="4"/>
      <c r="V401" s="4"/>
      <c r="W401" s="4"/>
      <c r="X401" s="4"/>
      <c r="Y401" s="4"/>
      <c r="Z401" s="4"/>
      <c r="AA401" s="4"/>
      <c r="AB401" s="4"/>
      <c r="AC401" s="4"/>
    </row>
    <row r="402" spans="1:29" ht="12.75" x14ac:dyDescent="0.2">
      <c r="A402" s="16"/>
      <c r="B402" s="6"/>
      <c r="C402" s="6"/>
      <c r="D402" s="6"/>
      <c r="E402" s="4"/>
      <c r="F402" s="6"/>
      <c r="G402" s="6"/>
      <c r="H402" s="6"/>
      <c r="I402" s="6"/>
      <c r="J402" s="6"/>
      <c r="K402" s="6"/>
      <c r="L402" s="6"/>
      <c r="M402" s="6"/>
      <c r="N402" s="6"/>
      <c r="O402" s="16"/>
      <c r="P402" s="6"/>
      <c r="Q402" s="4"/>
      <c r="R402" s="4"/>
      <c r="S402" s="4"/>
      <c r="T402" s="4"/>
      <c r="U402" s="4"/>
      <c r="V402" s="4"/>
      <c r="W402" s="4"/>
      <c r="X402" s="4"/>
      <c r="Y402" s="4"/>
      <c r="Z402" s="4"/>
      <c r="AA402" s="4"/>
      <c r="AB402" s="4"/>
      <c r="AC402" s="4"/>
    </row>
    <row r="403" spans="1:29" ht="12.75" x14ac:dyDescent="0.2">
      <c r="A403" s="16"/>
      <c r="B403" s="6"/>
      <c r="C403" s="6"/>
      <c r="D403" s="6"/>
      <c r="E403" s="4"/>
      <c r="F403" s="6"/>
      <c r="G403" s="6"/>
      <c r="H403" s="6"/>
      <c r="I403" s="6"/>
      <c r="J403" s="6"/>
      <c r="K403" s="6"/>
      <c r="L403" s="6"/>
      <c r="M403" s="6"/>
      <c r="N403" s="6"/>
      <c r="O403" s="16"/>
      <c r="P403" s="6"/>
      <c r="Q403" s="4"/>
      <c r="R403" s="4"/>
      <c r="S403" s="4"/>
      <c r="T403" s="4"/>
      <c r="U403" s="4"/>
      <c r="V403" s="4"/>
      <c r="W403" s="4"/>
      <c r="X403" s="4"/>
      <c r="Y403" s="4"/>
      <c r="Z403" s="4"/>
      <c r="AA403" s="4"/>
      <c r="AB403" s="4"/>
      <c r="AC403" s="4"/>
    </row>
    <row r="404" spans="1:29" ht="12.75" x14ac:dyDescent="0.2">
      <c r="A404" s="16"/>
      <c r="B404" s="6"/>
      <c r="C404" s="6"/>
      <c r="D404" s="6"/>
      <c r="E404" s="4"/>
      <c r="F404" s="6"/>
      <c r="G404" s="6"/>
      <c r="H404" s="6"/>
      <c r="I404" s="6"/>
      <c r="J404" s="6"/>
      <c r="K404" s="6"/>
      <c r="L404" s="6"/>
      <c r="M404" s="6"/>
      <c r="N404" s="6"/>
      <c r="O404" s="16"/>
      <c r="P404" s="6"/>
      <c r="Q404" s="4"/>
      <c r="R404" s="4"/>
      <c r="S404" s="4"/>
      <c r="T404" s="4"/>
      <c r="U404" s="4"/>
      <c r="V404" s="4"/>
      <c r="W404" s="4"/>
      <c r="X404" s="4"/>
      <c r="Y404" s="4"/>
      <c r="Z404" s="4"/>
      <c r="AA404" s="4"/>
      <c r="AB404" s="4"/>
      <c r="AC404" s="4"/>
    </row>
    <row r="405" spans="1:29" ht="12.75" x14ac:dyDescent="0.2">
      <c r="A405" s="16"/>
      <c r="B405" s="6"/>
      <c r="C405" s="6"/>
      <c r="D405" s="6"/>
      <c r="E405" s="4"/>
      <c r="F405" s="6"/>
      <c r="G405" s="6"/>
      <c r="H405" s="6"/>
      <c r="I405" s="6"/>
      <c r="J405" s="6"/>
      <c r="K405" s="6"/>
      <c r="L405" s="6"/>
      <c r="M405" s="6"/>
      <c r="N405" s="6"/>
      <c r="O405" s="16"/>
      <c r="P405" s="6"/>
      <c r="Q405" s="4"/>
      <c r="R405" s="4"/>
      <c r="S405" s="4"/>
      <c r="T405" s="4"/>
      <c r="U405" s="4"/>
      <c r="V405" s="4"/>
      <c r="W405" s="4"/>
      <c r="X405" s="4"/>
      <c r="Y405" s="4"/>
      <c r="Z405" s="4"/>
      <c r="AA405" s="4"/>
      <c r="AB405" s="4"/>
      <c r="AC405" s="4"/>
    </row>
    <row r="406" spans="1:29" ht="12.75" x14ac:dyDescent="0.2">
      <c r="A406" s="16"/>
      <c r="B406" s="6"/>
      <c r="C406" s="6"/>
      <c r="D406" s="6"/>
      <c r="E406" s="4"/>
      <c r="F406" s="6"/>
      <c r="G406" s="6"/>
      <c r="H406" s="6"/>
      <c r="I406" s="6"/>
      <c r="J406" s="6"/>
      <c r="K406" s="6"/>
      <c r="L406" s="6"/>
      <c r="M406" s="6"/>
      <c r="N406" s="6"/>
      <c r="O406" s="16"/>
      <c r="P406" s="6"/>
      <c r="Q406" s="4"/>
      <c r="R406" s="4"/>
      <c r="S406" s="4"/>
      <c r="T406" s="4"/>
      <c r="U406" s="4"/>
      <c r="V406" s="4"/>
      <c r="W406" s="4"/>
      <c r="X406" s="4"/>
      <c r="Y406" s="4"/>
      <c r="Z406" s="4"/>
      <c r="AA406" s="4"/>
      <c r="AB406" s="4"/>
      <c r="AC406" s="4"/>
    </row>
    <row r="407" spans="1:29" ht="12.75" x14ac:dyDescent="0.2">
      <c r="A407" s="16"/>
      <c r="B407" s="6"/>
      <c r="C407" s="6"/>
      <c r="D407" s="6"/>
      <c r="E407" s="4"/>
      <c r="F407" s="6"/>
      <c r="G407" s="6"/>
      <c r="H407" s="6"/>
      <c r="I407" s="6"/>
      <c r="J407" s="6"/>
      <c r="K407" s="6"/>
      <c r="L407" s="6"/>
      <c r="M407" s="6"/>
      <c r="N407" s="6"/>
      <c r="O407" s="16"/>
      <c r="P407" s="6"/>
      <c r="Q407" s="4"/>
      <c r="R407" s="4"/>
      <c r="S407" s="4"/>
      <c r="T407" s="4"/>
      <c r="U407" s="4"/>
      <c r="V407" s="4"/>
      <c r="W407" s="4"/>
      <c r="X407" s="4"/>
      <c r="Y407" s="4"/>
      <c r="Z407" s="4"/>
      <c r="AA407" s="4"/>
      <c r="AB407" s="4"/>
      <c r="AC407" s="4"/>
    </row>
    <row r="408" spans="1:29" ht="12.75" x14ac:dyDescent="0.2">
      <c r="A408" s="16"/>
      <c r="B408" s="6"/>
      <c r="C408" s="6"/>
      <c r="D408" s="6"/>
      <c r="E408" s="4"/>
      <c r="F408" s="6"/>
      <c r="G408" s="6"/>
      <c r="H408" s="6"/>
      <c r="I408" s="6"/>
      <c r="J408" s="6"/>
      <c r="K408" s="6"/>
      <c r="L408" s="6"/>
      <c r="M408" s="6"/>
      <c r="N408" s="6"/>
      <c r="O408" s="16"/>
      <c r="P408" s="6"/>
      <c r="Q408" s="4"/>
      <c r="R408" s="4"/>
      <c r="S408" s="4"/>
      <c r="T408" s="4"/>
      <c r="U408" s="4"/>
      <c r="V408" s="4"/>
      <c r="W408" s="4"/>
      <c r="X408" s="4"/>
      <c r="Y408" s="4"/>
      <c r="Z408" s="4"/>
      <c r="AA408" s="4"/>
      <c r="AB408" s="4"/>
      <c r="AC408" s="4"/>
    </row>
    <row r="409" spans="1:29" ht="12.75" x14ac:dyDescent="0.2">
      <c r="A409" s="16"/>
      <c r="B409" s="6"/>
      <c r="C409" s="6"/>
      <c r="D409" s="6"/>
      <c r="E409" s="4"/>
      <c r="F409" s="6"/>
      <c r="G409" s="6"/>
      <c r="H409" s="6"/>
      <c r="I409" s="6"/>
      <c r="J409" s="6"/>
      <c r="K409" s="6"/>
      <c r="L409" s="6"/>
      <c r="M409" s="6"/>
      <c r="N409" s="6"/>
      <c r="O409" s="16"/>
      <c r="P409" s="6"/>
      <c r="Q409" s="4"/>
      <c r="R409" s="4"/>
      <c r="S409" s="4"/>
      <c r="T409" s="4"/>
      <c r="U409" s="4"/>
      <c r="V409" s="4"/>
      <c r="W409" s="4"/>
      <c r="X409" s="4"/>
      <c r="Y409" s="4"/>
      <c r="Z409" s="4"/>
      <c r="AA409" s="4"/>
      <c r="AB409" s="4"/>
      <c r="AC409" s="4"/>
    </row>
    <row r="410" spans="1:29" ht="12.75" x14ac:dyDescent="0.2">
      <c r="A410" s="16"/>
      <c r="B410" s="6"/>
      <c r="C410" s="6"/>
      <c r="D410" s="6"/>
      <c r="E410" s="4"/>
      <c r="F410" s="6"/>
      <c r="G410" s="6"/>
      <c r="H410" s="6"/>
      <c r="I410" s="6"/>
      <c r="J410" s="6"/>
      <c r="K410" s="6"/>
      <c r="L410" s="6"/>
      <c r="M410" s="6"/>
      <c r="N410" s="6"/>
      <c r="O410" s="16"/>
      <c r="P410" s="6"/>
      <c r="Q410" s="4"/>
      <c r="R410" s="4"/>
      <c r="S410" s="4"/>
      <c r="T410" s="4"/>
      <c r="U410" s="4"/>
      <c r="V410" s="4"/>
      <c r="W410" s="4"/>
      <c r="X410" s="4"/>
      <c r="Y410" s="4"/>
      <c r="Z410" s="4"/>
      <c r="AA410" s="4"/>
      <c r="AB410" s="4"/>
      <c r="AC410" s="4"/>
    </row>
    <row r="411" spans="1:29" ht="12.75" x14ac:dyDescent="0.2">
      <c r="A411" s="16"/>
      <c r="B411" s="6"/>
      <c r="C411" s="6"/>
      <c r="D411" s="6"/>
      <c r="E411" s="4"/>
      <c r="F411" s="6"/>
      <c r="G411" s="6"/>
      <c r="H411" s="6"/>
      <c r="I411" s="6"/>
      <c r="J411" s="6"/>
      <c r="K411" s="6"/>
      <c r="L411" s="6"/>
      <c r="M411" s="6"/>
      <c r="N411" s="6"/>
      <c r="O411" s="16"/>
      <c r="P411" s="6"/>
      <c r="Q411" s="4"/>
      <c r="R411" s="4"/>
      <c r="S411" s="4"/>
      <c r="T411" s="4"/>
      <c r="U411" s="4"/>
      <c r="V411" s="4"/>
      <c r="W411" s="4"/>
      <c r="X411" s="4"/>
      <c r="Y411" s="4"/>
      <c r="Z411" s="4"/>
      <c r="AA411" s="4"/>
      <c r="AB411" s="4"/>
      <c r="AC411" s="4"/>
    </row>
    <row r="412" spans="1:29" ht="12.75" x14ac:dyDescent="0.2">
      <c r="A412" s="16"/>
      <c r="B412" s="6"/>
      <c r="C412" s="6"/>
      <c r="D412" s="6"/>
      <c r="E412" s="4"/>
      <c r="F412" s="6"/>
      <c r="G412" s="6"/>
      <c r="H412" s="6"/>
      <c r="I412" s="6"/>
      <c r="J412" s="6"/>
      <c r="K412" s="6"/>
      <c r="L412" s="6"/>
      <c r="M412" s="6"/>
      <c r="N412" s="6"/>
      <c r="O412" s="16"/>
      <c r="P412" s="6"/>
      <c r="Q412" s="4"/>
      <c r="R412" s="4"/>
      <c r="S412" s="4"/>
      <c r="T412" s="4"/>
      <c r="U412" s="4"/>
      <c r="V412" s="4"/>
      <c r="W412" s="4"/>
      <c r="X412" s="4"/>
      <c r="Y412" s="4"/>
      <c r="Z412" s="4"/>
      <c r="AA412" s="4"/>
      <c r="AB412" s="4"/>
      <c r="AC412" s="4"/>
    </row>
    <row r="413" spans="1:29" ht="12.75" x14ac:dyDescent="0.2">
      <c r="A413" s="16"/>
      <c r="B413" s="6"/>
      <c r="C413" s="6"/>
      <c r="D413" s="6"/>
      <c r="E413" s="4"/>
      <c r="F413" s="6"/>
      <c r="G413" s="6"/>
      <c r="H413" s="6"/>
      <c r="I413" s="6"/>
      <c r="J413" s="6"/>
      <c r="K413" s="6"/>
      <c r="L413" s="6"/>
      <c r="M413" s="6"/>
      <c r="N413" s="6"/>
      <c r="O413" s="16"/>
      <c r="P413" s="6"/>
      <c r="Q413" s="4"/>
      <c r="R413" s="4"/>
      <c r="S413" s="4"/>
      <c r="T413" s="4"/>
      <c r="U413" s="4"/>
      <c r="V413" s="4"/>
      <c r="W413" s="4"/>
      <c r="X413" s="4"/>
      <c r="Y413" s="4"/>
      <c r="Z413" s="4"/>
      <c r="AA413" s="4"/>
      <c r="AB413" s="4"/>
      <c r="AC413" s="4"/>
    </row>
    <row r="414" spans="1:29" ht="12.75" x14ac:dyDescent="0.2">
      <c r="A414" s="16"/>
      <c r="B414" s="6"/>
      <c r="C414" s="6"/>
      <c r="D414" s="6"/>
      <c r="E414" s="4"/>
      <c r="F414" s="6"/>
      <c r="G414" s="6"/>
      <c r="H414" s="6"/>
      <c r="I414" s="6"/>
      <c r="J414" s="6"/>
      <c r="K414" s="6"/>
      <c r="L414" s="6"/>
      <c r="M414" s="6"/>
      <c r="N414" s="6"/>
      <c r="O414" s="16"/>
      <c r="P414" s="6"/>
      <c r="Q414" s="4"/>
      <c r="R414" s="4"/>
      <c r="S414" s="4"/>
      <c r="T414" s="4"/>
      <c r="U414" s="4"/>
      <c r="V414" s="4"/>
      <c r="W414" s="4"/>
      <c r="X414" s="4"/>
      <c r="Y414" s="4"/>
      <c r="Z414" s="4"/>
      <c r="AA414" s="4"/>
      <c r="AB414" s="4"/>
      <c r="AC414" s="4"/>
    </row>
    <row r="415" spans="1:29" ht="12.75" x14ac:dyDescent="0.2">
      <c r="A415" s="16"/>
      <c r="B415" s="6"/>
      <c r="C415" s="6"/>
      <c r="D415" s="6"/>
      <c r="E415" s="4"/>
      <c r="F415" s="6"/>
      <c r="G415" s="6"/>
      <c r="H415" s="6"/>
      <c r="I415" s="6"/>
      <c r="J415" s="6"/>
      <c r="K415" s="6"/>
      <c r="L415" s="6"/>
      <c r="M415" s="6"/>
      <c r="N415" s="6"/>
      <c r="O415" s="16"/>
      <c r="P415" s="6"/>
      <c r="Q415" s="4"/>
      <c r="R415" s="4"/>
      <c r="S415" s="4"/>
      <c r="T415" s="4"/>
      <c r="U415" s="4"/>
      <c r="V415" s="4"/>
      <c r="W415" s="4"/>
      <c r="X415" s="4"/>
      <c r="Y415" s="4"/>
      <c r="Z415" s="4"/>
      <c r="AA415" s="4"/>
      <c r="AB415" s="4"/>
      <c r="AC415" s="4"/>
    </row>
    <row r="416" spans="1:29" ht="12.75" x14ac:dyDescent="0.2">
      <c r="A416" s="16"/>
      <c r="B416" s="6"/>
      <c r="C416" s="6"/>
      <c r="D416" s="6"/>
      <c r="E416" s="4"/>
      <c r="F416" s="6"/>
      <c r="G416" s="6"/>
      <c r="H416" s="6"/>
      <c r="I416" s="6"/>
      <c r="J416" s="6"/>
      <c r="K416" s="6"/>
      <c r="L416" s="6"/>
      <c r="M416" s="6"/>
      <c r="N416" s="6"/>
      <c r="O416" s="16"/>
      <c r="P416" s="6"/>
      <c r="Q416" s="4"/>
      <c r="R416" s="4"/>
      <c r="S416" s="4"/>
      <c r="T416" s="4"/>
      <c r="U416" s="4"/>
      <c r="V416" s="4"/>
      <c r="W416" s="4"/>
      <c r="X416" s="4"/>
      <c r="Y416" s="4"/>
      <c r="Z416" s="4"/>
      <c r="AA416" s="4"/>
      <c r="AB416" s="4"/>
      <c r="AC416" s="4"/>
    </row>
    <row r="417" spans="1:29" ht="12.75" x14ac:dyDescent="0.2">
      <c r="A417" s="16"/>
      <c r="B417" s="6"/>
      <c r="C417" s="6"/>
      <c r="D417" s="6"/>
      <c r="E417" s="4"/>
      <c r="F417" s="6"/>
      <c r="G417" s="6"/>
      <c r="H417" s="6"/>
      <c r="I417" s="6"/>
      <c r="J417" s="6"/>
      <c r="K417" s="6"/>
      <c r="L417" s="6"/>
      <c r="M417" s="6"/>
      <c r="N417" s="6"/>
      <c r="O417" s="16"/>
      <c r="P417" s="6"/>
      <c r="Q417" s="4"/>
      <c r="R417" s="4"/>
      <c r="S417" s="4"/>
      <c r="T417" s="4"/>
      <c r="U417" s="4"/>
      <c r="V417" s="4"/>
      <c r="W417" s="4"/>
      <c r="X417" s="4"/>
      <c r="Y417" s="4"/>
      <c r="Z417" s="4"/>
      <c r="AA417" s="4"/>
      <c r="AB417" s="4"/>
      <c r="AC417" s="4"/>
    </row>
    <row r="418" spans="1:29" ht="12.75" x14ac:dyDescent="0.2">
      <c r="A418" s="16"/>
      <c r="B418" s="6"/>
      <c r="C418" s="6"/>
      <c r="D418" s="6"/>
      <c r="E418" s="4"/>
      <c r="F418" s="6"/>
      <c r="G418" s="6"/>
      <c r="H418" s="6"/>
      <c r="I418" s="6"/>
      <c r="J418" s="6"/>
      <c r="K418" s="6"/>
      <c r="L418" s="6"/>
      <c r="M418" s="6"/>
      <c r="N418" s="6"/>
      <c r="O418" s="16"/>
      <c r="P418" s="6"/>
      <c r="Q418" s="4"/>
      <c r="R418" s="4"/>
      <c r="S418" s="4"/>
      <c r="T418" s="4"/>
      <c r="U418" s="4"/>
      <c r="V418" s="4"/>
      <c r="W418" s="4"/>
      <c r="X418" s="4"/>
      <c r="Y418" s="4"/>
      <c r="Z418" s="4"/>
      <c r="AA418" s="4"/>
      <c r="AB418" s="4"/>
      <c r="AC418" s="4"/>
    </row>
    <row r="419" spans="1:29" ht="12.75" x14ac:dyDescent="0.2">
      <c r="A419" s="16"/>
      <c r="B419" s="6"/>
      <c r="C419" s="6"/>
      <c r="D419" s="6"/>
      <c r="E419" s="4"/>
      <c r="F419" s="6"/>
      <c r="G419" s="6"/>
      <c r="H419" s="6"/>
      <c r="I419" s="6"/>
      <c r="J419" s="6"/>
      <c r="K419" s="6"/>
      <c r="L419" s="6"/>
      <c r="M419" s="6"/>
      <c r="N419" s="6"/>
      <c r="O419" s="16"/>
      <c r="P419" s="6"/>
      <c r="Q419" s="4"/>
      <c r="R419" s="4"/>
      <c r="S419" s="4"/>
      <c r="T419" s="4"/>
      <c r="U419" s="4"/>
      <c r="V419" s="4"/>
      <c r="W419" s="4"/>
      <c r="X419" s="4"/>
      <c r="Y419" s="4"/>
      <c r="Z419" s="4"/>
      <c r="AA419" s="4"/>
      <c r="AB419" s="4"/>
      <c r="AC419" s="4"/>
    </row>
    <row r="420" spans="1:29" ht="12.75" x14ac:dyDescent="0.2">
      <c r="A420" s="16"/>
      <c r="B420" s="6"/>
      <c r="C420" s="6"/>
      <c r="D420" s="6"/>
      <c r="E420" s="4"/>
      <c r="F420" s="6"/>
      <c r="G420" s="6"/>
      <c r="H420" s="6"/>
      <c r="I420" s="6"/>
      <c r="J420" s="6"/>
      <c r="K420" s="6"/>
      <c r="L420" s="6"/>
      <c r="M420" s="6"/>
      <c r="N420" s="6"/>
      <c r="O420" s="16"/>
      <c r="P420" s="6"/>
      <c r="Q420" s="4"/>
      <c r="R420" s="4"/>
      <c r="S420" s="4"/>
      <c r="T420" s="4"/>
      <c r="U420" s="4"/>
      <c r="V420" s="4"/>
      <c r="W420" s="4"/>
      <c r="X420" s="4"/>
      <c r="Y420" s="4"/>
      <c r="Z420" s="4"/>
      <c r="AA420" s="4"/>
      <c r="AB420" s="4"/>
      <c r="AC420" s="4"/>
    </row>
    <row r="421" spans="1:29" ht="12.75" x14ac:dyDescent="0.2">
      <c r="A421" s="16"/>
      <c r="B421" s="6"/>
      <c r="C421" s="6"/>
      <c r="D421" s="6"/>
      <c r="E421" s="4"/>
      <c r="F421" s="6"/>
      <c r="G421" s="6"/>
      <c r="H421" s="6"/>
      <c r="I421" s="6"/>
      <c r="J421" s="6"/>
      <c r="K421" s="6"/>
      <c r="L421" s="6"/>
      <c r="M421" s="6"/>
      <c r="N421" s="6"/>
      <c r="O421" s="16"/>
      <c r="P421" s="6"/>
      <c r="Q421" s="4"/>
      <c r="R421" s="4"/>
      <c r="S421" s="4"/>
      <c r="T421" s="4"/>
      <c r="U421" s="4"/>
      <c r="V421" s="4"/>
      <c r="W421" s="4"/>
      <c r="X421" s="4"/>
      <c r="Y421" s="4"/>
      <c r="Z421" s="4"/>
      <c r="AA421" s="4"/>
      <c r="AB421" s="4"/>
      <c r="AC421" s="4"/>
    </row>
    <row r="422" spans="1:29" ht="12.75" x14ac:dyDescent="0.2">
      <c r="A422" s="16"/>
      <c r="B422" s="6"/>
      <c r="C422" s="6"/>
      <c r="D422" s="6"/>
      <c r="E422" s="4"/>
      <c r="F422" s="6"/>
      <c r="G422" s="6"/>
      <c r="H422" s="6"/>
      <c r="I422" s="6"/>
      <c r="J422" s="6"/>
      <c r="K422" s="6"/>
      <c r="L422" s="6"/>
      <c r="M422" s="6"/>
      <c r="N422" s="6"/>
      <c r="O422" s="16"/>
      <c r="P422" s="6"/>
      <c r="Q422" s="4"/>
      <c r="R422" s="4"/>
      <c r="S422" s="4"/>
      <c r="T422" s="4"/>
      <c r="U422" s="4"/>
      <c r="V422" s="4"/>
      <c r="W422" s="4"/>
      <c r="X422" s="4"/>
      <c r="Y422" s="4"/>
      <c r="Z422" s="4"/>
      <c r="AA422" s="4"/>
      <c r="AB422" s="4"/>
      <c r="AC422" s="4"/>
    </row>
    <row r="423" spans="1:29" ht="12.75" x14ac:dyDescent="0.2">
      <c r="A423" s="16"/>
      <c r="B423" s="6"/>
      <c r="C423" s="6"/>
      <c r="D423" s="6"/>
      <c r="E423" s="4"/>
      <c r="F423" s="6"/>
      <c r="G423" s="6"/>
      <c r="H423" s="6"/>
      <c r="I423" s="6"/>
      <c r="J423" s="6"/>
      <c r="K423" s="6"/>
      <c r="L423" s="6"/>
      <c r="M423" s="6"/>
      <c r="N423" s="6"/>
      <c r="O423" s="16"/>
      <c r="P423" s="6"/>
      <c r="Q423" s="4"/>
      <c r="R423" s="4"/>
      <c r="S423" s="4"/>
      <c r="T423" s="4"/>
      <c r="U423" s="4"/>
      <c r="V423" s="4"/>
      <c r="W423" s="4"/>
      <c r="X423" s="4"/>
      <c r="Y423" s="4"/>
      <c r="Z423" s="4"/>
      <c r="AA423" s="4"/>
      <c r="AB423" s="4"/>
      <c r="AC423" s="4"/>
    </row>
    <row r="424" spans="1:29" ht="12.75" x14ac:dyDescent="0.2">
      <c r="A424" s="16"/>
      <c r="B424" s="6"/>
      <c r="C424" s="6"/>
      <c r="D424" s="6"/>
      <c r="E424" s="4"/>
      <c r="F424" s="6"/>
      <c r="G424" s="6"/>
      <c r="H424" s="6"/>
      <c r="I424" s="6"/>
      <c r="J424" s="6"/>
      <c r="K424" s="6"/>
      <c r="L424" s="6"/>
      <c r="M424" s="6"/>
      <c r="N424" s="6"/>
      <c r="O424" s="16"/>
      <c r="P424" s="6"/>
      <c r="Q424" s="4"/>
      <c r="R424" s="4"/>
      <c r="S424" s="4"/>
      <c r="T424" s="4"/>
      <c r="U424" s="4"/>
      <c r="V424" s="4"/>
      <c r="W424" s="4"/>
      <c r="X424" s="4"/>
      <c r="Y424" s="4"/>
      <c r="Z424" s="4"/>
      <c r="AA424" s="4"/>
      <c r="AB424" s="4"/>
      <c r="AC424" s="4"/>
    </row>
    <row r="425" spans="1:29" ht="12.75" x14ac:dyDescent="0.2">
      <c r="A425" s="16"/>
      <c r="B425" s="6"/>
      <c r="C425" s="6"/>
      <c r="D425" s="6"/>
      <c r="E425" s="4"/>
      <c r="F425" s="6"/>
      <c r="G425" s="6"/>
      <c r="H425" s="6"/>
      <c r="I425" s="6"/>
      <c r="J425" s="6"/>
      <c r="K425" s="6"/>
      <c r="L425" s="6"/>
      <c r="M425" s="6"/>
      <c r="N425" s="6"/>
      <c r="O425" s="16"/>
      <c r="P425" s="6"/>
      <c r="Q425" s="4"/>
      <c r="R425" s="4"/>
      <c r="S425" s="4"/>
      <c r="T425" s="4"/>
      <c r="U425" s="4"/>
      <c r="V425" s="4"/>
      <c r="W425" s="4"/>
      <c r="X425" s="4"/>
      <c r="Y425" s="4"/>
      <c r="Z425" s="4"/>
      <c r="AA425" s="4"/>
      <c r="AB425" s="4"/>
      <c r="AC425" s="4"/>
    </row>
    <row r="426" spans="1:29" ht="12.75" x14ac:dyDescent="0.2">
      <c r="A426" s="16"/>
      <c r="B426" s="6"/>
      <c r="C426" s="6"/>
      <c r="D426" s="6"/>
      <c r="E426" s="4"/>
      <c r="F426" s="6"/>
      <c r="G426" s="6"/>
      <c r="H426" s="6"/>
      <c r="I426" s="6"/>
      <c r="J426" s="6"/>
      <c r="K426" s="6"/>
      <c r="L426" s="6"/>
      <c r="M426" s="6"/>
      <c r="N426" s="6"/>
      <c r="O426" s="16"/>
      <c r="P426" s="6"/>
      <c r="Q426" s="4"/>
      <c r="R426" s="4"/>
      <c r="S426" s="4"/>
      <c r="T426" s="4"/>
      <c r="U426" s="4"/>
      <c r="V426" s="4"/>
      <c r="W426" s="4"/>
      <c r="X426" s="4"/>
      <c r="Y426" s="4"/>
      <c r="Z426" s="4"/>
      <c r="AA426" s="4"/>
      <c r="AB426" s="4"/>
      <c r="AC426" s="4"/>
    </row>
    <row r="427" spans="1:29" ht="12.75" x14ac:dyDescent="0.2">
      <c r="A427" s="16"/>
      <c r="B427" s="6"/>
      <c r="C427" s="6"/>
      <c r="D427" s="6"/>
      <c r="E427" s="4"/>
      <c r="F427" s="6"/>
      <c r="G427" s="6"/>
      <c r="H427" s="6"/>
      <c r="I427" s="6"/>
      <c r="J427" s="6"/>
      <c r="K427" s="6"/>
      <c r="L427" s="6"/>
      <c r="M427" s="6"/>
      <c r="N427" s="6"/>
      <c r="O427" s="16"/>
      <c r="P427" s="6"/>
      <c r="Q427" s="4"/>
      <c r="R427" s="4"/>
      <c r="S427" s="4"/>
      <c r="T427" s="4"/>
      <c r="U427" s="4"/>
      <c r="V427" s="4"/>
      <c r="W427" s="4"/>
      <c r="X427" s="4"/>
      <c r="Y427" s="4"/>
      <c r="Z427" s="4"/>
      <c r="AA427" s="4"/>
      <c r="AB427" s="4"/>
      <c r="AC427" s="4"/>
    </row>
    <row r="428" spans="1:29" ht="12.75" x14ac:dyDescent="0.2">
      <c r="A428" s="16"/>
      <c r="B428" s="6"/>
      <c r="C428" s="6"/>
      <c r="D428" s="6"/>
      <c r="E428" s="4"/>
      <c r="F428" s="6"/>
      <c r="G428" s="6"/>
      <c r="H428" s="6"/>
      <c r="I428" s="6"/>
      <c r="J428" s="6"/>
      <c r="K428" s="6"/>
      <c r="L428" s="6"/>
      <c r="M428" s="6"/>
      <c r="N428" s="6"/>
      <c r="O428" s="16"/>
      <c r="P428" s="6"/>
      <c r="Q428" s="4"/>
      <c r="R428" s="4"/>
      <c r="S428" s="4"/>
      <c r="T428" s="4"/>
      <c r="U428" s="4"/>
      <c r="V428" s="4"/>
      <c r="W428" s="4"/>
      <c r="X428" s="4"/>
      <c r="Y428" s="4"/>
      <c r="Z428" s="4"/>
      <c r="AA428" s="4"/>
      <c r="AB428" s="4"/>
      <c r="AC428" s="4"/>
    </row>
    <row r="429" spans="1:29" ht="12.75" x14ac:dyDescent="0.2">
      <c r="A429" s="16"/>
      <c r="B429" s="6"/>
      <c r="C429" s="6"/>
      <c r="D429" s="6"/>
      <c r="E429" s="4"/>
      <c r="F429" s="6"/>
      <c r="G429" s="6"/>
      <c r="H429" s="6"/>
      <c r="I429" s="6"/>
      <c r="J429" s="6"/>
      <c r="K429" s="6"/>
      <c r="L429" s="6"/>
      <c r="M429" s="6"/>
      <c r="N429" s="6"/>
      <c r="O429" s="16"/>
      <c r="P429" s="6"/>
      <c r="Q429" s="4"/>
      <c r="R429" s="4"/>
      <c r="S429" s="4"/>
      <c r="T429" s="4"/>
      <c r="U429" s="4"/>
      <c r="V429" s="4"/>
      <c r="W429" s="4"/>
      <c r="X429" s="4"/>
      <c r="Y429" s="4"/>
      <c r="Z429" s="4"/>
      <c r="AA429" s="4"/>
      <c r="AB429" s="4"/>
      <c r="AC429" s="4"/>
    </row>
    <row r="430" spans="1:29" ht="12.75" x14ac:dyDescent="0.2">
      <c r="A430" s="16"/>
      <c r="B430" s="6"/>
      <c r="C430" s="6"/>
      <c r="D430" s="6"/>
      <c r="E430" s="4"/>
      <c r="F430" s="6"/>
      <c r="G430" s="6"/>
      <c r="H430" s="6"/>
      <c r="I430" s="6"/>
      <c r="J430" s="6"/>
      <c r="K430" s="6"/>
      <c r="L430" s="6"/>
      <c r="M430" s="6"/>
      <c r="N430" s="6"/>
      <c r="O430" s="16"/>
      <c r="P430" s="6"/>
      <c r="Q430" s="4"/>
      <c r="R430" s="4"/>
      <c r="S430" s="4"/>
      <c r="T430" s="4"/>
      <c r="U430" s="4"/>
      <c r="V430" s="4"/>
      <c r="W430" s="4"/>
      <c r="X430" s="4"/>
      <c r="Y430" s="4"/>
      <c r="Z430" s="4"/>
      <c r="AA430" s="4"/>
      <c r="AB430" s="4"/>
      <c r="AC430" s="4"/>
    </row>
    <row r="431" spans="1:29" ht="12.75" x14ac:dyDescent="0.2">
      <c r="A431" s="16"/>
      <c r="B431" s="6"/>
      <c r="C431" s="6"/>
      <c r="D431" s="6"/>
      <c r="E431" s="4"/>
      <c r="F431" s="6"/>
      <c r="G431" s="6"/>
      <c r="H431" s="6"/>
      <c r="I431" s="6"/>
      <c r="J431" s="6"/>
      <c r="K431" s="6"/>
      <c r="L431" s="6"/>
      <c r="M431" s="6"/>
      <c r="N431" s="6"/>
      <c r="O431" s="16"/>
      <c r="P431" s="6"/>
      <c r="Q431" s="4"/>
      <c r="R431" s="4"/>
      <c r="S431" s="4"/>
      <c r="T431" s="4"/>
      <c r="U431" s="4"/>
      <c r="V431" s="4"/>
      <c r="W431" s="4"/>
      <c r="X431" s="4"/>
      <c r="Y431" s="4"/>
      <c r="Z431" s="4"/>
      <c r="AA431" s="4"/>
      <c r="AB431" s="4"/>
      <c r="AC431" s="4"/>
    </row>
    <row r="432" spans="1:29" ht="12.75" x14ac:dyDescent="0.2">
      <c r="A432" s="16"/>
      <c r="B432" s="6"/>
      <c r="C432" s="6"/>
      <c r="D432" s="6"/>
      <c r="E432" s="4"/>
      <c r="F432" s="6"/>
      <c r="G432" s="6"/>
      <c r="H432" s="6"/>
      <c r="I432" s="6"/>
      <c r="J432" s="6"/>
      <c r="K432" s="6"/>
      <c r="L432" s="6"/>
      <c r="M432" s="6"/>
      <c r="N432" s="6"/>
      <c r="O432" s="16"/>
      <c r="P432" s="6"/>
      <c r="Q432" s="4"/>
      <c r="R432" s="4"/>
      <c r="S432" s="4"/>
      <c r="T432" s="4"/>
      <c r="U432" s="4"/>
      <c r="V432" s="4"/>
      <c r="W432" s="4"/>
      <c r="X432" s="4"/>
      <c r="Y432" s="4"/>
      <c r="Z432" s="4"/>
      <c r="AA432" s="4"/>
      <c r="AB432" s="4"/>
      <c r="AC432" s="4"/>
    </row>
    <row r="433" spans="1:29" ht="12.75" x14ac:dyDescent="0.2">
      <c r="A433" s="16"/>
      <c r="B433" s="6"/>
      <c r="C433" s="6"/>
      <c r="D433" s="6"/>
      <c r="E433" s="4"/>
      <c r="F433" s="6"/>
      <c r="G433" s="6"/>
      <c r="H433" s="6"/>
      <c r="I433" s="6"/>
      <c r="J433" s="6"/>
      <c r="K433" s="6"/>
      <c r="L433" s="6"/>
      <c r="M433" s="6"/>
      <c r="N433" s="6"/>
      <c r="O433" s="16"/>
      <c r="P433" s="6"/>
      <c r="Q433" s="4"/>
      <c r="R433" s="4"/>
      <c r="S433" s="4"/>
      <c r="T433" s="4"/>
      <c r="U433" s="4"/>
      <c r="V433" s="4"/>
      <c r="W433" s="4"/>
      <c r="X433" s="4"/>
      <c r="Y433" s="4"/>
      <c r="Z433" s="4"/>
      <c r="AA433" s="4"/>
      <c r="AB433" s="4"/>
      <c r="AC433" s="4"/>
    </row>
    <row r="434" spans="1:29" ht="12.75" x14ac:dyDescent="0.2">
      <c r="A434" s="16"/>
      <c r="B434" s="6"/>
      <c r="C434" s="6"/>
      <c r="D434" s="6"/>
      <c r="E434" s="4"/>
      <c r="F434" s="6"/>
      <c r="G434" s="6"/>
      <c r="H434" s="6"/>
      <c r="I434" s="6"/>
      <c r="J434" s="6"/>
      <c r="K434" s="6"/>
      <c r="L434" s="6"/>
      <c r="M434" s="6"/>
      <c r="N434" s="6"/>
      <c r="O434" s="16"/>
      <c r="P434" s="6"/>
      <c r="Q434" s="4"/>
      <c r="R434" s="4"/>
      <c r="S434" s="4"/>
      <c r="T434" s="4"/>
      <c r="U434" s="4"/>
      <c r="V434" s="4"/>
      <c r="W434" s="4"/>
      <c r="X434" s="4"/>
      <c r="Y434" s="4"/>
      <c r="Z434" s="4"/>
      <c r="AA434" s="4"/>
      <c r="AB434" s="4"/>
      <c r="AC434" s="4"/>
    </row>
    <row r="435" spans="1:29" ht="12.75" x14ac:dyDescent="0.2">
      <c r="A435" s="16"/>
      <c r="B435" s="6"/>
      <c r="C435" s="6"/>
      <c r="D435" s="6"/>
      <c r="E435" s="4"/>
      <c r="F435" s="6"/>
      <c r="G435" s="6"/>
      <c r="H435" s="6"/>
      <c r="I435" s="6"/>
      <c r="J435" s="6"/>
      <c r="K435" s="6"/>
      <c r="L435" s="6"/>
      <c r="M435" s="6"/>
      <c r="N435" s="6"/>
      <c r="O435" s="16"/>
      <c r="P435" s="6"/>
      <c r="Q435" s="4"/>
      <c r="R435" s="4"/>
      <c r="S435" s="4"/>
      <c r="T435" s="4"/>
      <c r="U435" s="4"/>
      <c r="V435" s="4"/>
      <c r="W435" s="4"/>
      <c r="X435" s="4"/>
      <c r="Y435" s="4"/>
      <c r="Z435" s="4"/>
      <c r="AA435" s="4"/>
      <c r="AB435" s="4"/>
      <c r="AC435" s="4"/>
    </row>
    <row r="436" spans="1:29" ht="12.75" x14ac:dyDescent="0.2">
      <c r="A436" s="16"/>
      <c r="B436" s="6"/>
      <c r="C436" s="6"/>
      <c r="D436" s="6"/>
      <c r="E436" s="4"/>
      <c r="F436" s="6"/>
      <c r="G436" s="6"/>
      <c r="H436" s="6"/>
      <c r="I436" s="6"/>
      <c r="J436" s="6"/>
      <c r="K436" s="6"/>
      <c r="L436" s="6"/>
      <c r="M436" s="6"/>
      <c r="N436" s="6"/>
      <c r="O436" s="16"/>
      <c r="P436" s="6"/>
      <c r="Q436" s="4"/>
      <c r="R436" s="4"/>
      <c r="S436" s="4"/>
      <c r="T436" s="4"/>
      <c r="U436" s="4"/>
      <c r="V436" s="4"/>
      <c r="W436" s="4"/>
      <c r="X436" s="4"/>
      <c r="Y436" s="4"/>
      <c r="Z436" s="4"/>
      <c r="AA436" s="4"/>
      <c r="AB436" s="4"/>
      <c r="AC436" s="4"/>
    </row>
    <row r="437" spans="1:29" ht="12.75" x14ac:dyDescent="0.2">
      <c r="A437" s="16"/>
      <c r="B437" s="6"/>
      <c r="C437" s="6"/>
      <c r="D437" s="6"/>
      <c r="E437" s="4"/>
      <c r="F437" s="6"/>
      <c r="G437" s="6"/>
      <c r="H437" s="6"/>
      <c r="I437" s="6"/>
      <c r="J437" s="6"/>
      <c r="K437" s="6"/>
      <c r="L437" s="6"/>
      <c r="M437" s="6"/>
      <c r="N437" s="6"/>
      <c r="O437" s="16"/>
      <c r="P437" s="6"/>
      <c r="Q437" s="4"/>
      <c r="R437" s="4"/>
      <c r="S437" s="4"/>
      <c r="T437" s="4"/>
      <c r="U437" s="4"/>
      <c r="V437" s="4"/>
      <c r="W437" s="4"/>
      <c r="X437" s="4"/>
      <c r="Y437" s="4"/>
      <c r="Z437" s="4"/>
      <c r="AA437" s="4"/>
      <c r="AB437" s="4"/>
      <c r="AC437" s="4"/>
    </row>
    <row r="438" spans="1:29" ht="12.75" x14ac:dyDescent="0.2">
      <c r="A438" s="16"/>
      <c r="B438" s="6"/>
      <c r="C438" s="6"/>
      <c r="D438" s="6"/>
      <c r="E438" s="4"/>
      <c r="F438" s="6"/>
      <c r="G438" s="6"/>
      <c r="H438" s="6"/>
      <c r="I438" s="6"/>
      <c r="J438" s="6"/>
      <c r="K438" s="6"/>
      <c r="L438" s="6"/>
      <c r="M438" s="6"/>
      <c r="N438" s="6"/>
      <c r="O438" s="16"/>
      <c r="P438" s="6"/>
      <c r="Q438" s="4"/>
      <c r="R438" s="4"/>
      <c r="S438" s="4"/>
      <c r="T438" s="4"/>
      <c r="U438" s="4"/>
      <c r="V438" s="4"/>
      <c r="W438" s="4"/>
      <c r="X438" s="4"/>
      <c r="Y438" s="4"/>
      <c r="Z438" s="4"/>
      <c r="AA438" s="4"/>
      <c r="AB438" s="4"/>
      <c r="AC438" s="4"/>
    </row>
    <row r="439" spans="1:29" ht="12.75" x14ac:dyDescent="0.2">
      <c r="A439" s="16"/>
      <c r="B439" s="6"/>
      <c r="C439" s="6"/>
      <c r="D439" s="6"/>
      <c r="E439" s="4"/>
      <c r="F439" s="6"/>
      <c r="G439" s="6"/>
      <c r="H439" s="6"/>
      <c r="I439" s="6"/>
      <c r="J439" s="6"/>
      <c r="K439" s="6"/>
      <c r="L439" s="6"/>
      <c r="M439" s="6"/>
      <c r="N439" s="6"/>
      <c r="O439" s="16"/>
      <c r="P439" s="6"/>
      <c r="Q439" s="4"/>
      <c r="R439" s="4"/>
      <c r="S439" s="4"/>
      <c r="T439" s="4"/>
      <c r="U439" s="4"/>
      <c r="V439" s="4"/>
      <c r="W439" s="4"/>
      <c r="X439" s="4"/>
      <c r="Y439" s="4"/>
      <c r="Z439" s="4"/>
      <c r="AA439" s="4"/>
      <c r="AB439" s="4"/>
      <c r="AC439" s="4"/>
    </row>
    <row r="440" spans="1:29" ht="12.75" x14ac:dyDescent="0.2">
      <c r="A440" s="16"/>
      <c r="B440" s="6"/>
      <c r="C440" s="6"/>
      <c r="D440" s="6"/>
      <c r="E440" s="4"/>
      <c r="F440" s="6"/>
      <c r="G440" s="6"/>
      <c r="H440" s="6"/>
      <c r="I440" s="6"/>
      <c r="J440" s="6"/>
      <c r="K440" s="6"/>
      <c r="L440" s="6"/>
      <c r="M440" s="6"/>
      <c r="N440" s="6"/>
      <c r="O440" s="16"/>
      <c r="P440" s="6"/>
      <c r="Q440" s="4"/>
      <c r="R440" s="4"/>
      <c r="S440" s="4"/>
      <c r="T440" s="4"/>
      <c r="U440" s="4"/>
      <c r="V440" s="4"/>
      <c r="W440" s="4"/>
      <c r="X440" s="4"/>
      <c r="Y440" s="4"/>
      <c r="Z440" s="4"/>
      <c r="AA440" s="4"/>
      <c r="AB440" s="4"/>
      <c r="AC440" s="4"/>
    </row>
    <row r="441" spans="1:29" ht="12.75" x14ac:dyDescent="0.2">
      <c r="A441" s="16"/>
      <c r="B441" s="6"/>
      <c r="C441" s="6"/>
      <c r="D441" s="6"/>
      <c r="E441" s="4"/>
      <c r="F441" s="6"/>
      <c r="G441" s="6"/>
      <c r="H441" s="6"/>
      <c r="I441" s="6"/>
      <c r="J441" s="6"/>
      <c r="K441" s="6"/>
      <c r="L441" s="6"/>
      <c r="M441" s="6"/>
      <c r="N441" s="6"/>
      <c r="O441" s="16"/>
      <c r="P441" s="6"/>
      <c r="Q441" s="4"/>
      <c r="R441" s="4"/>
      <c r="S441" s="4"/>
      <c r="T441" s="4"/>
      <c r="U441" s="4"/>
      <c r="V441" s="4"/>
      <c r="W441" s="4"/>
      <c r="X441" s="4"/>
      <c r="Y441" s="4"/>
      <c r="Z441" s="4"/>
      <c r="AA441" s="4"/>
      <c r="AB441" s="4"/>
      <c r="AC441" s="4"/>
    </row>
    <row r="442" spans="1:29" ht="12.75" x14ac:dyDescent="0.2">
      <c r="A442" s="16"/>
      <c r="B442" s="6"/>
      <c r="C442" s="6"/>
      <c r="D442" s="6"/>
      <c r="E442" s="4"/>
      <c r="F442" s="6"/>
      <c r="G442" s="6"/>
      <c r="H442" s="6"/>
      <c r="I442" s="6"/>
      <c r="J442" s="6"/>
      <c r="K442" s="6"/>
      <c r="L442" s="6"/>
      <c r="M442" s="6"/>
      <c r="N442" s="6"/>
      <c r="O442" s="16"/>
      <c r="P442" s="6"/>
      <c r="Q442" s="4"/>
      <c r="R442" s="4"/>
      <c r="S442" s="4"/>
      <c r="T442" s="4"/>
      <c r="U442" s="4"/>
      <c r="V442" s="4"/>
      <c r="W442" s="4"/>
      <c r="X442" s="4"/>
      <c r="Y442" s="4"/>
      <c r="Z442" s="4"/>
      <c r="AA442" s="4"/>
      <c r="AB442" s="4"/>
      <c r="AC442" s="4"/>
    </row>
    <row r="443" spans="1:29" ht="12.75" x14ac:dyDescent="0.2">
      <c r="A443" s="16"/>
      <c r="B443" s="6"/>
      <c r="C443" s="6"/>
      <c r="D443" s="6"/>
      <c r="E443" s="4"/>
      <c r="F443" s="6"/>
      <c r="G443" s="6"/>
      <c r="H443" s="6"/>
      <c r="I443" s="6"/>
      <c r="J443" s="6"/>
      <c r="K443" s="6"/>
      <c r="L443" s="6"/>
      <c r="M443" s="6"/>
      <c r="N443" s="6"/>
      <c r="O443" s="16"/>
      <c r="P443" s="6"/>
      <c r="Q443" s="4"/>
      <c r="R443" s="4"/>
      <c r="S443" s="4"/>
      <c r="T443" s="4"/>
      <c r="U443" s="4"/>
      <c r="V443" s="4"/>
      <c r="W443" s="4"/>
      <c r="X443" s="4"/>
      <c r="Y443" s="4"/>
      <c r="Z443" s="4"/>
      <c r="AA443" s="4"/>
      <c r="AB443" s="4"/>
      <c r="AC443" s="4"/>
    </row>
    <row r="444" spans="1:29" ht="12.75" x14ac:dyDescent="0.2">
      <c r="A444" s="16"/>
      <c r="B444" s="6"/>
      <c r="C444" s="6"/>
      <c r="D444" s="6"/>
      <c r="E444" s="4"/>
      <c r="F444" s="6"/>
      <c r="G444" s="6"/>
      <c r="H444" s="6"/>
      <c r="I444" s="6"/>
      <c r="J444" s="6"/>
      <c r="K444" s="6"/>
      <c r="L444" s="6"/>
      <c r="M444" s="6"/>
      <c r="N444" s="6"/>
      <c r="O444" s="16"/>
      <c r="P444" s="6"/>
      <c r="Q444" s="4"/>
      <c r="R444" s="4"/>
      <c r="S444" s="4"/>
      <c r="T444" s="4"/>
      <c r="U444" s="4"/>
      <c r="V444" s="4"/>
      <c r="W444" s="4"/>
      <c r="X444" s="4"/>
      <c r="Y444" s="4"/>
      <c r="Z444" s="4"/>
      <c r="AA444" s="4"/>
      <c r="AB444" s="4"/>
      <c r="AC444" s="4"/>
    </row>
    <row r="445" spans="1:29" ht="12.75" x14ac:dyDescent="0.2">
      <c r="A445" s="16"/>
      <c r="B445" s="6"/>
      <c r="C445" s="6"/>
      <c r="D445" s="6"/>
      <c r="E445" s="4"/>
      <c r="F445" s="6"/>
      <c r="G445" s="6"/>
      <c r="H445" s="6"/>
      <c r="I445" s="6"/>
      <c r="J445" s="6"/>
      <c r="K445" s="6"/>
      <c r="L445" s="6"/>
      <c r="M445" s="6"/>
      <c r="N445" s="6"/>
      <c r="O445" s="16"/>
      <c r="P445" s="6"/>
      <c r="Q445" s="4"/>
      <c r="R445" s="4"/>
      <c r="S445" s="4"/>
      <c r="T445" s="4"/>
      <c r="U445" s="4"/>
      <c r="V445" s="4"/>
      <c r="W445" s="4"/>
      <c r="X445" s="4"/>
      <c r="Y445" s="4"/>
      <c r="Z445" s="4"/>
      <c r="AA445" s="4"/>
      <c r="AB445" s="4"/>
      <c r="AC445" s="4"/>
    </row>
    <row r="446" spans="1:29" ht="12.75" x14ac:dyDescent="0.2">
      <c r="A446" s="16"/>
      <c r="B446" s="6"/>
      <c r="C446" s="6"/>
      <c r="D446" s="6"/>
      <c r="E446" s="4"/>
      <c r="F446" s="6"/>
      <c r="G446" s="6"/>
      <c r="H446" s="6"/>
      <c r="I446" s="6"/>
      <c r="J446" s="6"/>
      <c r="K446" s="6"/>
      <c r="L446" s="6"/>
      <c r="M446" s="6"/>
      <c r="N446" s="6"/>
      <c r="O446" s="16"/>
      <c r="P446" s="6"/>
      <c r="Q446" s="4"/>
      <c r="R446" s="4"/>
      <c r="S446" s="4"/>
      <c r="T446" s="4"/>
      <c r="U446" s="4"/>
      <c r="V446" s="4"/>
      <c r="W446" s="4"/>
      <c r="X446" s="4"/>
      <c r="Y446" s="4"/>
      <c r="Z446" s="4"/>
      <c r="AA446" s="4"/>
      <c r="AB446" s="4"/>
      <c r="AC446" s="4"/>
    </row>
    <row r="447" spans="1:29" ht="12.75" x14ac:dyDescent="0.2">
      <c r="A447" s="16"/>
      <c r="B447" s="6"/>
      <c r="C447" s="6"/>
      <c r="D447" s="6"/>
      <c r="E447" s="4"/>
      <c r="F447" s="6"/>
      <c r="G447" s="6"/>
      <c r="H447" s="6"/>
      <c r="I447" s="6"/>
      <c r="J447" s="6"/>
      <c r="K447" s="6"/>
      <c r="L447" s="6"/>
      <c r="M447" s="6"/>
      <c r="N447" s="6"/>
      <c r="O447" s="16"/>
      <c r="P447" s="6"/>
      <c r="Q447" s="4"/>
      <c r="R447" s="4"/>
      <c r="S447" s="4"/>
      <c r="T447" s="4"/>
      <c r="U447" s="4"/>
      <c r="V447" s="4"/>
      <c r="W447" s="4"/>
      <c r="X447" s="4"/>
      <c r="Y447" s="4"/>
      <c r="Z447" s="4"/>
      <c r="AA447" s="4"/>
      <c r="AB447" s="4"/>
      <c r="AC447" s="4"/>
    </row>
    <row r="448" spans="1:29" ht="12.75" x14ac:dyDescent="0.2">
      <c r="A448" s="16"/>
      <c r="B448" s="6"/>
      <c r="C448" s="6"/>
      <c r="D448" s="6"/>
      <c r="E448" s="4"/>
      <c r="F448" s="6"/>
      <c r="G448" s="6"/>
      <c r="H448" s="6"/>
      <c r="I448" s="6"/>
      <c r="J448" s="6"/>
      <c r="K448" s="6"/>
      <c r="L448" s="6"/>
      <c r="M448" s="6"/>
      <c r="N448" s="6"/>
      <c r="O448" s="16"/>
      <c r="P448" s="6"/>
      <c r="Q448" s="4"/>
      <c r="R448" s="4"/>
      <c r="S448" s="4"/>
      <c r="T448" s="4"/>
      <c r="U448" s="4"/>
      <c r="V448" s="4"/>
      <c r="W448" s="4"/>
      <c r="X448" s="4"/>
      <c r="Y448" s="4"/>
      <c r="Z448" s="4"/>
      <c r="AA448" s="4"/>
      <c r="AB448" s="4"/>
      <c r="AC448" s="4"/>
    </row>
    <row r="449" spans="1:29" ht="12.75" x14ac:dyDescent="0.2">
      <c r="A449" s="16"/>
      <c r="B449" s="6"/>
      <c r="C449" s="6"/>
      <c r="D449" s="6"/>
      <c r="E449" s="4"/>
      <c r="F449" s="6"/>
      <c r="G449" s="6"/>
      <c r="H449" s="6"/>
      <c r="I449" s="6"/>
      <c r="J449" s="6"/>
      <c r="K449" s="6"/>
      <c r="L449" s="6"/>
      <c r="M449" s="6"/>
      <c r="N449" s="6"/>
      <c r="O449" s="16"/>
      <c r="P449" s="6"/>
      <c r="Q449" s="4"/>
      <c r="R449" s="4"/>
      <c r="S449" s="4"/>
      <c r="T449" s="4"/>
      <c r="U449" s="4"/>
      <c r="V449" s="4"/>
      <c r="W449" s="4"/>
      <c r="X449" s="4"/>
      <c r="Y449" s="4"/>
      <c r="Z449" s="4"/>
      <c r="AA449" s="4"/>
      <c r="AB449" s="4"/>
      <c r="AC449" s="4"/>
    </row>
    <row r="450" spans="1:29" ht="12.75" x14ac:dyDescent="0.2">
      <c r="A450" s="16"/>
      <c r="B450" s="6"/>
      <c r="C450" s="6"/>
      <c r="D450" s="6"/>
      <c r="E450" s="4"/>
      <c r="F450" s="6"/>
      <c r="G450" s="6"/>
      <c r="H450" s="6"/>
      <c r="I450" s="6"/>
      <c r="J450" s="6"/>
      <c r="K450" s="6"/>
      <c r="L450" s="6"/>
      <c r="M450" s="6"/>
      <c r="N450" s="6"/>
      <c r="O450" s="16"/>
      <c r="P450" s="6"/>
      <c r="Q450" s="4"/>
      <c r="R450" s="4"/>
      <c r="S450" s="4"/>
      <c r="T450" s="4"/>
      <c r="U450" s="4"/>
      <c r="V450" s="4"/>
      <c r="W450" s="4"/>
      <c r="X450" s="4"/>
      <c r="Y450" s="4"/>
      <c r="Z450" s="4"/>
      <c r="AA450" s="4"/>
      <c r="AB450" s="4"/>
      <c r="AC450" s="4"/>
    </row>
    <row r="451" spans="1:29" ht="12.75" x14ac:dyDescent="0.2">
      <c r="A451" s="16"/>
      <c r="B451" s="6"/>
      <c r="C451" s="6"/>
      <c r="D451" s="6"/>
      <c r="E451" s="4"/>
      <c r="F451" s="6"/>
      <c r="G451" s="6"/>
      <c r="H451" s="6"/>
      <c r="I451" s="6"/>
      <c r="J451" s="6"/>
      <c r="K451" s="6"/>
      <c r="L451" s="6"/>
      <c r="M451" s="6"/>
      <c r="N451" s="6"/>
      <c r="O451" s="16"/>
      <c r="P451" s="6"/>
      <c r="Q451" s="4"/>
      <c r="R451" s="4"/>
      <c r="S451" s="4"/>
      <c r="T451" s="4"/>
      <c r="U451" s="4"/>
      <c r="V451" s="4"/>
      <c r="W451" s="4"/>
      <c r="X451" s="4"/>
      <c r="Y451" s="4"/>
      <c r="Z451" s="4"/>
      <c r="AA451" s="4"/>
      <c r="AB451" s="4"/>
      <c r="AC451" s="4"/>
    </row>
    <row r="452" spans="1:29" ht="12.75" x14ac:dyDescent="0.2">
      <c r="A452" s="16"/>
      <c r="B452" s="6"/>
      <c r="C452" s="6"/>
      <c r="D452" s="6"/>
      <c r="E452" s="4"/>
      <c r="F452" s="6"/>
      <c r="G452" s="6"/>
      <c r="H452" s="6"/>
      <c r="I452" s="6"/>
      <c r="J452" s="6"/>
      <c r="K452" s="6"/>
      <c r="L452" s="6"/>
      <c r="M452" s="6"/>
      <c r="N452" s="6"/>
      <c r="O452" s="16"/>
      <c r="P452" s="6"/>
      <c r="Q452" s="4"/>
      <c r="R452" s="4"/>
      <c r="S452" s="4"/>
      <c r="T452" s="4"/>
      <c r="U452" s="4"/>
      <c r="V452" s="4"/>
      <c r="W452" s="4"/>
      <c r="X452" s="4"/>
      <c r="Y452" s="4"/>
      <c r="Z452" s="4"/>
      <c r="AA452" s="4"/>
      <c r="AB452" s="4"/>
      <c r="AC452" s="4"/>
    </row>
    <row r="453" spans="1:29" ht="12.75" x14ac:dyDescent="0.2">
      <c r="A453" s="16"/>
      <c r="B453" s="6"/>
      <c r="C453" s="6"/>
      <c r="D453" s="6"/>
      <c r="E453" s="4"/>
      <c r="F453" s="6"/>
      <c r="G453" s="6"/>
      <c r="H453" s="6"/>
      <c r="I453" s="6"/>
      <c r="J453" s="6"/>
      <c r="K453" s="6"/>
      <c r="L453" s="6"/>
      <c r="M453" s="6"/>
      <c r="N453" s="6"/>
      <c r="O453" s="16"/>
      <c r="P453" s="6"/>
      <c r="Q453" s="4"/>
      <c r="R453" s="4"/>
      <c r="S453" s="4"/>
      <c r="T453" s="4"/>
      <c r="U453" s="4"/>
      <c r="V453" s="4"/>
      <c r="W453" s="4"/>
      <c r="X453" s="4"/>
      <c r="Y453" s="4"/>
      <c r="Z453" s="4"/>
      <c r="AA453" s="4"/>
      <c r="AB453" s="4"/>
      <c r="AC453" s="4"/>
    </row>
    <row r="454" spans="1:29" ht="12.75" x14ac:dyDescent="0.2">
      <c r="A454" s="16"/>
      <c r="B454" s="6"/>
      <c r="C454" s="6"/>
      <c r="D454" s="6"/>
      <c r="E454" s="4"/>
      <c r="F454" s="6"/>
      <c r="G454" s="6"/>
      <c r="H454" s="6"/>
      <c r="I454" s="6"/>
      <c r="J454" s="6"/>
      <c r="K454" s="6"/>
      <c r="L454" s="6"/>
      <c r="M454" s="6"/>
      <c r="N454" s="6"/>
      <c r="O454" s="16"/>
      <c r="P454" s="6"/>
      <c r="Q454" s="4"/>
      <c r="R454" s="4"/>
      <c r="S454" s="4"/>
      <c r="T454" s="4"/>
      <c r="U454" s="4"/>
      <c r="V454" s="4"/>
      <c r="W454" s="4"/>
      <c r="X454" s="4"/>
      <c r="Y454" s="4"/>
      <c r="Z454" s="4"/>
      <c r="AA454" s="4"/>
      <c r="AB454" s="4"/>
      <c r="AC454" s="4"/>
    </row>
    <row r="455" spans="1:29" ht="12.75" x14ac:dyDescent="0.2">
      <c r="A455" s="16"/>
      <c r="B455" s="6"/>
      <c r="C455" s="6"/>
      <c r="D455" s="6"/>
      <c r="E455" s="4"/>
      <c r="F455" s="6"/>
      <c r="G455" s="6"/>
      <c r="H455" s="6"/>
      <c r="I455" s="6"/>
      <c r="J455" s="6"/>
      <c r="K455" s="6"/>
      <c r="L455" s="6"/>
      <c r="M455" s="6"/>
      <c r="N455" s="6"/>
      <c r="O455" s="16"/>
      <c r="P455" s="6"/>
      <c r="Q455" s="4"/>
      <c r="R455" s="4"/>
      <c r="S455" s="4"/>
      <c r="T455" s="4"/>
      <c r="U455" s="4"/>
      <c r="V455" s="4"/>
      <c r="W455" s="4"/>
      <c r="X455" s="4"/>
      <c r="Y455" s="4"/>
      <c r="Z455" s="4"/>
      <c r="AA455" s="4"/>
      <c r="AB455" s="4"/>
      <c r="AC455" s="4"/>
    </row>
    <row r="456" spans="1:29" ht="12.75" x14ac:dyDescent="0.2">
      <c r="A456" s="16"/>
      <c r="B456" s="6"/>
      <c r="C456" s="6"/>
      <c r="D456" s="6"/>
      <c r="E456" s="4"/>
      <c r="F456" s="6"/>
      <c r="G456" s="6"/>
      <c r="H456" s="6"/>
      <c r="I456" s="6"/>
      <c r="J456" s="6"/>
      <c r="K456" s="6"/>
      <c r="L456" s="6"/>
      <c r="M456" s="6"/>
      <c r="N456" s="6"/>
      <c r="O456" s="16"/>
      <c r="P456" s="6"/>
      <c r="Q456" s="4"/>
      <c r="R456" s="4"/>
      <c r="S456" s="4"/>
      <c r="T456" s="4"/>
      <c r="U456" s="4"/>
      <c r="V456" s="4"/>
      <c r="W456" s="4"/>
      <c r="X456" s="4"/>
      <c r="Y456" s="4"/>
      <c r="Z456" s="4"/>
      <c r="AA456" s="4"/>
      <c r="AB456" s="4"/>
      <c r="AC456" s="4"/>
    </row>
    <row r="457" spans="1:29" ht="12.75" x14ac:dyDescent="0.2">
      <c r="A457" s="16"/>
      <c r="B457" s="6"/>
      <c r="C457" s="6"/>
      <c r="D457" s="6"/>
      <c r="E457" s="4"/>
      <c r="F457" s="6"/>
      <c r="G457" s="6"/>
      <c r="H457" s="6"/>
      <c r="I457" s="6"/>
      <c r="J457" s="6"/>
      <c r="K457" s="6"/>
      <c r="L457" s="6"/>
      <c r="M457" s="6"/>
      <c r="N457" s="6"/>
      <c r="O457" s="16"/>
      <c r="P457" s="6"/>
      <c r="Q457" s="4"/>
      <c r="R457" s="4"/>
      <c r="S457" s="4"/>
      <c r="T457" s="4"/>
      <c r="U457" s="4"/>
      <c r="V457" s="4"/>
      <c r="W457" s="4"/>
      <c r="X457" s="4"/>
      <c r="Y457" s="4"/>
      <c r="Z457" s="4"/>
      <c r="AA457" s="4"/>
      <c r="AB457" s="4"/>
      <c r="AC457" s="4"/>
    </row>
    <row r="458" spans="1:29" ht="12.75" x14ac:dyDescent="0.2">
      <c r="A458" s="16"/>
      <c r="B458" s="6"/>
      <c r="C458" s="6"/>
      <c r="D458" s="6"/>
      <c r="E458" s="4"/>
      <c r="F458" s="6"/>
      <c r="G458" s="6"/>
      <c r="H458" s="6"/>
      <c r="I458" s="6"/>
      <c r="J458" s="6"/>
      <c r="K458" s="6"/>
      <c r="L458" s="6"/>
      <c r="M458" s="6"/>
      <c r="N458" s="6"/>
      <c r="O458" s="16"/>
      <c r="P458" s="6"/>
      <c r="Q458" s="4"/>
      <c r="R458" s="4"/>
      <c r="S458" s="4"/>
      <c r="T458" s="4"/>
      <c r="U458" s="4"/>
      <c r="V458" s="4"/>
      <c r="W458" s="4"/>
      <c r="X458" s="4"/>
      <c r="Y458" s="4"/>
      <c r="Z458" s="4"/>
      <c r="AA458" s="4"/>
      <c r="AB458" s="4"/>
      <c r="AC458" s="4"/>
    </row>
    <row r="459" spans="1:29" ht="12.75" x14ac:dyDescent="0.2">
      <c r="A459" s="16"/>
      <c r="B459" s="6"/>
      <c r="C459" s="6"/>
      <c r="D459" s="6"/>
      <c r="E459" s="4"/>
      <c r="F459" s="6"/>
      <c r="G459" s="6"/>
      <c r="H459" s="6"/>
      <c r="I459" s="6"/>
      <c r="J459" s="6"/>
      <c r="K459" s="6"/>
      <c r="L459" s="6"/>
      <c r="M459" s="6"/>
      <c r="N459" s="6"/>
      <c r="O459" s="16"/>
      <c r="P459" s="6"/>
      <c r="Q459" s="4"/>
      <c r="R459" s="4"/>
      <c r="S459" s="4"/>
      <c r="T459" s="4"/>
      <c r="U459" s="4"/>
      <c r="V459" s="4"/>
      <c r="W459" s="4"/>
      <c r="X459" s="4"/>
      <c r="Y459" s="4"/>
      <c r="Z459" s="4"/>
      <c r="AA459" s="4"/>
      <c r="AB459" s="4"/>
      <c r="AC459" s="4"/>
    </row>
    <row r="460" spans="1:29" ht="12.75" x14ac:dyDescent="0.2">
      <c r="A460" s="16"/>
      <c r="B460" s="6"/>
      <c r="C460" s="6"/>
      <c r="D460" s="6"/>
      <c r="E460" s="4"/>
      <c r="F460" s="6"/>
      <c r="G460" s="6"/>
      <c r="H460" s="6"/>
      <c r="I460" s="6"/>
      <c r="J460" s="6"/>
      <c r="K460" s="6"/>
      <c r="L460" s="6"/>
      <c r="M460" s="6"/>
      <c r="N460" s="6"/>
      <c r="O460" s="16"/>
      <c r="P460" s="6"/>
      <c r="Q460" s="4"/>
      <c r="R460" s="4"/>
      <c r="S460" s="4"/>
      <c r="T460" s="4"/>
      <c r="U460" s="4"/>
      <c r="V460" s="4"/>
      <c r="W460" s="4"/>
      <c r="X460" s="4"/>
      <c r="Y460" s="4"/>
      <c r="Z460" s="4"/>
      <c r="AA460" s="4"/>
      <c r="AB460" s="4"/>
      <c r="AC460" s="4"/>
    </row>
    <row r="461" spans="1:29" ht="12.75" x14ac:dyDescent="0.2">
      <c r="A461" s="16"/>
      <c r="B461" s="6"/>
      <c r="C461" s="6"/>
      <c r="D461" s="6"/>
      <c r="E461" s="4"/>
      <c r="F461" s="6"/>
      <c r="G461" s="6"/>
      <c r="H461" s="6"/>
      <c r="I461" s="6"/>
      <c r="J461" s="6"/>
      <c r="K461" s="6"/>
      <c r="L461" s="6"/>
      <c r="M461" s="6"/>
      <c r="N461" s="6"/>
      <c r="O461" s="16"/>
      <c r="P461" s="6"/>
      <c r="Q461" s="4"/>
      <c r="R461" s="4"/>
      <c r="S461" s="4"/>
      <c r="T461" s="4"/>
      <c r="U461" s="4"/>
      <c r="V461" s="4"/>
      <c r="W461" s="4"/>
      <c r="X461" s="4"/>
      <c r="Y461" s="4"/>
      <c r="Z461" s="4"/>
      <c r="AA461" s="4"/>
      <c r="AB461" s="4"/>
      <c r="AC461" s="4"/>
    </row>
    <row r="462" spans="1:29" ht="12.75" x14ac:dyDescent="0.2">
      <c r="A462" s="16"/>
      <c r="B462" s="6"/>
      <c r="C462" s="6"/>
      <c r="D462" s="6"/>
      <c r="E462" s="4"/>
      <c r="F462" s="6"/>
      <c r="G462" s="6"/>
      <c r="H462" s="6"/>
      <c r="I462" s="6"/>
      <c r="J462" s="6"/>
      <c r="K462" s="6"/>
      <c r="L462" s="6"/>
      <c r="M462" s="6"/>
      <c r="N462" s="6"/>
      <c r="O462" s="16"/>
      <c r="P462" s="6"/>
      <c r="Q462" s="4"/>
      <c r="R462" s="4"/>
      <c r="S462" s="4"/>
      <c r="T462" s="4"/>
      <c r="U462" s="4"/>
      <c r="V462" s="4"/>
      <c r="W462" s="4"/>
      <c r="X462" s="4"/>
      <c r="Y462" s="4"/>
      <c r="Z462" s="4"/>
      <c r="AA462" s="4"/>
      <c r="AB462" s="4"/>
      <c r="AC462" s="4"/>
    </row>
    <row r="463" spans="1:29" ht="12.75" x14ac:dyDescent="0.2">
      <c r="A463" s="16"/>
      <c r="B463" s="6"/>
      <c r="C463" s="6"/>
      <c r="D463" s="6"/>
      <c r="E463" s="4"/>
      <c r="F463" s="6"/>
      <c r="G463" s="6"/>
      <c r="H463" s="6"/>
      <c r="I463" s="6"/>
      <c r="J463" s="6"/>
      <c r="K463" s="6"/>
      <c r="L463" s="6"/>
      <c r="M463" s="6"/>
      <c r="N463" s="6"/>
      <c r="O463" s="16"/>
      <c r="P463" s="6"/>
      <c r="Q463" s="4"/>
      <c r="R463" s="4"/>
      <c r="S463" s="4"/>
      <c r="T463" s="4"/>
      <c r="U463" s="4"/>
      <c r="V463" s="4"/>
      <c r="W463" s="4"/>
      <c r="X463" s="4"/>
      <c r="Y463" s="4"/>
      <c r="Z463" s="4"/>
      <c r="AA463" s="4"/>
      <c r="AB463" s="4"/>
      <c r="AC463" s="4"/>
    </row>
    <row r="464" spans="1:29" ht="12.75" x14ac:dyDescent="0.2">
      <c r="A464" s="16"/>
      <c r="B464" s="6"/>
      <c r="C464" s="6"/>
      <c r="D464" s="6"/>
      <c r="E464" s="4"/>
      <c r="F464" s="6"/>
      <c r="G464" s="6"/>
      <c r="H464" s="6"/>
      <c r="I464" s="6"/>
      <c r="J464" s="6"/>
      <c r="K464" s="6"/>
      <c r="L464" s="6"/>
      <c r="M464" s="6"/>
      <c r="N464" s="6"/>
      <c r="O464" s="16"/>
      <c r="P464" s="6"/>
      <c r="Q464" s="4"/>
      <c r="R464" s="4"/>
      <c r="S464" s="4"/>
      <c r="T464" s="4"/>
      <c r="U464" s="4"/>
      <c r="V464" s="4"/>
      <c r="W464" s="4"/>
      <c r="X464" s="4"/>
      <c r="Y464" s="4"/>
      <c r="Z464" s="4"/>
      <c r="AA464" s="4"/>
      <c r="AB464" s="4"/>
      <c r="AC464" s="4"/>
    </row>
    <row r="465" spans="1:29" ht="12.75" x14ac:dyDescent="0.2">
      <c r="A465" s="16"/>
      <c r="B465" s="6"/>
      <c r="C465" s="6"/>
      <c r="D465" s="6"/>
      <c r="E465" s="4"/>
      <c r="F465" s="6"/>
      <c r="G465" s="6"/>
      <c r="H465" s="6"/>
      <c r="I465" s="6"/>
      <c r="J465" s="6"/>
      <c r="K465" s="6"/>
      <c r="L465" s="6"/>
      <c r="M465" s="6"/>
      <c r="N465" s="6"/>
      <c r="O465" s="16"/>
      <c r="P465" s="6"/>
      <c r="Q465" s="4"/>
      <c r="R465" s="4"/>
      <c r="S465" s="4"/>
      <c r="T465" s="4"/>
      <c r="U465" s="4"/>
      <c r="V465" s="4"/>
      <c r="W465" s="4"/>
      <c r="X465" s="4"/>
      <c r="Y465" s="4"/>
      <c r="Z465" s="4"/>
      <c r="AA465" s="4"/>
      <c r="AB465" s="4"/>
      <c r="AC465" s="4"/>
    </row>
    <row r="466" spans="1:29" ht="12.75" x14ac:dyDescent="0.2">
      <c r="A466" s="16"/>
      <c r="B466" s="6"/>
      <c r="C466" s="6"/>
      <c r="D466" s="6"/>
      <c r="E466" s="4"/>
      <c r="F466" s="6"/>
      <c r="G466" s="6"/>
      <c r="H466" s="6"/>
      <c r="I466" s="6"/>
      <c r="J466" s="6"/>
      <c r="K466" s="6"/>
      <c r="L466" s="6"/>
      <c r="M466" s="6"/>
      <c r="N466" s="6"/>
      <c r="O466" s="16"/>
      <c r="P466" s="6"/>
      <c r="Q466" s="4"/>
      <c r="R466" s="4"/>
      <c r="S466" s="4"/>
      <c r="T466" s="4"/>
      <c r="U466" s="4"/>
      <c r="V466" s="4"/>
      <c r="W466" s="4"/>
      <c r="X466" s="4"/>
      <c r="Y466" s="4"/>
      <c r="Z466" s="4"/>
      <c r="AA466" s="4"/>
      <c r="AB466" s="4"/>
      <c r="AC466" s="4"/>
    </row>
    <row r="467" spans="1:29" ht="12.75" x14ac:dyDescent="0.2">
      <c r="A467" s="16"/>
      <c r="B467" s="6"/>
      <c r="C467" s="6"/>
      <c r="D467" s="6"/>
      <c r="E467" s="4"/>
      <c r="F467" s="6"/>
      <c r="G467" s="6"/>
      <c r="H467" s="6"/>
      <c r="I467" s="6"/>
      <c r="J467" s="6"/>
      <c r="K467" s="6"/>
      <c r="L467" s="6"/>
      <c r="M467" s="6"/>
      <c r="N467" s="6"/>
      <c r="O467" s="16"/>
      <c r="P467" s="6"/>
      <c r="Q467" s="4"/>
      <c r="R467" s="4"/>
      <c r="S467" s="4"/>
      <c r="T467" s="4"/>
      <c r="U467" s="4"/>
      <c r="V467" s="4"/>
      <c r="W467" s="4"/>
      <c r="X467" s="4"/>
      <c r="Y467" s="4"/>
      <c r="Z467" s="4"/>
      <c r="AA467" s="4"/>
      <c r="AB467" s="4"/>
      <c r="AC467" s="4"/>
    </row>
    <row r="468" spans="1:29" ht="12.75" x14ac:dyDescent="0.2">
      <c r="A468" s="16"/>
      <c r="B468" s="6"/>
      <c r="C468" s="6"/>
      <c r="D468" s="6"/>
      <c r="E468" s="4"/>
      <c r="F468" s="6"/>
      <c r="G468" s="6"/>
      <c r="H468" s="6"/>
      <c r="I468" s="6"/>
      <c r="J468" s="6"/>
      <c r="K468" s="6"/>
      <c r="L468" s="6"/>
      <c r="M468" s="6"/>
      <c r="N468" s="6"/>
      <c r="O468" s="16"/>
      <c r="P468" s="6"/>
      <c r="Q468" s="4"/>
      <c r="R468" s="4"/>
      <c r="S468" s="4"/>
      <c r="T468" s="4"/>
      <c r="U468" s="4"/>
      <c r="V468" s="4"/>
      <c r="W468" s="4"/>
      <c r="X468" s="4"/>
      <c r="Y468" s="4"/>
      <c r="Z468" s="4"/>
      <c r="AA468" s="4"/>
      <c r="AB468" s="4"/>
      <c r="AC468" s="4"/>
    </row>
    <row r="469" spans="1:29" ht="12.75" x14ac:dyDescent="0.2">
      <c r="A469" s="16"/>
      <c r="B469" s="6"/>
      <c r="C469" s="6"/>
      <c r="D469" s="6"/>
      <c r="E469" s="4"/>
      <c r="F469" s="6"/>
      <c r="G469" s="6"/>
      <c r="H469" s="6"/>
      <c r="I469" s="6"/>
      <c r="J469" s="6"/>
      <c r="K469" s="6"/>
      <c r="L469" s="6"/>
      <c r="M469" s="6"/>
      <c r="N469" s="6"/>
      <c r="O469" s="16"/>
      <c r="P469" s="6"/>
      <c r="Q469" s="4"/>
      <c r="R469" s="4"/>
      <c r="S469" s="4"/>
      <c r="T469" s="4"/>
      <c r="U469" s="4"/>
      <c r="V469" s="4"/>
      <c r="W469" s="4"/>
      <c r="X469" s="4"/>
      <c r="Y469" s="4"/>
      <c r="Z469" s="4"/>
      <c r="AA469" s="4"/>
      <c r="AB469" s="4"/>
      <c r="AC469" s="4"/>
    </row>
    <row r="470" spans="1:29" ht="12.75" x14ac:dyDescent="0.2">
      <c r="A470" s="16"/>
      <c r="B470" s="6"/>
      <c r="C470" s="6"/>
      <c r="D470" s="6"/>
      <c r="E470" s="4"/>
      <c r="F470" s="6"/>
      <c r="G470" s="6"/>
      <c r="H470" s="6"/>
      <c r="I470" s="6"/>
      <c r="J470" s="6"/>
      <c r="K470" s="6"/>
      <c r="L470" s="6"/>
      <c r="M470" s="6"/>
      <c r="N470" s="6"/>
      <c r="O470" s="16"/>
      <c r="P470" s="6"/>
      <c r="Q470" s="4"/>
      <c r="R470" s="4"/>
      <c r="S470" s="4"/>
      <c r="T470" s="4"/>
      <c r="U470" s="4"/>
      <c r="V470" s="4"/>
      <c r="W470" s="4"/>
      <c r="X470" s="4"/>
      <c r="Y470" s="4"/>
      <c r="Z470" s="4"/>
      <c r="AA470" s="4"/>
      <c r="AB470" s="4"/>
      <c r="AC470" s="4"/>
    </row>
    <row r="471" spans="1:29" ht="12.75" x14ac:dyDescent="0.2">
      <c r="A471" s="16"/>
      <c r="B471" s="6"/>
      <c r="C471" s="6"/>
      <c r="D471" s="6"/>
      <c r="E471" s="4"/>
      <c r="F471" s="6"/>
      <c r="G471" s="6"/>
      <c r="H471" s="6"/>
      <c r="I471" s="6"/>
      <c r="J471" s="6"/>
      <c r="K471" s="6"/>
      <c r="L471" s="6"/>
      <c r="M471" s="6"/>
      <c r="N471" s="6"/>
      <c r="O471" s="16"/>
      <c r="P471" s="6"/>
      <c r="Q471" s="4"/>
      <c r="R471" s="4"/>
      <c r="S471" s="4"/>
      <c r="T471" s="4"/>
      <c r="U471" s="4"/>
      <c r="V471" s="4"/>
      <c r="W471" s="4"/>
      <c r="X471" s="4"/>
      <c r="Y471" s="4"/>
      <c r="Z471" s="4"/>
      <c r="AA471" s="4"/>
      <c r="AB471" s="4"/>
      <c r="AC471" s="4"/>
    </row>
    <row r="472" spans="1:29" ht="12.75" x14ac:dyDescent="0.2">
      <c r="A472" s="16"/>
      <c r="B472" s="6"/>
      <c r="C472" s="6"/>
      <c r="D472" s="6"/>
      <c r="E472" s="4"/>
      <c r="F472" s="6"/>
      <c r="G472" s="6"/>
      <c r="H472" s="6"/>
      <c r="I472" s="6"/>
      <c r="J472" s="6"/>
      <c r="K472" s="6"/>
      <c r="L472" s="6"/>
      <c r="M472" s="6"/>
      <c r="N472" s="6"/>
      <c r="O472" s="16"/>
      <c r="P472" s="6"/>
      <c r="Q472" s="4"/>
      <c r="R472" s="4"/>
      <c r="S472" s="4"/>
      <c r="T472" s="4"/>
      <c r="U472" s="4"/>
      <c r="V472" s="4"/>
      <c r="W472" s="4"/>
      <c r="X472" s="4"/>
      <c r="Y472" s="4"/>
      <c r="Z472" s="4"/>
      <c r="AA472" s="4"/>
      <c r="AB472" s="4"/>
      <c r="AC472" s="4"/>
    </row>
    <row r="473" spans="1:29" ht="12.75" x14ac:dyDescent="0.2">
      <c r="A473" s="16"/>
      <c r="B473" s="6"/>
      <c r="C473" s="6"/>
      <c r="D473" s="6"/>
      <c r="E473" s="4"/>
      <c r="F473" s="6"/>
      <c r="G473" s="6"/>
      <c r="H473" s="6"/>
      <c r="I473" s="6"/>
      <c r="J473" s="6"/>
      <c r="K473" s="6"/>
      <c r="L473" s="6"/>
      <c r="M473" s="6"/>
      <c r="N473" s="6"/>
      <c r="O473" s="16"/>
      <c r="P473" s="6"/>
      <c r="Q473" s="4"/>
      <c r="R473" s="4"/>
      <c r="S473" s="4"/>
      <c r="T473" s="4"/>
      <c r="U473" s="4"/>
      <c r="V473" s="4"/>
      <c r="W473" s="4"/>
      <c r="X473" s="4"/>
      <c r="Y473" s="4"/>
      <c r="Z473" s="4"/>
      <c r="AA473" s="4"/>
      <c r="AB473" s="4"/>
      <c r="AC473" s="4"/>
    </row>
    <row r="474" spans="1:29" ht="12.75" x14ac:dyDescent="0.2">
      <c r="A474" s="16"/>
      <c r="B474" s="6"/>
      <c r="C474" s="6"/>
      <c r="D474" s="6"/>
      <c r="E474" s="4"/>
      <c r="F474" s="6"/>
      <c r="G474" s="6"/>
      <c r="H474" s="6"/>
      <c r="I474" s="6"/>
      <c r="J474" s="6"/>
      <c r="K474" s="6"/>
      <c r="L474" s="6"/>
      <c r="M474" s="6"/>
      <c r="N474" s="6"/>
      <c r="O474" s="16"/>
      <c r="P474" s="6"/>
      <c r="Q474" s="4"/>
      <c r="R474" s="4"/>
      <c r="S474" s="4"/>
      <c r="T474" s="4"/>
      <c r="U474" s="4"/>
      <c r="V474" s="4"/>
      <c r="W474" s="4"/>
      <c r="X474" s="4"/>
      <c r="Y474" s="4"/>
      <c r="Z474" s="4"/>
      <c r="AA474" s="4"/>
      <c r="AB474" s="4"/>
      <c r="AC474" s="4"/>
    </row>
    <row r="475" spans="1:29" ht="12.75" x14ac:dyDescent="0.2">
      <c r="A475" s="16"/>
      <c r="B475" s="6"/>
      <c r="C475" s="6"/>
      <c r="D475" s="6"/>
      <c r="E475" s="4"/>
      <c r="F475" s="6"/>
      <c r="G475" s="6"/>
      <c r="H475" s="6"/>
      <c r="I475" s="6"/>
      <c r="J475" s="6"/>
      <c r="K475" s="6"/>
      <c r="L475" s="6"/>
      <c r="M475" s="6"/>
      <c r="N475" s="6"/>
      <c r="O475" s="16"/>
      <c r="P475" s="6"/>
      <c r="Q475" s="4"/>
      <c r="R475" s="4"/>
      <c r="S475" s="4"/>
      <c r="T475" s="4"/>
      <c r="U475" s="4"/>
      <c r="V475" s="4"/>
      <c r="W475" s="4"/>
      <c r="X475" s="4"/>
      <c r="Y475" s="4"/>
      <c r="Z475" s="4"/>
      <c r="AA475" s="4"/>
      <c r="AB475" s="4"/>
      <c r="AC475" s="4"/>
    </row>
    <row r="476" spans="1:29" ht="12.75" x14ac:dyDescent="0.2">
      <c r="A476" s="16"/>
      <c r="B476" s="6"/>
      <c r="C476" s="6"/>
      <c r="D476" s="6"/>
      <c r="E476" s="4"/>
      <c r="F476" s="6"/>
      <c r="G476" s="6"/>
      <c r="H476" s="6"/>
      <c r="I476" s="6"/>
      <c r="J476" s="6"/>
      <c r="K476" s="6"/>
      <c r="L476" s="6"/>
      <c r="M476" s="6"/>
      <c r="N476" s="6"/>
      <c r="O476" s="16"/>
      <c r="P476" s="6"/>
      <c r="Q476" s="4"/>
      <c r="R476" s="4"/>
      <c r="S476" s="4"/>
      <c r="T476" s="4"/>
      <c r="U476" s="4"/>
      <c r="V476" s="4"/>
      <c r="W476" s="4"/>
      <c r="X476" s="4"/>
      <c r="Y476" s="4"/>
      <c r="Z476" s="4"/>
      <c r="AA476" s="4"/>
      <c r="AB476" s="4"/>
      <c r="AC476" s="4"/>
    </row>
    <row r="477" spans="1:29" ht="12.75" x14ac:dyDescent="0.2">
      <c r="A477" s="16"/>
      <c r="B477" s="6"/>
      <c r="C477" s="6"/>
      <c r="D477" s="6"/>
      <c r="E477" s="4"/>
      <c r="F477" s="6"/>
      <c r="G477" s="6"/>
      <c r="H477" s="6"/>
      <c r="I477" s="6"/>
      <c r="J477" s="6"/>
      <c r="K477" s="6"/>
      <c r="L477" s="6"/>
      <c r="M477" s="6"/>
      <c r="N477" s="6"/>
      <c r="O477" s="16"/>
      <c r="P477" s="6"/>
      <c r="Q477" s="4"/>
      <c r="R477" s="4"/>
      <c r="S477" s="4"/>
      <c r="T477" s="4"/>
      <c r="U477" s="4"/>
      <c r="V477" s="4"/>
      <c r="W477" s="4"/>
      <c r="X477" s="4"/>
      <c r="Y477" s="4"/>
      <c r="Z477" s="4"/>
      <c r="AA477" s="4"/>
      <c r="AB477" s="4"/>
      <c r="AC477" s="4"/>
    </row>
    <row r="478" spans="1:29" ht="12.75" x14ac:dyDescent="0.2">
      <c r="A478" s="16"/>
      <c r="B478" s="6"/>
      <c r="C478" s="6"/>
      <c r="D478" s="6"/>
      <c r="E478" s="4"/>
      <c r="F478" s="6"/>
      <c r="G478" s="6"/>
      <c r="H478" s="6"/>
      <c r="I478" s="6"/>
      <c r="J478" s="6"/>
      <c r="K478" s="6"/>
      <c r="L478" s="6"/>
      <c r="M478" s="6"/>
      <c r="N478" s="6"/>
      <c r="O478" s="16"/>
      <c r="P478" s="6"/>
      <c r="Q478" s="4"/>
      <c r="R478" s="4"/>
      <c r="S478" s="4"/>
      <c r="T478" s="4"/>
      <c r="U478" s="4"/>
      <c r="V478" s="4"/>
      <c r="W478" s="4"/>
      <c r="X478" s="4"/>
      <c r="Y478" s="4"/>
      <c r="Z478" s="4"/>
      <c r="AA478" s="4"/>
      <c r="AB478" s="4"/>
      <c r="AC478" s="4"/>
    </row>
    <row r="479" spans="1:29" ht="12.75" x14ac:dyDescent="0.2">
      <c r="A479" s="16"/>
      <c r="B479" s="6"/>
      <c r="C479" s="6"/>
      <c r="D479" s="6"/>
      <c r="E479" s="4"/>
      <c r="F479" s="6"/>
      <c r="G479" s="6"/>
      <c r="H479" s="6"/>
      <c r="I479" s="6"/>
      <c r="J479" s="6"/>
      <c r="K479" s="6"/>
      <c r="L479" s="6"/>
      <c r="M479" s="6"/>
      <c r="N479" s="6"/>
      <c r="O479" s="16"/>
      <c r="P479" s="6"/>
      <c r="Q479" s="4"/>
      <c r="R479" s="4"/>
      <c r="S479" s="4"/>
      <c r="T479" s="4"/>
      <c r="U479" s="4"/>
      <c r="V479" s="4"/>
      <c r="W479" s="4"/>
      <c r="X479" s="4"/>
      <c r="Y479" s="4"/>
      <c r="Z479" s="4"/>
      <c r="AA479" s="4"/>
      <c r="AB479" s="4"/>
      <c r="AC479" s="4"/>
    </row>
    <row r="480" spans="1:29" ht="12.75" x14ac:dyDescent="0.2">
      <c r="A480" s="16"/>
      <c r="B480" s="6"/>
      <c r="C480" s="6"/>
      <c r="D480" s="6"/>
      <c r="E480" s="4"/>
      <c r="F480" s="6"/>
      <c r="G480" s="6"/>
      <c r="H480" s="6"/>
      <c r="I480" s="6"/>
      <c r="J480" s="6"/>
      <c r="K480" s="6"/>
      <c r="L480" s="6"/>
      <c r="M480" s="6"/>
      <c r="N480" s="6"/>
      <c r="O480" s="16"/>
      <c r="P480" s="6"/>
      <c r="Q480" s="4"/>
      <c r="R480" s="4"/>
      <c r="S480" s="4"/>
      <c r="T480" s="4"/>
      <c r="U480" s="4"/>
      <c r="V480" s="4"/>
      <c r="W480" s="4"/>
      <c r="X480" s="4"/>
      <c r="Y480" s="4"/>
      <c r="Z480" s="4"/>
      <c r="AA480" s="4"/>
      <c r="AB480" s="4"/>
      <c r="AC480" s="4"/>
    </row>
    <row r="481" spans="1:29" ht="12.75" x14ac:dyDescent="0.2">
      <c r="A481" s="16"/>
      <c r="B481" s="6"/>
      <c r="C481" s="6"/>
      <c r="D481" s="6"/>
      <c r="E481" s="4"/>
      <c r="F481" s="6"/>
      <c r="G481" s="6"/>
      <c r="H481" s="6"/>
      <c r="I481" s="6"/>
      <c r="J481" s="6"/>
      <c r="K481" s="6"/>
      <c r="L481" s="6"/>
      <c r="M481" s="6"/>
      <c r="N481" s="6"/>
      <c r="O481" s="16"/>
      <c r="P481" s="6"/>
      <c r="Q481" s="4"/>
      <c r="R481" s="4"/>
      <c r="S481" s="4"/>
      <c r="T481" s="4"/>
      <c r="U481" s="4"/>
      <c r="V481" s="4"/>
      <c r="W481" s="4"/>
      <c r="X481" s="4"/>
      <c r="Y481" s="4"/>
      <c r="Z481" s="4"/>
      <c r="AA481" s="4"/>
      <c r="AB481" s="4"/>
      <c r="AC481" s="4"/>
    </row>
    <row r="482" spans="1:29" ht="12.75" x14ac:dyDescent="0.2">
      <c r="A482" s="16"/>
      <c r="B482" s="6"/>
      <c r="C482" s="6"/>
      <c r="D482" s="6"/>
      <c r="E482" s="4"/>
      <c r="F482" s="6"/>
      <c r="G482" s="6"/>
      <c r="H482" s="6"/>
      <c r="I482" s="6"/>
      <c r="J482" s="6"/>
      <c r="K482" s="6"/>
      <c r="L482" s="6"/>
      <c r="M482" s="6"/>
      <c r="N482" s="6"/>
      <c r="O482" s="16"/>
      <c r="P482" s="6"/>
      <c r="Q482" s="4"/>
      <c r="R482" s="4"/>
      <c r="S482" s="4"/>
      <c r="T482" s="4"/>
      <c r="U482" s="4"/>
      <c r="V482" s="4"/>
      <c r="W482" s="4"/>
      <c r="X482" s="4"/>
      <c r="Y482" s="4"/>
      <c r="Z482" s="4"/>
      <c r="AA482" s="4"/>
      <c r="AB482" s="4"/>
      <c r="AC482" s="4"/>
    </row>
    <row r="483" spans="1:29" ht="12.75" x14ac:dyDescent="0.2">
      <c r="A483" s="16"/>
      <c r="B483" s="6"/>
      <c r="C483" s="6"/>
      <c r="D483" s="6"/>
      <c r="E483" s="4"/>
      <c r="F483" s="6"/>
      <c r="G483" s="6"/>
      <c r="H483" s="6"/>
      <c r="I483" s="6"/>
      <c r="J483" s="6"/>
      <c r="K483" s="6"/>
      <c r="L483" s="6"/>
      <c r="M483" s="6"/>
      <c r="N483" s="6"/>
      <c r="O483" s="16"/>
      <c r="P483" s="6"/>
      <c r="Q483" s="4"/>
      <c r="R483" s="4"/>
      <c r="S483" s="4"/>
      <c r="T483" s="4"/>
      <c r="U483" s="4"/>
      <c r="V483" s="4"/>
      <c r="W483" s="4"/>
      <c r="X483" s="4"/>
      <c r="Y483" s="4"/>
      <c r="Z483" s="4"/>
      <c r="AA483" s="4"/>
      <c r="AB483" s="4"/>
      <c r="AC483" s="4"/>
    </row>
    <row r="484" spans="1:29" ht="12.75" x14ac:dyDescent="0.2">
      <c r="A484" s="16"/>
      <c r="B484" s="6"/>
      <c r="C484" s="6"/>
      <c r="D484" s="6"/>
      <c r="E484" s="4"/>
      <c r="F484" s="6"/>
      <c r="G484" s="6"/>
      <c r="H484" s="6"/>
      <c r="I484" s="6"/>
      <c r="J484" s="6"/>
      <c r="K484" s="6"/>
      <c r="L484" s="6"/>
      <c r="M484" s="6"/>
      <c r="N484" s="6"/>
      <c r="O484" s="16"/>
      <c r="P484" s="6"/>
      <c r="Q484" s="4"/>
      <c r="R484" s="4"/>
      <c r="S484" s="4"/>
      <c r="T484" s="4"/>
      <c r="U484" s="4"/>
      <c r="V484" s="4"/>
      <c r="W484" s="4"/>
      <c r="X484" s="4"/>
      <c r="Y484" s="4"/>
      <c r="Z484" s="4"/>
      <c r="AA484" s="4"/>
      <c r="AB484" s="4"/>
      <c r="AC484" s="4"/>
    </row>
    <row r="485" spans="1:29" ht="12.75" x14ac:dyDescent="0.2">
      <c r="A485" s="16"/>
      <c r="B485" s="6"/>
      <c r="C485" s="6"/>
      <c r="D485" s="6"/>
      <c r="E485" s="4"/>
      <c r="F485" s="6"/>
      <c r="G485" s="6"/>
      <c r="H485" s="6"/>
      <c r="I485" s="6"/>
      <c r="J485" s="6"/>
      <c r="K485" s="6"/>
      <c r="L485" s="6"/>
      <c r="M485" s="6"/>
      <c r="N485" s="6"/>
      <c r="O485" s="16"/>
      <c r="P485" s="6"/>
      <c r="Q485" s="4"/>
      <c r="R485" s="4"/>
      <c r="S485" s="4"/>
      <c r="T485" s="4"/>
      <c r="U485" s="4"/>
      <c r="V485" s="4"/>
      <c r="W485" s="4"/>
      <c r="X485" s="4"/>
      <c r="Y485" s="4"/>
      <c r="Z485" s="4"/>
      <c r="AA485" s="4"/>
      <c r="AB485" s="4"/>
      <c r="AC485" s="4"/>
    </row>
    <row r="486" spans="1:29" ht="12.75" x14ac:dyDescent="0.2">
      <c r="A486" s="16"/>
      <c r="B486" s="6"/>
      <c r="C486" s="6"/>
      <c r="D486" s="6"/>
      <c r="E486" s="4"/>
      <c r="F486" s="6"/>
      <c r="G486" s="6"/>
      <c r="H486" s="6"/>
      <c r="I486" s="6"/>
      <c r="J486" s="6"/>
      <c r="K486" s="6"/>
      <c r="L486" s="6"/>
      <c r="M486" s="6"/>
      <c r="N486" s="6"/>
      <c r="O486" s="16"/>
      <c r="P486" s="6"/>
      <c r="Q486" s="4"/>
      <c r="R486" s="4"/>
      <c r="S486" s="4"/>
      <c r="T486" s="4"/>
      <c r="U486" s="4"/>
      <c r="V486" s="4"/>
      <c r="W486" s="4"/>
      <c r="X486" s="4"/>
      <c r="Y486" s="4"/>
      <c r="Z486" s="4"/>
      <c r="AA486" s="4"/>
      <c r="AB486" s="4"/>
      <c r="AC486" s="4"/>
    </row>
    <row r="487" spans="1:29" ht="12.75" x14ac:dyDescent="0.2">
      <c r="A487" s="16"/>
      <c r="B487" s="6"/>
      <c r="C487" s="6"/>
      <c r="D487" s="6"/>
      <c r="E487" s="4"/>
      <c r="F487" s="6"/>
      <c r="G487" s="6"/>
      <c r="H487" s="6"/>
      <c r="I487" s="6"/>
      <c r="J487" s="6"/>
      <c r="K487" s="6"/>
      <c r="L487" s="6"/>
      <c r="M487" s="6"/>
      <c r="N487" s="6"/>
      <c r="O487" s="16"/>
      <c r="P487" s="6"/>
      <c r="Q487" s="4"/>
      <c r="R487" s="4"/>
      <c r="S487" s="4"/>
      <c r="T487" s="4"/>
      <c r="U487" s="4"/>
      <c r="V487" s="4"/>
      <c r="W487" s="4"/>
      <c r="X487" s="4"/>
      <c r="Y487" s="4"/>
      <c r="Z487" s="4"/>
      <c r="AA487" s="4"/>
      <c r="AB487" s="4"/>
      <c r="AC487" s="4"/>
    </row>
    <row r="488" spans="1:29" ht="12.75" x14ac:dyDescent="0.2">
      <c r="A488" s="16"/>
      <c r="B488" s="6"/>
      <c r="C488" s="6"/>
      <c r="D488" s="6"/>
      <c r="E488" s="4"/>
      <c r="F488" s="6"/>
      <c r="G488" s="6"/>
      <c r="H488" s="6"/>
      <c r="I488" s="6"/>
      <c r="J488" s="6"/>
      <c r="K488" s="6"/>
      <c r="L488" s="6"/>
      <c r="M488" s="6"/>
      <c r="N488" s="6"/>
      <c r="O488" s="16"/>
      <c r="P488" s="6"/>
      <c r="Q488" s="4"/>
      <c r="R488" s="4"/>
      <c r="S488" s="4"/>
      <c r="T488" s="4"/>
      <c r="U488" s="4"/>
      <c r="V488" s="4"/>
      <c r="W488" s="4"/>
      <c r="X488" s="4"/>
      <c r="Y488" s="4"/>
      <c r="Z488" s="4"/>
      <c r="AA488" s="4"/>
      <c r="AB488" s="4"/>
      <c r="AC488" s="4"/>
    </row>
    <row r="489" spans="1:29" ht="12.75" x14ac:dyDescent="0.2">
      <c r="A489" s="16"/>
      <c r="B489" s="6"/>
      <c r="C489" s="6"/>
      <c r="D489" s="6"/>
      <c r="E489" s="4"/>
      <c r="F489" s="6"/>
      <c r="G489" s="6"/>
      <c r="H489" s="6"/>
      <c r="I489" s="6"/>
      <c r="J489" s="6"/>
      <c r="K489" s="6"/>
      <c r="L489" s="6"/>
      <c r="M489" s="6"/>
      <c r="N489" s="6"/>
      <c r="O489" s="16"/>
      <c r="P489" s="6"/>
      <c r="Q489" s="4"/>
      <c r="R489" s="4"/>
      <c r="S489" s="4"/>
      <c r="T489" s="4"/>
      <c r="U489" s="4"/>
      <c r="V489" s="4"/>
      <c r="W489" s="4"/>
      <c r="X489" s="4"/>
      <c r="Y489" s="4"/>
      <c r="Z489" s="4"/>
      <c r="AA489" s="4"/>
      <c r="AB489" s="4"/>
      <c r="AC489" s="4"/>
    </row>
    <row r="490" spans="1:29" ht="12.75" x14ac:dyDescent="0.2">
      <c r="A490" s="16"/>
      <c r="B490" s="6"/>
      <c r="C490" s="6"/>
      <c r="D490" s="6"/>
      <c r="E490" s="4"/>
      <c r="F490" s="6"/>
      <c r="G490" s="6"/>
      <c r="H490" s="6"/>
      <c r="I490" s="6"/>
      <c r="J490" s="6"/>
      <c r="K490" s="6"/>
      <c r="L490" s="6"/>
      <c r="M490" s="6"/>
      <c r="N490" s="6"/>
      <c r="O490" s="16"/>
      <c r="P490" s="6"/>
      <c r="Q490" s="4"/>
      <c r="R490" s="4"/>
      <c r="S490" s="4"/>
      <c r="T490" s="4"/>
      <c r="U490" s="4"/>
      <c r="V490" s="4"/>
      <c r="W490" s="4"/>
      <c r="X490" s="4"/>
      <c r="Y490" s="4"/>
      <c r="Z490" s="4"/>
      <c r="AA490" s="4"/>
      <c r="AB490" s="4"/>
      <c r="AC490" s="4"/>
    </row>
    <row r="491" spans="1:29" ht="12.75" x14ac:dyDescent="0.2">
      <c r="A491" s="16"/>
      <c r="B491" s="6"/>
      <c r="C491" s="6"/>
      <c r="D491" s="6"/>
      <c r="E491" s="4"/>
      <c r="F491" s="6"/>
      <c r="G491" s="6"/>
      <c r="H491" s="6"/>
      <c r="I491" s="6"/>
      <c r="J491" s="6"/>
      <c r="K491" s="6"/>
      <c r="L491" s="6"/>
      <c r="M491" s="6"/>
      <c r="N491" s="6"/>
      <c r="O491" s="16"/>
      <c r="P491" s="6"/>
      <c r="Q491" s="4"/>
      <c r="R491" s="4"/>
      <c r="S491" s="4"/>
      <c r="T491" s="4"/>
      <c r="U491" s="4"/>
      <c r="V491" s="4"/>
      <c r="W491" s="4"/>
      <c r="X491" s="4"/>
      <c r="Y491" s="4"/>
      <c r="Z491" s="4"/>
      <c r="AA491" s="4"/>
      <c r="AB491" s="4"/>
      <c r="AC491" s="4"/>
    </row>
    <row r="492" spans="1:29" ht="12.75" x14ac:dyDescent="0.2">
      <c r="A492" s="16"/>
      <c r="B492" s="6"/>
      <c r="C492" s="6"/>
      <c r="D492" s="6"/>
      <c r="E492" s="4"/>
      <c r="F492" s="6"/>
      <c r="G492" s="6"/>
      <c r="H492" s="6"/>
      <c r="I492" s="6"/>
      <c r="J492" s="6"/>
      <c r="K492" s="6"/>
      <c r="L492" s="6"/>
      <c r="M492" s="6"/>
      <c r="N492" s="6"/>
      <c r="O492" s="16"/>
      <c r="P492" s="6"/>
      <c r="Q492" s="4"/>
      <c r="R492" s="4"/>
      <c r="S492" s="4"/>
      <c r="T492" s="4"/>
      <c r="U492" s="4"/>
      <c r="V492" s="4"/>
      <c r="W492" s="4"/>
      <c r="X492" s="4"/>
      <c r="Y492" s="4"/>
      <c r="Z492" s="4"/>
      <c r="AA492" s="4"/>
      <c r="AB492" s="4"/>
      <c r="AC492" s="4"/>
    </row>
    <row r="493" spans="1:29" ht="12.75" x14ac:dyDescent="0.2">
      <c r="A493" s="16"/>
      <c r="B493" s="6"/>
      <c r="C493" s="6"/>
      <c r="D493" s="6"/>
      <c r="E493" s="4"/>
      <c r="F493" s="6"/>
      <c r="G493" s="6"/>
      <c r="H493" s="6"/>
      <c r="I493" s="6"/>
      <c r="J493" s="6"/>
      <c r="K493" s="6"/>
      <c r="L493" s="6"/>
      <c r="M493" s="6"/>
      <c r="N493" s="6"/>
      <c r="O493" s="16"/>
      <c r="P493" s="6"/>
      <c r="Q493" s="4"/>
      <c r="R493" s="4"/>
      <c r="S493" s="4"/>
      <c r="T493" s="4"/>
      <c r="U493" s="4"/>
      <c r="V493" s="4"/>
      <c r="W493" s="4"/>
      <c r="X493" s="4"/>
      <c r="Y493" s="4"/>
      <c r="Z493" s="4"/>
      <c r="AA493" s="4"/>
      <c r="AB493" s="4"/>
      <c r="AC493" s="4"/>
    </row>
    <row r="494" spans="1:29" ht="12.75" x14ac:dyDescent="0.2">
      <c r="A494" s="16"/>
      <c r="B494" s="6"/>
      <c r="C494" s="6"/>
      <c r="D494" s="6"/>
      <c r="E494" s="4"/>
      <c r="F494" s="6"/>
      <c r="G494" s="6"/>
      <c r="H494" s="6"/>
      <c r="I494" s="6"/>
      <c r="J494" s="6"/>
      <c r="K494" s="6"/>
      <c r="L494" s="6"/>
      <c r="M494" s="6"/>
      <c r="N494" s="6"/>
      <c r="O494" s="16"/>
      <c r="P494" s="6"/>
      <c r="Q494" s="4"/>
      <c r="R494" s="4"/>
      <c r="S494" s="4"/>
      <c r="T494" s="4"/>
      <c r="U494" s="4"/>
      <c r="V494" s="4"/>
      <c r="W494" s="4"/>
      <c r="X494" s="4"/>
      <c r="Y494" s="4"/>
      <c r="Z494" s="4"/>
      <c r="AA494" s="4"/>
      <c r="AB494" s="4"/>
      <c r="AC494" s="4"/>
    </row>
    <row r="495" spans="1:29" ht="12.75" x14ac:dyDescent="0.2">
      <c r="A495" s="16"/>
      <c r="B495" s="6"/>
      <c r="C495" s="6"/>
      <c r="D495" s="6"/>
      <c r="E495" s="4"/>
      <c r="F495" s="6"/>
      <c r="G495" s="6"/>
      <c r="H495" s="6"/>
      <c r="I495" s="6"/>
      <c r="J495" s="6"/>
      <c r="K495" s="6"/>
      <c r="L495" s="6"/>
      <c r="M495" s="6"/>
      <c r="N495" s="6"/>
      <c r="O495" s="16"/>
      <c r="P495" s="6"/>
      <c r="Q495" s="4"/>
      <c r="R495" s="4"/>
      <c r="S495" s="4"/>
      <c r="T495" s="4"/>
      <c r="U495" s="4"/>
      <c r="V495" s="4"/>
      <c r="W495" s="4"/>
      <c r="X495" s="4"/>
      <c r="Y495" s="4"/>
      <c r="Z495" s="4"/>
      <c r="AA495" s="4"/>
      <c r="AB495" s="4"/>
      <c r="AC495" s="4"/>
    </row>
    <row r="496" spans="1:29" ht="12.75" x14ac:dyDescent="0.2">
      <c r="A496" s="16"/>
      <c r="B496" s="6"/>
      <c r="C496" s="6"/>
      <c r="D496" s="6"/>
      <c r="E496" s="4"/>
      <c r="F496" s="6"/>
      <c r="G496" s="6"/>
      <c r="H496" s="6"/>
      <c r="I496" s="6"/>
      <c r="J496" s="6"/>
      <c r="K496" s="6"/>
      <c r="L496" s="6"/>
      <c r="M496" s="6"/>
      <c r="N496" s="6"/>
      <c r="O496" s="16"/>
      <c r="P496" s="6"/>
      <c r="Q496" s="4"/>
      <c r="R496" s="4"/>
      <c r="S496" s="4"/>
      <c r="T496" s="4"/>
      <c r="U496" s="4"/>
      <c r="V496" s="4"/>
      <c r="W496" s="4"/>
      <c r="X496" s="4"/>
      <c r="Y496" s="4"/>
      <c r="Z496" s="4"/>
      <c r="AA496" s="4"/>
      <c r="AB496" s="4"/>
      <c r="AC496" s="4"/>
    </row>
    <row r="497" spans="1:29" ht="12.75" x14ac:dyDescent="0.2">
      <c r="A497" s="16"/>
      <c r="B497" s="6"/>
      <c r="C497" s="6"/>
      <c r="D497" s="6"/>
      <c r="E497" s="4"/>
      <c r="F497" s="6"/>
      <c r="G497" s="6"/>
      <c r="H497" s="6"/>
      <c r="I497" s="6"/>
      <c r="J497" s="6"/>
      <c r="K497" s="6"/>
      <c r="L497" s="6"/>
      <c r="M497" s="6"/>
      <c r="N497" s="6"/>
      <c r="O497" s="16"/>
      <c r="P497" s="6"/>
      <c r="Q497" s="4"/>
      <c r="R497" s="4"/>
      <c r="S497" s="4"/>
      <c r="T497" s="4"/>
      <c r="U497" s="4"/>
      <c r="V497" s="4"/>
      <c r="W497" s="4"/>
      <c r="X497" s="4"/>
      <c r="Y497" s="4"/>
      <c r="Z497" s="4"/>
      <c r="AA497" s="4"/>
      <c r="AB497" s="4"/>
      <c r="AC497" s="4"/>
    </row>
    <row r="498" spans="1:29" ht="12.75" x14ac:dyDescent="0.2">
      <c r="A498" s="16"/>
      <c r="B498" s="6"/>
      <c r="C498" s="6"/>
      <c r="D498" s="6"/>
      <c r="E498" s="4"/>
      <c r="F498" s="6"/>
      <c r="G498" s="6"/>
      <c r="H498" s="6"/>
      <c r="I498" s="6"/>
      <c r="J498" s="6"/>
      <c r="K498" s="6"/>
      <c r="L498" s="6"/>
      <c r="M498" s="6"/>
      <c r="N498" s="6"/>
      <c r="O498" s="16"/>
      <c r="P498" s="6"/>
      <c r="Q498" s="4"/>
      <c r="R498" s="4"/>
      <c r="S498" s="4"/>
      <c r="T498" s="4"/>
      <c r="U498" s="4"/>
      <c r="V498" s="4"/>
      <c r="W498" s="4"/>
      <c r="X498" s="4"/>
      <c r="Y498" s="4"/>
      <c r="Z498" s="4"/>
      <c r="AA498" s="4"/>
      <c r="AB498" s="4"/>
      <c r="AC498" s="4"/>
    </row>
    <row r="499" spans="1:29" ht="12.75" x14ac:dyDescent="0.2">
      <c r="A499" s="16"/>
      <c r="B499" s="6"/>
      <c r="C499" s="6"/>
      <c r="D499" s="6"/>
      <c r="E499" s="4"/>
      <c r="F499" s="6"/>
      <c r="G499" s="6"/>
      <c r="H499" s="6"/>
      <c r="I499" s="6"/>
      <c r="J499" s="6"/>
      <c r="K499" s="6"/>
      <c r="L499" s="6"/>
      <c r="M499" s="6"/>
      <c r="N499" s="6"/>
      <c r="O499" s="16"/>
      <c r="P499" s="6"/>
      <c r="Q499" s="4"/>
      <c r="R499" s="4"/>
      <c r="S499" s="4"/>
      <c r="T499" s="4"/>
      <c r="U499" s="4"/>
      <c r="V499" s="4"/>
      <c r="W499" s="4"/>
      <c r="X499" s="4"/>
      <c r="Y499" s="4"/>
      <c r="Z499" s="4"/>
      <c r="AA499" s="4"/>
      <c r="AB499" s="4"/>
      <c r="AC499" s="4"/>
    </row>
    <row r="500" spans="1:29" ht="12.75" x14ac:dyDescent="0.2">
      <c r="A500" s="16"/>
      <c r="B500" s="6"/>
      <c r="C500" s="6"/>
      <c r="D500" s="6"/>
      <c r="E500" s="4"/>
      <c r="F500" s="6"/>
      <c r="G500" s="6"/>
      <c r="H500" s="6"/>
      <c r="I500" s="6"/>
      <c r="J500" s="6"/>
      <c r="K500" s="6"/>
      <c r="L500" s="6"/>
      <c r="M500" s="6"/>
      <c r="N500" s="6"/>
      <c r="O500" s="16"/>
      <c r="P500" s="6"/>
      <c r="Q500" s="4"/>
      <c r="R500" s="4"/>
      <c r="S500" s="4"/>
      <c r="T500" s="4"/>
      <c r="U500" s="4"/>
      <c r="V500" s="4"/>
      <c r="W500" s="4"/>
      <c r="X500" s="4"/>
      <c r="Y500" s="4"/>
      <c r="Z500" s="4"/>
      <c r="AA500" s="4"/>
      <c r="AB500" s="4"/>
      <c r="AC500" s="4"/>
    </row>
    <row r="501" spans="1:29" ht="12.75" x14ac:dyDescent="0.2">
      <c r="A501" s="16"/>
      <c r="B501" s="6"/>
      <c r="C501" s="6"/>
      <c r="D501" s="6"/>
      <c r="E501" s="4"/>
      <c r="F501" s="6"/>
      <c r="G501" s="6"/>
      <c r="H501" s="6"/>
      <c r="I501" s="6"/>
      <c r="J501" s="6"/>
      <c r="K501" s="6"/>
      <c r="L501" s="6"/>
      <c r="M501" s="6"/>
      <c r="N501" s="6"/>
      <c r="O501" s="16"/>
      <c r="P501" s="6"/>
      <c r="Q501" s="4"/>
      <c r="R501" s="4"/>
      <c r="S501" s="4"/>
      <c r="T501" s="4"/>
      <c r="U501" s="4"/>
      <c r="V501" s="4"/>
      <c r="W501" s="4"/>
      <c r="X501" s="4"/>
      <c r="Y501" s="4"/>
      <c r="Z501" s="4"/>
      <c r="AA501" s="4"/>
      <c r="AB501" s="4"/>
      <c r="AC501" s="4"/>
    </row>
    <row r="502" spans="1:29" ht="12.75" x14ac:dyDescent="0.2">
      <c r="A502" s="16"/>
      <c r="B502" s="6"/>
      <c r="C502" s="6"/>
      <c r="D502" s="6"/>
      <c r="E502" s="4"/>
      <c r="F502" s="6"/>
      <c r="G502" s="6"/>
      <c r="H502" s="6"/>
      <c r="I502" s="6"/>
      <c r="J502" s="6"/>
      <c r="K502" s="6"/>
      <c r="L502" s="6"/>
      <c r="M502" s="6"/>
      <c r="N502" s="6"/>
      <c r="O502" s="16"/>
      <c r="P502" s="6"/>
      <c r="Q502" s="4"/>
      <c r="R502" s="4"/>
      <c r="S502" s="4"/>
      <c r="T502" s="4"/>
      <c r="U502" s="4"/>
      <c r="V502" s="4"/>
      <c r="W502" s="4"/>
      <c r="X502" s="4"/>
      <c r="Y502" s="4"/>
      <c r="Z502" s="4"/>
      <c r="AA502" s="4"/>
      <c r="AB502" s="4"/>
      <c r="AC502" s="4"/>
    </row>
    <row r="503" spans="1:29" ht="12.75" x14ac:dyDescent="0.2">
      <c r="A503" s="16"/>
      <c r="B503" s="6"/>
      <c r="C503" s="6"/>
      <c r="D503" s="6"/>
      <c r="E503" s="4"/>
      <c r="F503" s="6"/>
      <c r="G503" s="6"/>
      <c r="H503" s="6"/>
      <c r="I503" s="6"/>
      <c r="J503" s="6"/>
      <c r="K503" s="6"/>
      <c r="L503" s="6"/>
      <c r="M503" s="6"/>
      <c r="N503" s="6"/>
      <c r="O503" s="16"/>
      <c r="P503" s="6"/>
      <c r="Q503" s="4"/>
      <c r="R503" s="4"/>
      <c r="S503" s="4"/>
      <c r="T503" s="4"/>
      <c r="U503" s="4"/>
      <c r="V503" s="4"/>
      <c r="W503" s="4"/>
      <c r="X503" s="4"/>
      <c r="Y503" s="4"/>
      <c r="Z503" s="4"/>
      <c r="AA503" s="4"/>
      <c r="AB503" s="4"/>
      <c r="AC503" s="4"/>
    </row>
    <row r="504" spans="1:29" ht="12.75" x14ac:dyDescent="0.2">
      <c r="A504" s="16"/>
      <c r="B504" s="6"/>
      <c r="C504" s="6"/>
      <c r="D504" s="6"/>
      <c r="E504" s="4"/>
      <c r="F504" s="6"/>
      <c r="G504" s="6"/>
      <c r="H504" s="6"/>
      <c r="I504" s="6"/>
      <c r="J504" s="6"/>
      <c r="K504" s="6"/>
      <c r="L504" s="6"/>
      <c r="M504" s="6"/>
      <c r="N504" s="6"/>
      <c r="O504" s="16"/>
      <c r="P504" s="6"/>
      <c r="Q504" s="4"/>
      <c r="R504" s="4"/>
      <c r="S504" s="4"/>
      <c r="T504" s="4"/>
      <c r="U504" s="4"/>
      <c r="V504" s="4"/>
      <c r="W504" s="4"/>
      <c r="X504" s="4"/>
      <c r="Y504" s="4"/>
      <c r="Z504" s="4"/>
      <c r="AA504" s="4"/>
      <c r="AB504" s="4"/>
      <c r="AC504" s="4"/>
    </row>
    <row r="505" spans="1:29" ht="12.75" x14ac:dyDescent="0.2">
      <c r="A505" s="16"/>
      <c r="B505" s="6"/>
      <c r="C505" s="6"/>
      <c r="D505" s="6"/>
      <c r="E505" s="4"/>
      <c r="F505" s="6"/>
      <c r="G505" s="6"/>
      <c r="H505" s="6"/>
      <c r="I505" s="6"/>
      <c r="J505" s="6"/>
      <c r="K505" s="6"/>
      <c r="L505" s="6"/>
      <c r="M505" s="6"/>
      <c r="N505" s="6"/>
      <c r="O505" s="16"/>
      <c r="P505" s="6"/>
      <c r="Q505" s="4"/>
      <c r="R505" s="4"/>
      <c r="S505" s="4"/>
      <c r="T505" s="4"/>
      <c r="U505" s="4"/>
      <c r="V505" s="4"/>
      <c r="W505" s="4"/>
      <c r="X505" s="4"/>
      <c r="Y505" s="4"/>
      <c r="Z505" s="4"/>
      <c r="AA505" s="4"/>
      <c r="AB505" s="4"/>
      <c r="AC505" s="4"/>
    </row>
    <row r="506" spans="1:29" ht="12.75" x14ac:dyDescent="0.2">
      <c r="A506" s="16"/>
      <c r="B506" s="6"/>
      <c r="C506" s="6"/>
      <c r="D506" s="6"/>
      <c r="E506" s="4"/>
      <c r="F506" s="6"/>
      <c r="G506" s="6"/>
      <c r="H506" s="6"/>
      <c r="I506" s="6"/>
      <c r="J506" s="6"/>
      <c r="K506" s="6"/>
      <c r="L506" s="6"/>
      <c r="M506" s="6"/>
      <c r="N506" s="6"/>
      <c r="O506" s="16"/>
      <c r="P506" s="6"/>
      <c r="Q506" s="4"/>
      <c r="R506" s="4"/>
      <c r="S506" s="4"/>
      <c r="T506" s="4"/>
      <c r="U506" s="4"/>
      <c r="V506" s="4"/>
      <c r="W506" s="4"/>
      <c r="X506" s="4"/>
      <c r="Y506" s="4"/>
      <c r="Z506" s="4"/>
      <c r="AA506" s="4"/>
      <c r="AB506" s="4"/>
      <c r="AC506" s="4"/>
    </row>
    <row r="507" spans="1:29" ht="12.75" x14ac:dyDescent="0.2">
      <c r="A507" s="16"/>
      <c r="B507" s="6"/>
      <c r="C507" s="6"/>
      <c r="D507" s="6"/>
      <c r="E507" s="4"/>
      <c r="F507" s="6"/>
      <c r="G507" s="6"/>
      <c r="H507" s="6"/>
      <c r="I507" s="6"/>
      <c r="J507" s="6"/>
      <c r="K507" s="6"/>
      <c r="L507" s="6"/>
      <c r="M507" s="6"/>
      <c r="N507" s="6"/>
      <c r="O507" s="16"/>
      <c r="P507" s="6"/>
      <c r="Q507" s="4"/>
      <c r="R507" s="4"/>
      <c r="S507" s="4"/>
      <c r="T507" s="4"/>
      <c r="U507" s="4"/>
      <c r="V507" s="4"/>
      <c r="W507" s="4"/>
      <c r="X507" s="4"/>
      <c r="Y507" s="4"/>
      <c r="Z507" s="4"/>
      <c r="AA507" s="4"/>
      <c r="AB507" s="4"/>
      <c r="AC507" s="4"/>
    </row>
    <row r="508" spans="1:29" ht="12.75" x14ac:dyDescent="0.2">
      <c r="A508" s="16"/>
      <c r="B508" s="6"/>
      <c r="C508" s="6"/>
      <c r="D508" s="6"/>
      <c r="E508" s="4"/>
      <c r="F508" s="6"/>
      <c r="G508" s="6"/>
      <c r="H508" s="6"/>
      <c r="I508" s="6"/>
      <c r="J508" s="6"/>
      <c r="K508" s="6"/>
      <c r="L508" s="6"/>
      <c r="M508" s="6"/>
      <c r="N508" s="6"/>
      <c r="O508" s="16"/>
      <c r="P508" s="6"/>
      <c r="Q508" s="4"/>
      <c r="R508" s="4"/>
      <c r="S508" s="4"/>
      <c r="T508" s="4"/>
      <c r="U508" s="4"/>
      <c r="V508" s="4"/>
      <c r="W508" s="4"/>
      <c r="X508" s="4"/>
      <c r="Y508" s="4"/>
      <c r="Z508" s="4"/>
      <c r="AA508" s="4"/>
      <c r="AB508" s="4"/>
      <c r="AC508" s="4"/>
    </row>
    <row r="509" spans="1:29" ht="12.75" x14ac:dyDescent="0.2">
      <c r="A509" s="16"/>
      <c r="B509" s="6"/>
      <c r="C509" s="6"/>
      <c r="D509" s="6"/>
      <c r="E509" s="4"/>
      <c r="F509" s="6"/>
      <c r="G509" s="6"/>
      <c r="H509" s="6"/>
      <c r="I509" s="6"/>
      <c r="J509" s="6"/>
      <c r="K509" s="6"/>
      <c r="L509" s="6"/>
      <c r="M509" s="6"/>
      <c r="N509" s="6"/>
      <c r="O509" s="16"/>
      <c r="P509" s="6"/>
      <c r="Q509" s="4"/>
      <c r="R509" s="4"/>
      <c r="S509" s="4"/>
      <c r="T509" s="4"/>
      <c r="U509" s="4"/>
      <c r="V509" s="4"/>
      <c r="W509" s="4"/>
      <c r="X509" s="4"/>
      <c r="Y509" s="4"/>
      <c r="Z509" s="4"/>
      <c r="AA509" s="4"/>
      <c r="AB509" s="4"/>
      <c r="AC509" s="4"/>
    </row>
    <row r="510" spans="1:29" ht="12.75" x14ac:dyDescent="0.2">
      <c r="A510" s="16"/>
      <c r="B510" s="6"/>
      <c r="C510" s="6"/>
      <c r="D510" s="6"/>
      <c r="E510" s="4"/>
      <c r="F510" s="6"/>
      <c r="G510" s="6"/>
      <c r="H510" s="6"/>
      <c r="I510" s="6"/>
      <c r="J510" s="6"/>
      <c r="K510" s="6"/>
      <c r="L510" s="6"/>
      <c r="M510" s="6"/>
      <c r="N510" s="6"/>
      <c r="O510" s="16"/>
      <c r="P510" s="6"/>
      <c r="Q510" s="4"/>
      <c r="R510" s="4"/>
      <c r="S510" s="4"/>
      <c r="T510" s="4"/>
      <c r="U510" s="4"/>
      <c r="V510" s="4"/>
      <c r="W510" s="4"/>
      <c r="X510" s="4"/>
      <c r="Y510" s="4"/>
      <c r="Z510" s="4"/>
      <c r="AA510" s="4"/>
      <c r="AB510" s="4"/>
      <c r="AC510" s="4"/>
    </row>
    <row r="511" spans="1:29" ht="12.75" x14ac:dyDescent="0.2">
      <c r="A511" s="16"/>
      <c r="B511" s="6"/>
      <c r="C511" s="6"/>
      <c r="D511" s="6"/>
      <c r="E511" s="4"/>
      <c r="F511" s="6"/>
      <c r="G511" s="6"/>
      <c r="H511" s="6"/>
      <c r="I511" s="6"/>
      <c r="J511" s="6"/>
      <c r="K511" s="6"/>
      <c r="L511" s="6"/>
      <c r="M511" s="6"/>
      <c r="N511" s="6"/>
      <c r="O511" s="16"/>
      <c r="P511" s="6"/>
      <c r="Q511" s="4"/>
      <c r="R511" s="4"/>
      <c r="S511" s="4"/>
      <c r="T511" s="4"/>
      <c r="U511" s="4"/>
      <c r="V511" s="4"/>
      <c r="W511" s="4"/>
      <c r="X511" s="4"/>
      <c r="Y511" s="4"/>
      <c r="Z511" s="4"/>
      <c r="AA511" s="4"/>
      <c r="AB511" s="4"/>
      <c r="AC511" s="4"/>
    </row>
    <row r="512" spans="1:29" ht="12.75" x14ac:dyDescent="0.2">
      <c r="A512" s="16"/>
      <c r="B512" s="6"/>
      <c r="C512" s="6"/>
      <c r="D512" s="6"/>
      <c r="E512" s="4"/>
      <c r="F512" s="6"/>
      <c r="G512" s="6"/>
      <c r="H512" s="6"/>
      <c r="I512" s="6"/>
      <c r="J512" s="6"/>
      <c r="K512" s="6"/>
      <c r="L512" s="6"/>
      <c r="M512" s="6"/>
      <c r="N512" s="6"/>
      <c r="O512" s="16"/>
      <c r="P512" s="6"/>
      <c r="Q512" s="4"/>
      <c r="R512" s="4"/>
      <c r="S512" s="4"/>
      <c r="T512" s="4"/>
      <c r="U512" s="4"/>
      <c r="V512" s="4"/>
      <c r="W512" s="4"/>
      <c r="X512" s="4"/>
      <c r="Y512" s="4"/>
      <c r="Z512" s="4"/>
      <c r="AA512" s="4"/>
      <c r="AB512" s="4"/>
      <c r="AC512" s="4"/>
    </row>
    <row r="513" spans="1:29" ht="12.75" x14ac:dyDescent="0.2">
      <c r="A513" s="16"/>
      <c r="B513" s="6"/>
      <c r="C513" s="6"/>
      <c r="D513" s="6"/>
      <c r="E513" s="4"/>
      <c r="F513" s="6"/>
      <c r="G513" s="6"/>
      <c r="H513" s="6"/>
      <c r="I513" s="6"/>
      <c r="J513" s="6"/>
      <c r="K513" s="6"/>
      <c r="L513" s="6"/>
      <c r="M513" s="6"/>
      <c r="N513" s="6"/>
      <c r="O513" s="16"/>
      <c r="P513" s="6"/>
      <c r="Q513" s="4"/>
      <c r="R513" s="4"/>
      <c r="S513" s="4"/>
      <c r="T513" s="4"/>
      <c r="U513" s="4"/>
      <c r="V513" s="4"/>
      <c r="W513" s="4"/>
      <c r="X513" s="4"/>
      <c r="Y513" s="4"/>
      <c r="Z513" s="4"/>
      <c r="AA513" s="4"/>
      <c r="AB513" s="4"/>
      <c r="AC513" s="4"/>
    </row>
    <row r="514" spans="1:29" ht="12.75" x14ac:dyDescent="0.2">
      <c r="A514" s="16"/>
      <c r="B514" s="6"/>
      <c r="C514" s="6"/>
      <c r="D514" s="6"/>
      <c r="E514" s="4"/>
      <c r="F514" s="6"/>
      <c r="G514" s="6"/>
      <c r="H514" s="6"/>
      <c r="I514" s="6"/>
      <c r="J514" s="6"/>
      <c r="K514" s="6"/>
      <c r="L514" s="6"/>
      <c r="M514" s="6"/>
      <c r="N514" s="6"/>
      <c r="O514" s="16"/>
      <c r="P514" s="6"/>
      <c r="Q514" s="4"/>
      <c r="R514" s="4"/>
      <c r="S514" s="4"/>
      <c r="T514" s="4"/>
      <c r="U514" s="4"/>
      <c r="V514" s="4"/>
      <c r="W514" s="4"/>
      <c r="X514" s="4"/>
      <c r="Y514" s="4"/>
      <c r="Z514" s="4"/>
      <c r="AA514" s="4"/>
      <c r="AB514" s="4"/>
      <c r="AC514" s="4"/>
    </row>
    <row r="515" spans="1:29" ht="12.75" x14ac:dyDescent="0.2">
      <c r="A515" s="16"/>
      <c r="B515" s="6"/>
      <c r="C515" s="6"/>
      <c r="D515" s="6"/>
      <c r="E515" s="4"/>
      <c r="F515" s="6"/>
      <c r="G515" s="6"/>
      <c r="H515" s="6"/>
      <c r="I515" s="6"/>
      <c r="J515" s="6"/>
      <c r="K515" s="6"/>
      <c r="L515" s="6"/>
      <c r="M515" s="6"/>
      <c r="N515" s="6"/>
      <c r="O515" s="16"/>
      <c r="P515" s="6"/>
      <c r="Q515" s="4"/>
      <c r="R515" s="4"/>
      <c r="S515" s="4"/>
      <c r="T515" s="4"/>
      <c r="U515" s="4"/>
      <c r="V515" s="4"/>
      <c r="W515" s="4"/>
      <c r="X515" s="4"/>
      <c r="Y515" s="4"/>
      <c r="Z515" s="4"/>
      <c r="AA515" s="4"/>
      <c r="AB515" s="4"/>
      <c r="AC515" s="4"/>
    </row>
    <row r="516" spans="1:29" ht="12.75" x14ac:dyDescent="0.2">
      <c r="A516" s="16"/>
      <c r="B516" s="6"/>
      <c r="C516" s="6"/>
      <c r="D516" s="6"/>
      <c r="E516" s="4"/>
      <c r="F516" s="6"/>
      <c r="G516" s="6"/>
      <c r="H516" s="6"/>
      <c r="I516" s="6"/>
      <c r="J516" s="6"/>
      <c r="K516" s="6"/>
      <c r="L516" s="6"/>
      <c r="M516" s="6"/>
      <c r="N516" s="6"/>
      <c r="O516" s="16"/>
      <c r="P516" s="6"/>
      <c r="Q516" s="4"/>
      <c r="R516" s="4"/>
      <c r="S516" s="4"/>
      <c r="T516" s="4"/>
      <c r="U516" s="4"/>
      <c r="V516" s="4"/>
      <c r="W516" s="4"/>
      <c r="X516" s="4"/>
      <c r="Y516" s="4"/>
      <c r="Z516" s="4"/>
      <c r="AA516" s="4"/>
      <c r="AB516" s="4"/>
      <c r="AC516" s="4"/>
    </row>
    <row r="517" spans="1:29" ht="12.75" x14ac:dyDescent="0.2">
      <c r="A517" s="16"/>
      <c r="B517" s="6"/>
      <c r="C517" s="6"/>
      <c r="D517" s="6"/>
      <c r="E517" s="4"/>
      <c r="F517" s="6"/>
      <c r="G517" s="6"/>
      <c r="H517" s="6"/>
      <c r="I517" s="6"/>
      <c r="J517" s="6"/>
      <c r="K517" s="6"/>
      <c r="L517" s="6"/>
      <c r="M517" s="6"/>
      <c r="N517" s="6"/>
      <c r="O517" s="16"/>
      <c r="P517" s="6"/>
      <c r="Q517" s="4"/>
      <c r="R517" s="4"/>
      <c r="S517" s="4"/>
      <c r="T517" s="4"/>
      <c r="U517" s="4"/>
      <c r="V517" s="4"/>
      <c r="W517" s="4"/>
      <c r="X517" s="4"/>
      <c r="Y517" s="4"/>
      <c r="Z517" s="4"/>
      <c r="AA517" s="4"/>
      <c r="AB517" s="4"/>
      <c r="AC517" s="4"/>
    </row>
    <row r="518" spans="1:29" ht="12.75" x14ac:dyDescent="0.2">
      <c r="A518" s="16"/>
      <c r="B518" s="6"/>
      <c r="C518" s="6"/>
      <c r="D518" s="6"/>
      <c r="E518" s="4"/>
      <c r="F518" s="6"/>
      <c r="G518" s="6"/>
      <c r="H518" s="6"/>
      <c r="I518" s="6"/>
      <c r="J518" s="6"/>
      <c r="K518" s="6"/>
      <c r="L518" s="6"/>
      <c r="M518" s="6"/>
      <c r="N518" s="6"/>
      <c r="O518" s="16"/>
      <c r="P518" s="6"/>
      <c r="Q518" s="4"/>
      <c r="R518" s="4"/>
      <c r="S518" s="4"/>
      <c r="T518" s="4"/>
      <c r="U518" s="4"/>
      <c r="V518" s="4"/>
      <c r="W518" s="4"/>
      <c r="X518" s="4"/>
      <c r="Y518" s="4"/>
      <c r="Z518" s="4"/>
      <c r="AA518" s="4"/>
      <c r="AB518" s="4"/>
      <c r="AC518" s="4"/>
    </row>
    <row r="519" spans="1:29" ht="12.75" x14ac:dyDescent="0.2">
      <c r="A519" s="16"/>
      <c r="B519" s="6"/>
      <c r="C519" s="6"/>
      <c r="D519" s="6"/>
      <c r="E519" s="4"/>
      <c r="F519" s="6"/>
      <c r="G519" s="6"/>
      <c r="H519" s="6"/>
      <c r="I519" s="6"/>
      <c r="J519" s="6"/>
      <c r="K519" s="6"/>
      <c r="L519" s="6"/>
      <c r="M519" s="6"/>
      <c r="N519" s="6"/>
      <c r="O519" s="16"/>
      <c r="P519" s="6"/>
      <c r="Q519" s="4"/>
      <c r="R519" s="4"/>
      <c r="S519" s="4"/>
      <c r="T519" s="4"/>
      <c r="U519" s="4"/>
      <c r="V519" s="4"/>
      <c r="W519" s="4"/>
      <c r="X519" s="4"/>
      <c r="Y519" s="4"/>
      <c r="Z519" s="4"/>
      <c r="AA519" s="4"/>
      <c r="AB519" s="4"/>
      <c r="AC519" s="4"/>
    </row>
    <row r="520" spans="1:29" ht="12.75" x14ac:dyDescent="0.2">
      <c r="A520" s="16"/>
      <c r="B520" s="6"/>
      <c r="C520" s="6"/>
      <c r="D520" s="6"/>
      <c r="E520" s="4"/>
      <c r="F520" s="6"/>
      <c r="G520" s="6"/>
      <c r="H520" s="6"/>
      <c r="I520" s="6"/>
      <c r="J520" s="6"/>
      <c r="K520" s="6"/>
      <c r="L520" s="6"/>
      <c r="M520" s="6"/>
      <c r="N520" s="6"/>
      <c r="O520" s="16"/>
      <c r="P520" s="6"/>
      <c r="Q520" s="4"/>
      <c r="R520" s="4"/>
      <c r="S520" s="4"/>
      <c r="T520" s="4"/>
      <c r="U520" s="4"/>
      <c r="V520" s="4"/>
      <c r="W520" s="4"/>
      <c r="X520" s="4"/>
      <c r="Y520" s="4"/>
      <c r="Z520" s="4"/>
      <c r="AA520" s="4"/>
      <c r="AB520" s="4"/>
      <c r="AC520" s="4"/>
    </row>
    <row r="521" spans="1:29" ht="12.75" x14ac:dyDescent="0.2">
      <c r="A521" s="16"/>
      <c r="B521" s="6"/>
      <c r="C521" s="6"/>
      <c r="D521" s="6"/>
      <c r="E521" s="4"/>
      <c r="F521" s="6"/>
      <c r="G521" s="6"/>
      <c r="H521" s="6"/>
      <c r="I521" s="6"/>
      <c r="J521" s="6"/>
      <c r="K521" s="6"/>
      <c r="L521" s="6"/>
      <c r="M521" s="6"/>
      <c r="N521" s="6"/>
      <c r="O521" s="16"/>
      <c r="P521" s="6"/>
      <c r="Q521" s="4"/>
      <c r="R521" s="4"/>
      <c r="S521" s="4"/>
      <c r="T521" s="4"/>
      <c r="U521" s="4"/>
      <c r="V521" s="4"/>
      <c r="W521" s="4"/>
      <c r="X521" s="4"/>
      <c r="Y521" s="4"/>
      <c r="Z521" s="4"/>
      <c r="AA521" s="4"/>
      <c r="AB521" s="4"/>
      <c r="AC521" s="4"/>
    </row>
    <row r="522" spans="1:29" ht="12.75" x14ac:dyDescent="0.2">
      <c r="A522" s="16"/>
      <c r="B522" s="6"/>
      <c r="C522" s="6"/>
      <c r="D522" s="6"/>
      <c r="E522" s="4"/>
      <c r="F522" s="6"/>
      <c r="G522" s="6"/>
      <c r="H522" s="6"/>
      <c r="I522" s="6"/>
      <c r="J522" s="6"/>
      <c r="K522" s="6"/>
      <c r="L522" s="6"/>
      <c r="M522" s="6"/>
      <c r="N522" s="6"/>
      <c r="O522" s="16"/>
      <c r="P522" s="6"/>
      <c r="Q522" s="4"/>
      <c r="R522" s="4"/>
      <c r="S522" s="4"/>
      <c r="T522" s="4"/>
      <c r="U522" s="4"/>
      <c r="V522" s="4"/>
      <c r="W522" s="4"/>
      <c r="X522" s="4"/>
      <c r="Y522" s="4"/>
      <c r="Z522" s="4"/>
      <c r="AA522" s="4"/>
      <c r="AB522" s="4"/>
      <c r="AC522" s="4"/>
    </row>
    <row r="523" spans="1:29" ht="12.75" x14ac:dyDescent="0.2">
      <c r="A523" s="16"/>
      <c r="B523" s="6"/>
      <c r="C523" s="6"/>
      <c r="D523" s="6"/>
      <c r="E523" s="4"/>
      <c r="F523" s="6"/>
      <c r="G523" s="6"/>
      <c r="H523" s="6"/>
      <c r="I523" s="6"/>
      <c r="J523" s="6"/>
      <c r="K523" s="6"/>
      <c r="L523" s="6"/>
      <c r="M523" s="6"/>
      <c r="N523" s="6"/>
      <c r="O523" s="16"/>
      <c r="P523" s="6"/>
      <c r="Q523" s="4"/>
      <c r="R523" s="4"/>
      <c r="S523" s="4"/>
      <c r="T523" s="4"/>
      <c r="U523" s="4"/>
      <c r="V523" s="4"/>
      <c r="W523" s="4"/>
      <c r="X523" s="4"/>
      <c r="Y523" s="4"/>
      <c r="Z523" s="4"/>
      <c r="AA523" s="4"/>
      <c r="AB523" s="4"/>
      <c r="AC523" s="4"/>
    </row>
    <row r="524" spans="1:29" ht="12.75" x14ac:dyDescent="0.2">
      <c r="A524" s="16"/>
      <c r="B524" s="6"/>
      <c r="C524" s="6"/>
      <c r="D524" s="6"/>
      <c r="E524" s="4"/>
      <c r="F524" s="6"/>
      <c r="G524" s="6"/>
      <c r="H524" s="6"/>
      <c r="I524" s="6"/>
      <c r="J524" s="6"/>
      <c r="K524" s="6"/>
      <c r="L524" s="6"/>
      <c r="M524" s="6"/>
      <c r="N524" s="6"/>
      <c r="O524" s="16"/>
      <c r="P524" s="6"/>
      <c r="Q524" s="4"/>
      <c r="R524" s="4"/>
      <c r="S524" s="4"/>
      <c r="T524" s="4"/>
      <c r="U524" s="4"/>
      <c r="V524" s="4"/>
      <c r="W524" s="4"/>
      <c r="X524" s="4"/>
      <c r="Y524" s="4"/>
      <c r="Z524" s="4"/>
      <c r="AA524" s="4"/>
      <c r="AB524" s="4"/>
      <c r="AC524" s="4"/>
    </row>
    <row r="525" spans="1:29" ht="12.75" x14ac:dyDescent="0.2">
      <c r="A525" s="16"/>
      <c r="B525" s="6"/>
      <c r="C525" s="6"/>
      <c r="D525" s="6"/>
      <c r="E525" s="4"/>
      <c r="F525" s="6"/>
      <c r="G525" s="6"/>
      <c r="H525" s="6"/>
      <c r="I525" s="6"/>
      <c r="J525" s="6"/>
      <c r="K525" s="6"/>
      <c r="L525" s="6"/>
      <c r="M525" s="6"/>
      <c r="N525" s="6"/>
      <c r="O525" s="16"/>
      <c r="P525" s="6"/>
      <c r="Q525" s="4"/>
      <c r="R525" s="4"/>
      <c r="S525" s="4"/>
      <c r="T525" s="4"/>
      <c r="U525" s="4"/>
      <c r="V525" s="4"/>
      <c r="W525" s="4"/>
      <c r="X525" s="4"/>
      <c r="Y525" s="4"/>
      <c r="Z525" s="4"/>
      <c r="AA525" s="4"/>
      <c r="AB525" s="4"/>
      <c r="AC525" s="4"/>
    </row>
    <row r="526" spans="1:29" ht="12.75" x14ac:dyDescent="0.2">
      <c r="A526" s="16"/>
      <c r="B526" s="6"/>
      <c r="C526" s="6"/>
      <c r="D526" s="6"/>
      <c r="E526" s="4"/>
      <c r="F526" s="6"/>
      <c r="G526" s="6"/>
      <c r="H526" s="6"/>
      <c r="I526" s="6"/>
      <c r="J526" s="6"/>
      <c r="K526" s="6"/>
      <c r="L526" s="6"/>
      <c r="M526" s="6"/>
      <c r="N526" s="6"/>
      <c r="O526" s="16"/>
      <c r="P526" s="6"/>
      <c r="Q526" s="4"/>
      <c r="R526" s="4"/>
      <c r="S526" s="4"/>
      <c r="T526" s="4"/>
      <c r="U526" s="4"/>
      <c r="V526" s="4"/>
      <c r="W526" s="4"/>
      <c r="X526" s="4"/>
      <c r="Y526" s="4"/>
      <c r="Z526" s="4"/>
      <c r="AA526" s="4"/>
      <c r="AB526" s="4"/>
      <c r="AC526" s="4"/>
    </row>
    <row r="527" spans="1:29" ht="12.75" x14ac:dyDescent="0.2">
      <c r="A527" s="16"/>
      <c r="B527" s="6"/>
      <c r="C527" s="6"/>
      <c r="D527" s="6"/>
      <c r="E527" s="4"/>
      <c r="F527" s="6"/>
      <c r="G527" s="6"/>
      <c r="H527" s="6"/>
      <c r="I527" s="6"/>
      <c r="J527" s="6"/>
      <c r="K527" s="6"/>
      <c r="L527" s="6"/>
      <c r="M527" s="6"/>
      <c r="N527" s="6"/>
      <c r="O527" s="16"/>
      <c r="P527" s="6"/>
      <c r="Q527" s="4"/>
      <c r="R527" s="4"/>
      <c r="S527" s="4"/>
      <c r="T527" s="4"/>
      <c r="U527" s="4"/>
      <c r="V527" s="4"/>
      <c r="W527" s="4"/>
      <c r="X527" s="4"/>
      <c r="Y527" s="4"/>
      <c r="Z527" s="4"/>
      <c r="AA527" s="4"/>
      <c r="AB527" s="4"/>
      <c r="AC527" s="4"/>
    </row>
    <row r="528" spans="1:29" ht="12.75" x14ac:dyDescent="0.2">
      <c r="A528" s="16"/>
      <c r="B528" s="6"/>
      <c r="C528" s="6"/>
      <c r="D528" s="6"/>
      <c r="E528" s="4"/>
      <c r="F528" s="6"/>
      <c r="G528" s="6"/>
      <c r="H528" s="6"/>
      <c r="I528" s="6"/>
      <c r="J528" s="6"/>
      <c r="K528" s="6"/>
      <c r="L528" s="6"/>
      <c r="M528" s="6"/>
      <c r="N528" s="6"/>
      <c r="O528" s="16"/>
      <c r="P528" s="6"/>
      <c r="Q528" s="4"/>
      <c r="R528" s="4"/>
      <c r="S528" s="4"/>
      <c r="T528" s="4"/>
      <c r="U528" s="4"/>
      <c r="V528" s="4"/>
      <c r="W528" s="4"/>
      <c r="X528" s="4"/>
      <c r="Y528" s="4"/>
      <c r="Z528" s="4"/>
      <c r="AA528" s="4"/>
      <c r="AB528" s="4"/>
      <c r="AC528" s="4"/>
    </row>
    <row r="529" spans="1:29" ht="12.75" x14ac:dyDescent="0.2">
      <c r="A529" s="16"/>
      <c r="B529" s="6"/>
      <c r="C529" s="6"/>
      <c r="D529" s="6"/>
      <c r="E529" s="4"/>
      <c r="F529" s="6"/>
      <c r="G529" s="6"/>
      <c r="H529" s="6"/>
      <c r="I529" s="6"/>
      <c r="J529" s="6"/>
      <c r="K529" s="6"/>
      <c r="L529" s="6"/>
      <c r="M529" s="6"/>
      <c r="N529" s="6"/>
      <c r="O529" s="16"/>
      <c r="P529" s="6"/>
      <c r="Q529" s="4"/>
      <c r="R529" s="4"/>
      <c r="S529" s="4"/>
      <c r="T529" s="4"/>
      <c r="U529" s="4"/>
      <c r="V529" s="4"/>
      <c r="W529" s="4"/>
      <c r="X529" s="4"/>
      <c r="Y529" s="4"/>
      <c r="Z529" s="4"/>
      <c r="AA529" s="4"/>
      <c r="AB529" s="4"/>
      <c r="AC529" s="4"/>
    </row>
    <row r="530" spans="1:29" ht="12.75" x14ac:dyDescent="0.2">
      <c r="A530" s="16"/>
      <c r="B530" s="6"/>
      <c r="C530" s="6"/>
      <c r="D530" s="6"/>
      <c r="E530" s="4"/>
      <c r="F530" s="6"/>
      <c r="G530" s="6"/>
      <c r="H530" s="6"/>
      <c r="I530" s="6"/>
      <c r="J530" s="6"/>
      <c r="K530" s="6"/>
      <c r="L530" s="6"/>
      <c r="M530" s="6"/>
      <c r="N530" s="6"/>
      <c r="O530" s="16"/>
      <c r="P530" s="6"/>
      <c r="Q530" s="4"/>
      <c r="R530" s="4"/>
      <c r="S530" s="4"/>
      <c r="T530" s="4"/>
      <c r="U530" s="4"/>
      <c r="V530" s="4"/>
      <c r="W530" s="4"/>
      <c r="X530" s="4"/>
      <c r="Y530" s="4"/>
      <c r="Z530" s="4"/>
      <c r="AA530" s="4"/>
      <c r="AB530" s="4"/>
      <c r="AC530" s="4"/>
    </row>
    <row r="531" spans="1:29" ht="12.75" x14ac:dyDescent="0.2">
      <c r="A531" s="16"/>
      <c r="B531" s="6"/>
      <c r="C531" s="6"/>
      <c r="D531" s="6"/>
      <c r="E531" s="4"/>
      <c r="F531" s="6"/>
      <c r="G531" s="6"/>
      <c r="H531" s="6"/>
      <c r="I531" s="6"/>
      <c r="J531" s="6"/>
      <c r="K531" s="6"/>
      <c r="L531" s="6"/>
      <c r="M531" s="6"/>
      <c r="N531" s="6"/>
      <c r="O531" s="16"/>
      <c r="P531" s="6"/>
      <c r="Q531" s="4"/>
      <c r="R531" s="4"/>
      <c r="S531" s="4"/>
      <c r="T531" s="4"/>
      <c r="U531" s="4"/>
      <c r="V531" s="4"/>
      <c r="W531" s="4"/>
      <c r="X531" s="4"/>
      <c r="Y531" s="4"/>
      <c r="Z531" s="4"/>
      <c r="AA531" s="4"/>
      <c r="AB531" s="4"/>
      <c r="AC531" s="4"/>
    </row>
    <row r="532" spans="1:29" ht="12.75" x14ac:dyDescent="0.2">
      <c r="A532" s="16"/>
      <c r="B532" s="6"/>
      <c r="C532" s="6"/>
      <c r="D532" s="6"/>
      <c r="E532" s="4"/>
      <c r="F532" s="6"/>
      <c r="G532" s="6"/>
      <c r="H532" s="6"/>
      <c r="I532" s="6"/>
      <c r="J532" s="6"/>
      <c r="K532" s="6"/>
      <c r="L532" s="6"/>
      <c r="M532" s="6"/>
      <c r="N532" s="6"/>
      <c r="O532" s="16"/>
      <c r="P532" s="6"/>
      <c r="Q532" s="4"/>
      <c r="R532" s="4"/>
      <c r="S532" s="4"/>
      <c r="T532" s="4"/>
      <c r="U532" s="4"/>
      <c r="V532" s="4"/>
      <c r="W532" s="4"/>
      <c r="X532" s="4"/>
      <c r="Y532" s="4"/>
      <c r="Z532" s="4"/>
      <c r="AA532" s="4"/>
      <c r="AB532" s="4"/>
      <c r="AC532" s="4"/>
    </row>
    <row r="533" spans="1:29" ht="12.75" x14ac:dyDescent="0.2">
      <c r="A533" s="16"/>
      <c r="B533" s="6"/>
      <c r="C533" s="6"/>
      <c r="D533" s="6"/>
      <c r="E533" s="4"/>
      <c r="F533" s="6"/>
      <c r="G533" s="6"/>
      <c r="H533" s="6"/>
      <c r="I533" s="6"/>
      <c r="J533" s="6"/>
      <c r="K533" s="6"/>
      <c r="L533" s="6"/>
      <c r="M533" s="6"/>
      <c r="N533" s="6"/>
      <c r="O533" s="16"/>
      <c r="P533" s="6"/>
      <c r="Q533" s="4"/>
      <c r="R533" s="4"/>
      <c r="S533" s="4"/>
      <c r="T533" s="4"/>
      <c r="U533" s="4"/>
      <c r="V533" s="4"/>
      <c r="W533" s="4"/>
      <c r="X533" s="4"/>
      <c r="Y533" s="4"/>
      <c r="Z533" s="4"/>
      <c r="AA533" s="4"/>
      <c r="AB533" s="4"/>
      <c r="AC533" s="4"/>
    </row>
    <row r="534" spans="1:29" ht="12.75" x14ac:dyDescent="0.2">
      <c r="A534" s="16"/>
      <c r="B534" s="6"/>
      <c r="C534" s="6"/>
      <c r="D534" s="6"/>
      <c r="E534" s="4"/>
      <c r="F534" s="6"/>
      <c r="G534" s="6"/>
      <c r="H534" s="6"/>
      <c r="I534" s="6"/>
      <c r="J534" s="6"/>
      <c r="K534" s="6"/>
      <c r="L534" s="6"/>
      <c r="M534" s="6"/>
      <c r="N534" s="6"/>
      <c r="O534" s="16"/>
      <c r="P534" s="6"/>
      <c r="Q534" s="4"/>
      <c r="R534" s="4"/>
      <c r="S534" s="4"/>
      <c r="T534" s="4"/>
      <c r="U534" s="4"/>
      <c r="V534" s="4"/>
      <c r="W534" s="4"/>
      <c r="X534" s="4"/>
      <c r="Y534" s="4"/>
      <c r="Z534" s="4"/>
      <c r="AA534" s="4"/>
      <c r="AB534" s="4"/>
      <c r="AC534" s="4"/>
    </row>
    <row r="535" spans="1:29" ht="12.75" x14ac:dyDescent="0.2">
      <c r="A535" s="16"/>
      <c r="B535" s="6"/>
      <c r="C535" s="6"/>
      <c r="D535" s="6"/>
      <c r="E535" s="4"/>
      <c r="F535" s="6"/>
      <c r="G535" s="6"/>
      <c r="H535" s="6"/>
      <c r="I535" s="6"/>
      <c r="J535" s="6"/>
      <c r="K535" s="6"/>
      <c r="L535" s="6"/>
      <c r="M535" s="6"/>
      <c r="N535" s="6"/>
      <c r="O535" s="16"/>
      <c r="P535" s="6"/>
      <c r="Q535" s="4"/>
      <c r="R535" s="4"/>
      <c r="S535" s="4"/>
      <c r="T535" s="4"/>
      <c r="U535" s="4"/>
      <c r="V535" s="4"/>
      <c r="W535" s="4"/>
      <c r="X535" s="4"/>
      <c r="Y535" s="4"/>
      <c r="Z535" s="4"/>
      <c r="AA535" s="4"/>
      <c r="AB535" s="4"/>
      <c r="AC535" s="4"/>
    </row>
    <row r="536" spans="1:29" ht="12.75" x14ac:dyDescent="0.2">
      <c r="A536" s="16"/>
      <c r="B536" s="6"/>
      <c r="C536" s="6"/>
      <c r="D536" s="6"/>
      <c r="E536" s="4"/>
      <c r="F536" s="6"/>
      <c r="G536" s="6"/>
      <c r="H536" s="6"/>
      <c r="I536" s="6"/>
      <c r="J536" s="6"/>
      <c r="K536" s="6"/>
      <c r="L536" s="6"/>
      <c r="M536" s="6"/>
      <c r="N536" s="6"/>
      <c r="O536" s="16"/>
      <c r="P536" s="6"/>
      <c r="Q536" s="4"/>
      <c r="R536" s="4"/>
      <c r="S536" s="4"/>
      <c r="T536" s="4"/>
      <c r="U536" s="4"/>
      <c r="V536" s="4"/>
      <c r="W536" s="4"/>
      <c r="X536" s="4"/>
      <c r="Y536" s="4"/>
      <c r="Z536" s="4"/>
      <c r="AA536" s="4"/>
      <c r="AB536" s="4"/>
      <c r="AC536" s="4"/>
    </row>
    <row r="537" spans="1:29" ht="12.75" x14ac:dyDescent="0.2">
      <c r="A537" s="16"/>
      <c r="B537" s="6"/>
      <c r="C537" s="6"/>
      <c r="D537" s="6"/>
      <c r="E537" s="4"/>
      <c r="F537" s="6"/>
      <c r="G537" s="6"/>
      <c r="H537" s="6"/>
      <c r="I537" s="6"/>
      <c r="J537" s="6"/>
      <c r="K537" s="6"/>
      <c r="L537" s="6"/>
      <c r="M537" s="6"/>
      <c r="N537" s="6"/>
      <c r="O537" s="16"/>
      <c r="P537" s="6"/>
      <c r="Q537" s="4"/>
      <c r="R537" s="4"/>
      <c r="S537" s="4"/>
      <c r="T537" s="4"/>
      <c r="U537" s="4"/>
      <c r="V537" s="4"/>
      <c r="W537" s="4"/>
      <c r="X537" s="4"/>
      <c r="Y537" s="4"/>
      <c r="Z537" s="4"/>
      <c r="AA537" s="4"/>
      <c r="AB537" s="4"/>
      <c r="AC537" s="4"/>
    </row>
    <row r="538" spans="1:29" ht="12.75" x14ac:dyDescent="0.2">
      <c r="A538" s="16"/>
      <c r="B538" s="6"/>
      <c r="C538" s="6"/>
      <c r="D538" s="6"/>
      <c r="E538" s="4"/>
      <c r="F538" s="6"/>
      <c r="G538" s="6"/>
      <c r="H538" s="6"/>
      <c r="I538" s="6"/>
      <c r="J538" s="6"/>
      <c r="K538" s="6"/>
      <c r="L538" s="6"/>
      <c r="M538" s="6"/>
      <c r="N538" s="6"/>
      <c r="O538" s="16"/>
      <c r="P538" s="6"/>
      <c r="Q538" s="4"/>
      <c r="R538" s="4"/>
      <c r="S538" s="4"/>
      <c r="T538" s="4"/>
      <c r="U538" s="4"/>
      <c r="V538" s="4"/>
      <c r="W538" s="4"/>
      <c r="X538" s="4"/>
      <c r="Y538" s="4"/>
      <c r="Z538" s="4"/>
      <c r="AA538" s="4"/>
      <c r="AB538" s="4"/>
      <c r="AC538" s="4"/>
    </row>
    <row r="539" spans="1:29" ht="12.75" x14ac:dyDescent="0.2">
      <c r="A539" s="16"/>
      <c r="B539" s="6"/>
      <c r="C539" s="6"/>
      <c r="D539" s="6"/>
      <c r="E539" s="4"/>
      <c r="F539" s="6"/>
      <c r="G539" s="6"/>
      <c r="H539" s="6"/>
      <c r="I539" s="6"/>
      <c r="J539" s="6"/>
      <c r="K539" s="6"/>
      <c r="L539" s="6"/>
      <c r="M539" s="6"/>
      <c r="N539" s="6"/>
      <c r="O539" s="16"/>
      <c r="P539" s="6"/>
      <c r="Q539" s="4"/>
      <c r="R539" s="4"/>
      <c r="S539" s="4"/>
      <c r="T539" s="4"/>
      <c r="U539" s="4"/>
      <c r="V539" s="4"/>
      <c r="W539" s="4"/>
      <c r="X539" s="4"/>
      <c r="Y539" s="4"/>
      <c r="Z539" s="4"/>
      <c r="AA539" s="4"/>
      <c r="AB539" s="4"/>
      <c r="AC539" s="4"/>
    </row>
    <row r="540" spans="1:29" ht="12.75" x14ac:dyDescent="0.2">
      <c r="A540" s="16"/>
      <c r="B540" s="6"/>
      <c r="C540" s="6"/>
      <c r="D540" s="6"/>
      <c r="E540" s="4"/>
      <c r="F540" s="6"/>
      <c r="G540" s="6"/>
      <c r="H540" s="6"/>
      <c r="I540" s="6"/>
      <c r="J540" s="6"/>
      <c r="K540" s="6"/>
      <c r="L540" s="6"/>
      <c r="M540" s="6"/>
      <c r="N540" s="6"/>
      <c r="O540" s="16"/>
      <c r="P540" s="6"/>
      <c r="Q540" s="4"/>
      <c r="R540" s="4"/>
      <c r="S540" s="4"/>
      <c r="T540" s="4"/>
      <c r="U540" s="4"/>
      <c r="V540" s="4"/>
      <c r="W540" s="4"/>
      <c r="X540" s="4"/>
      <c r="Y540" s="4"/>
      <c r="Z540" s="4"/>
      <c r="AA540" s="4"/>
      <c r="AB540" s="4"/>
      <c r="AC540" s="4"/>
    </row>
    <row r="541" spans="1:29" ht="12.75" x14ac:dyDescent="0.2">
      <c r="A541" s="16"/>
      <c r="B541" s="6"/>
      <c r="C541" s="6"/>
      <c r="D541" s="6"/>
      <c r="E541" s="4"/>
      <c r="F541" s="6"/>
      <c r="G541" s="6"/>
      <c r="H541" s="6"/>
      <c r="I541" s="6"/>
      <c r="J541" s="6"/>
      <c r="K541" s="6"/>
      <c r="L541" s="6"/>
      <c r="M541" s="6"/>
      <c r="N541" s="6"/>
      <c r="O541" s="16"/>
      <c r="P541" s="6"/>
      <c r="Q541" s="4"/>
      <c r="R541" s="4"/>
      <c r="S541" s="4"/>
      <c r="T541" s="4"/>
      <c r="U541" s="4"/>
      <c r="V541" s="4"/>
      <c r="W541" s="4"/>
      <c r="X541" s="4"/>
      <c r="Y541" s="4"/>
      <c r="Z541" s="4"/>
      <c r="AA541" s="4"/>
      <c r="AB541" s="4"/>
      <c r="AC541" s="4"/>
    </row>
    <row r="542" spans="1:29" ht="12.75" x14ac:dyDescent="0.2">
      <c r="A542" s="16"/>
      <c r="B542" s="6"/>
      <c r="C542" s="6"/>
      <c r="D542" s="6"/>
      <c r="E542" s="4"/>
      <c r="F542" s="6"/>
      <c r="G542" s="6"/>
      <c r="H542" s="6"/>
      <c r="I542" s="6"/>
      <c r="J542" s="6"/>
      <c r="K542" s="6"/>
      <c r="L542" s="6"/>
      <c r="M542" s="6"/>
      <c r="N542" s="6"/>
      <c r="O542" s="16"/>
      <c r="P542" s="6"/>
      <c r="Q542" s="4"/>
      <c r="R542" s="4"/>
      <c r="S542" s="4"/>
      <c r="T542" s="4"/>
      <c r="U542" s="4"/>
      <c r="V542" s="4"/>
      <c r="W542" s="4"/>
      <c r="X542" s="4"/>
      <c r="Y542" s="4"/>
      <c r="Z542" s="4"/>
      <c r="AA542" s="4"/>
      <c r="AB542" s="4"/>
      <c r="AC542" s="4"/>
    </row>
    <row r="543" spans="1:29" ht="12.75" x14ac:dyDescent="0.2">
      <c r="A543" s="16"/>
      <c r="B543" s="6"/>
      <c r="C543" s="6"/>
      <c r="D543" s="6"/>
      <c r="E543" s="4"/>
      <c r="F543" s="6"/>
      <c r="G543" s="6"/>
      <c r="H543" s="6"/>
      <c r="I543" s="6"/>
      <c r="J543" s="6"/>
      <c r="K543" s="6"/>
      <c r="L543" s="6"/>
      <c r="M543" s="6"/>
      <c r="N543" s="6"/>
      <c r="O543" s="16"/>
      <c r="P543" s="6"/>
      <c r="Q543" s="4"/>
      <c r="R543" s="4"/>
      <c r="S543" s="4"/>
      <c r="T543" s="4"/>
      <c r="U543" s="4"/>
      <c r="V543" s="4"/>
      <c r="W543" s="4"/>
      <c r="X543" s="4"/>
      <c r="Y543" s="4"/>
      <c r="Z543" s="4"/>
      <c r="AA543" s="4"/>
      <c r="AB543" s="4"/>
      <c r="AC543" s="4"/>
    </row>
    <row r="544" spans="1:29" ht="12.75" x14ac:dyDescent="0.2">
      <c r="A544" s="16"/>
      <c r="B544" s="6"/>
      <c r="C544" s="6"/>
      <c r="D544" s="6"/>
      <c r="E544" s="4"/>
      <c r="F544" s="6"/>
      <c r="G544" s="6"/>
      <c r="H544" s="6"/>
      <c r="I544" s="6"/>
      <c r="J544" s="6"/>
      <c r="K544" s="6"/>
      <c r="L544" s="6"/>
      <c r="M544" s="6"/>
      <c r="N544" s="6"/>
      <c r="O544" s="16"/>
      <c r="P544" s="6"/>
      <c r="Q544" s="4"/>
      <c r="R544" s="4"/>
      <c r="S544" s="4"/>
      <c r="T544" s="4"/>
      <c r="U544" s="4"/>
      <c r="V544" s="4"/>
      <c r="W544" s="4"/>
      <c r="X544" s="4"/>
      <c r="Y544" s="4"/>
      <c r="Z544" s="4"/>
      <c r="AA544" s="4"/>
      <c r="AB544" s="4"/>
      <c r="AC544" s="4"/>
    </row>
    <row r="545" spans="1:29" ht="12.75" x14ac:dyDescent="0.2">
      <c r="A545" s="16"/>
      <c r="B545" s="6"/>
      <c r="C545" s="6"/>
      <c r="D545" s="6"/>
      <c r="E545" s="4"/>
      <c r="F545" s="6"/>
      <c r="G545" s="6"/>
      <c r="H545" s="6"/>
      <c r="I545" s="6"/>
      <c r="J545" s="6"/>
      <c r="K545" s="6"/>
      <c r="L545" s="6"/>
      <c r="M545" s="6"/>
      <c r="N545" s="6"/>
      <c r="O545" s="16"/>
      <c r="P545" s="6"/>
      <c r="Q545" s="4"/>
      <c r="R545" s="4"/>
      <c r="S545" s="4"/>
      <c r="T545" s="4"/>
      <c r="U545" s="4"/>
      <c r="V545" s="4"/>
      <c r="W545" s="4"/>
      <c r="X545" s="4"/>
      <c r="Y545" s="4"/>
      <c r="Z545" s="4"/>
      <c r="AA545" s="4"/>
      <c r="AB545" s="4"/>
      <c r="AC545" s="4"/>
    </row>
    <row r="546" spans="1:29" ht="12.75" x14ac:dyDescent="0.2">
      <c r="A546" s="16"/>
      <c r="B546" s="6"/>
      <c r="C546" s="6"/>
      <c r="D546" s="6"/>
      <c r="E546" s="4"/>
      <c r="F546" s="6"/>
      <c r="G546" s="6"/>
      <c r="H546" s="6"/>
      <c r="I546" s="6"/>
      <c r="J546" s="6"/>
      <c r="K546" s="6"/>
      <c r="L546" s="6"/>
      <c r="M546" s="6"/>
      <c r="N546" s="6"/>
      <c r="O546" s="16"/>
      <c r="P546" s="6"/>
      <c r="Q546" s="4"/>
      <c r="R546" s="4"/>
      <c r="S546" s="4"/>
      <c r="T546" s="4"/>
      <c r="U546" s="4"/>
      <c r="V546" s="4"/>
      <c r="W546" s="4"/>
      <c r="X546" s="4"/>
      <c r="Y546" s="4"/>
      <c r="Z546" s="4"/>
      <c r="AA546" s="4"/>
      <c r="AB546" s="4"/>
      <c r="AC546" s="4"/>
    </row>
    <row r="547" spans="1:29" ht="12.75" x14ac:dyDescent="0.2">
      <c r="A547" s="16"/>
      <c r="B547" s="6"/>
      <c r="C547" s="6"/>
      <c r="D547" s="6"/>
      <c r="E547" s="4"/>
      <c r="F547" s="6"/>
      <c r="G547" s="6"/>
      <c r="H547" s="6"/>
      <c r="I547" s="6"/>
      <c r="J547" s="6"/>
      <c r="K547" s="6"/>
      <c r="L547" s="6"/>
      <c r="M547" s="6"/>
      <c r="N547" s="6"/>
      <c r="O547" s="16"/>
      <c r="P547" s="6"/>
      <c r="Q547" s="4"/>
      <c r="R547" s="4"/>
      <c r="S547" s="4"/>
      <c r="T547" s="4"/>
      <c r="U547" s="4"/>
      <c r="V547" s="4"/>
      <c r="W547" s="4"/>
      <c r="X547" s="4"/>
      <c r="Y547" s="4"/>
      <c r="Z547" s="4"/>
      <c r="AA547" s="4"/>
      <c r="AB547" s="4"/>
      <c r="AC547" s="4"/>
    </row>
    <row r="548" spans="1:29" ht="12.75" x14ac:dyDescent="0.2">
      <c r="A548" s="16"/>
      <c r="B548" s="6"/>
      <c r="C548" s="6"/>
      <c r="D548" s="6"/>
      <c r="E548" s="4"/>
      <c r="F548" s="6"/>
      <c r="G548" s="6"/>
      <c r="H548" s="6"/>
      <c r="I548" s="6"/>
      <c r="J548" s="6"/>
      <c r="K548" s="6"/>
      <c r="L548" s="6"/>
      <c r="M548" s="6"/>
      <c r="N548" s="6"/>
      <c r="O548" s="16"/>
      <c r="P548" s="6"/>
      <c r="Q548" s="4"/>
      <c r="R548" s="4"/>
      <c r="S548" s="4"/>
      <c r="T548" s="4"/>
      <c r="U548" s="4"/>
      <c r="V548" s="4"/>
      <c r="W548" s="4"/>
      <c r="X548" s="4"/>
      <c r="Y548" s="4"/>
      <c r="Z548" s="4"/>
      <c r="AA548" s="4"/>
      <c r="AB548" s="4"/>
      <c r="AC548" s="4"/>
    </row>
    <row r="549" spans="1:29" ht="12.75" x14ac:dyDescent="0.2">
      <c r="A549" s="16"/>
      <c r="B549" s="6"/>
      <c r="C549" s="6"/>
      <c r="D549" s="6"/>
      <c r="E549" s="4"/>
      <c r="F549" s="6"/>
      <c r="G549" s="6"/>
      <c r="H549" s="6"/>
      <c r="I549" s="6"/>
      <c r="J549" s="6"/>
      <c r="K549" s="6"/>
      <c r="L549" s="6"/>
      <c r="M549" s="6"/>
      <c r="N549" s="6"/>
      <c r="O549" s="16"/>
      <c r="P549" s="6"/>
      <c r="Q549" s="4"/>
      <c r="R549" s="4"/>
      <c r="S549" s="4"/>
      <c r="T549" s="4"/>
      <c r="U549" s="4"/>
      <c r="V549" s="4"/>
      <c r="W549" s="4"/>
      <c r="X549" s="4"/>
      <c r="Y549" s="4"/>
      <c r="Z549" s="4"/>
      <c r="AA549" s="4"/>
      <c r="AB549" s="4"/>
      <c r="AC549" s="4"/>
    </row>
    <row r="550" spans="1:29" ht="12.75" x14ac:dyDescent="0.2">
      <c r="A550" s="16"/>
      <c r="B550" s="6"/>
      <c r="C550" s="6"/>
      <c r="D550" s="6"/>
      <c r="E550" s="4"/>
      <c r="F550" s="6"/>
      <c r="G550" s="6"/>
      <c r="H550" s="6"/>
      <c r="I550" s="6"/>
      <c r="J550" s="6"/>
      <c r="K550" s="6"/>
      <c r="L550" s="6"/>
      <c r="M550" s="6"/>
      <c r="N550" s="6"/>
      <c r="O550" s="16"/>
      <c r="P550" s="6"/>
      <c r="Q550" s="4"/>
      <c r="R550" s="4"/>
      <c r="S550" s="4"/>
      <c r="T550" s="4"/>
      <c r="U550" s="4"/>
      <c r="V550" s="4"/>
      <c r="W550" s="4"/>
      <c r="X550" s="4"/>
      <c r="Y550" s="4"/>
      <c r="Z550" s="4"/>
      <c r="AA550" s="4"/>
      <c r="AB550" s="4"/>
      <c r="AC550" s="4"/>
    </row>
    <row r="551" spans="1:29" ht="12.75" x14ac:dyDescent="0.2">
      <c r="A551" s="16"/>
      <c r="B551" s="6"/>
      <c r="C551" s="6"/>
      <c r="D551" s="6"/>
      <c r="E551" s="4"/>
      <c r="F551" s="6"/>
      <c r="G551" s="6"/>
      <c r="H551" s="6"/>
      <c r="I551" s="6"/>
      <c r="J551" s="6"/>
      <c r="K551" s="6"/>
      <c r="L551" s="6"/>
      <c r="M551" s="6"/>
      <c r="N551" s="6"/>
      <c r="O551" s="16"/>
      <c r="P551" s="6"/>
      <c r="Q551" s="4"/>
      <c r="R551" s="4"/>
      <c r="S551" s="4"/>
      <c r="T551" s="4"/>
      <c r="U551" s="4"/>
      <c r="V551" s="4"/>
      <c r="W551" s="4"/>
      <c r="X551" s="4"/>
      <c r="Y551" s="4"/>
      <c r="Z551" s="4"/>
      <c r="AA551" s="4"/>
      <c r="AB551" s="4"/>
      <c r="AC551" s="4"/>
    </row>
    <row r="552" spans="1:29" ht="12.75" x14ac:dyDescent="0.2">
      <c r="A552" s="16"/>
      <c r="B552" s="6"/>
      <c r="C552" s="6"/>
      <c r="D552" s="6"/>
      <c r="E552" s="4"/>
      <c r="F552" s="6"/>
      <c r="G552" s="6"/>
      <c r="H552" s="6"/>
      <c r="I552" s="6"/>
      <c r="J552" s="6"/>
      <c r="K552" s="6"/>
      <c r="L552" s="6"/>
      <c r="M552" s="6"/>
      <c r="N552" s="6"/>
      <c r="O552" s="16"/>
      <c r="P552" s="6"/>
      <c r="Q552" s="4"/>
      <c r="R552" s="4"/>
      <c r="S552" s="4"/>
      <c r="T552" s="4"/>
      <c r="U552" s="4"/>
      <c r="V552" s="4"/>
      <c r="W552" s="4"/>
      <c r="X552" s="4"/>
      <c r="Y552" s="4"/>
      <c r="Z552" s="4"/>
      <c r="AA552" s="4"/>
      <c r="AB552" s="4"/>
      <c r="AC552" s="4"/>
    </row>
    <row r="553" spans="1:29" ht="12.75" x14ac:dyDescent="0.2">
      <c r="A553" s="16"/>
      <c r="B553" s="6"/>
      <c r="C553" s="6"/>
      <c r="D553" s="6"/>
      <c r="E553" s="4"/>
      <c r="F553" s="6"/>
      <c r="G553" s="6"/>
      <c r="H553" s="6"/>
      <c r="I553" s="6"/>
      <c r="J553" s="6"/>
      <c r="K553" s="6"/>
      <c r="L553" s="6"/>
      <c r="M553" s="6"/>
      <c r="N553" s="6"/>
      <c r="O553" s="16"/>
      <c r="P553" s="6"/>
      <c r="Q553" s="4"/>
      <c r="R553" s="4"/>
      <c r="S553" s="4"/>
      <c r="T553" s="4"/>
      <c r="U553" s="4"/>
      <c r="V553" s="4"/>
      <c r="W553" s="4"/>
      <c r="X553" s="4"/>
      <c r="Y553" s="4"/>
      <c r="Z553" s="4"/>
      <c r="AA553" s="4"/>
      <c r="AB553" s="4"/>
      <c r="AC553" s="4"/>
    </row>
    <row r="554" spans="1:29" ht="12.75" x14ac:dyDescent="0.2">
      <c r="A554" s="16"/>
      <c r="B554" s="6"/>
      <c r="C554" s="6"/>
      <c r="D554" s="6"/>
      <c r="E554" s="4"/>
      <c r="F554" s="6"/>
      <c r="G554" s="6"/>
      <c r="H554" s="6"/>
      <c r="I554" s="6"/>
      <c r="J554" s="6"/>
      <c r="K554" s="6"/>
      <c r="L554" s="6"/>
      <c r="M554" s="6"/>
      <c r="N554" s="6"/>
      <c r="O554" s="16"/>
      <c r="P554" s="6"/>
      <c r="Q554" s="4"/>
      <c r="R554" s="4"/>
      <c r="S554" s="4"/>
      <c r="T554" s="4"/>
      <c r="U554" s="4"/>
      <c r="V554" s="4"/>
      <c r="W554" s="4"/>
      <c r="X554" s="4"/>
      <c r="Y554" s="4"/>
      <c r="Z554" s="4"/>
      <c r="AA554" s="4"/>
      <c r="AB554" s="4"/>
      <c r="AC554" s="4"/>
    </row>
    <row r="555" spans="1:29" ht="12.75" x14ac:dyDescent="0.2">
      <c r="A555" s="16"/>
      <c r="B555" s="6"/>
      <c r="C555" s="6"/>
      <c r="D555" s="6"/>
      <c r="E555" s="4"/>
      <c r="F555" s="6"/>
      <c r="G555" s="6"/>
      <c r="H555" s="6"/>
      <c r="I555" s="6"/>
      <c r="J555" s="6"/>
      <c r="K555" s="6"/>
      <c r="L555" s="6"/>
      <c r="M555" s="6"/>
      <c r="N555" s="6"/>
      <c r="O555" s="16"/>
      <c r="P555" s="6"/>
      <c r="Q555" s="4"/>
      <c r="R555" s="4"/>
      <c r="S555" s="4"/>
      <c r="T555" s="4"/>
      <c r="U555" s="4"/>
      <c r="V555" s="4"/>
      <c r="W555" s="4"/>
      <c r="X555" s="4"/>
      <c r="Y555" s="4"/>
      <c r="Z555" s="4"/>
      <c r="AA555" s="4"/>
      <c r="AB555" s="4"/>
      <c r="AC555" s="4"/>
    </row>
    <row r="556" spans="1:29" ht="12.75" x14ac:dyDescent="0.2">
      <c r="A556" s="16"/>
      <c r="B556" s="6"/>
      <c r="C556" s="6"/>
      <c r="D556" s="6"/>
      <c r="E556" s="4"/>
      <c r="F556" s="6"/>
      <c r="G556" s="6"/>
      <c r="H556" s="6"/>
      <c r="I556" s="6"/>
      <c r="J556" s="6"/>
      <c r="K556" s="6"/>
      <c r="L556" s="6"/>
      <c r="M556" s="6"/>
      <c r="N556" s="6"/>
      <c r="O556" s="16"/>
      <c r="P556" s="6"/>
      <c r="Q556" s="4"/>
      <c r="R556" s="4"/>
      <c r="S556" s="4"/>
      <c r="T556" s="4"/>
      <c r="U556" s="4"/>
      <c r="V556" s="4"/>
      <c r="W556" s="4"/>
      <c r="X556" s="4"/>
      <c r="Y556" s="4"/>
      <c r="Z556" s="4"/>
      <c r="AA556" s="4"/>
      <c r="AB556" s="4"/>
      <c r="AC556" s="4"/>
    </row>
    <row r="557" spans="1:29" ht="12.75" x14ac:dyDescent="0.2">
      <c r="A557" s="16"/>
      <c r="B557" s="6"/>
      <c r="C557" s="6"/>
      <c r="D557" s="6"/>
      <c r="E557" s="4"/>
      <c r="F557" s="6"/>
      <c r="G557" s="6"/>
      <c r="H557" s="6"/>
      <c r="I557" s="6"/>
      <c r="J557" s="6"/>
      <c r="K557" s="6"/>
      <c r="L557" s="6"/>
      <c r="M557" s="6"/>
      <c r="N557" s="6"/>
      <c r="O557" s="16"/>
      <c r="P557" s="6"/>
      <c r="Q557" s="4"/>
      <c r="R557" s="4"/>
      <c r="S557" s="4"/>
      <c r="T557" s="4"/>
      <c r="U557" s="4"/>
      <c r="V557" s="4"/>
      <c r="W557" s="4"/>
      <c r="X557" s="4"/>
      <c r="Y557" s="4"/>
      <c r="Z557" s="4"/>
      <c r="AA557" s="4"/>
      <c r="AB557" s="4"/>
      <c r="AC557" s="4"/>
    </row>
    <row r="558" spans="1:29" ht="12.75" x14ac:dyDescent="0.2">
      <c r="A558" s="16"/>
      <c r="B558" s="6"/>
      <c r="C558" s="6"/>
      <c r="D558" s="6"/>
      <c r="E558" s="4"/>
      <c r="F558" s="6"/>
      <c r="G558" s="6"/>
      <c r="H558" s="6"/>
      <c r="I558" s="6"/>
      <c r="J558" s="6"/>
      <c r="K558" s="6"/>
      <c r="L558" s="6"/>
      <c r="M558" s="6"/>
      <c r="N558" s="6"/>
      <c r="O558" s="16"/>
      <c r="P558" s="6"/>
      <c r="Q558" s="4"/>
      <c r="R558" s="4"/>
      <c r="S558" s="4"/>
      <c r="T558" s="4"/>
      <c r="U558" s="4"/>
      <c r="V558" s="4"/>
      <c r="W558" s="4"/>
      <c r="X558" s="4"/>
      <c r="Y558" s="4"/>
      <c r="Z558" s="4"/>
      <c r="AA558" s="4"/>
      <c r="AB558" s="4"/>
      <c r="AC558" s="4"/>
    </row>
    <row r="559" spans="1:29" ht="12.75" x14ac:dyDescent="0.2">
      <c r="A559" s="16"/>
      <c r="B559" s="6"/>
      <c r="C559" s="6"/>
      <c r="D559" s="6"/>
      <c r="E559" s="4"/>
      <c r="F559" s="6"/>
      <c r="G559" s="6"/>
      <c r="H559" s="6"/>
      <c r="I559" s="6"/>
      <c r="J559" s="6"/>
      <c r="K559" s="6"/>
      <c r="L559" s="6"/>
      <c r="M559" s="6"/>
      <c r="N559" s="6"/>
      <c r="O559" s="16"/>
      <c r="P559" s="6"/>
      <c r="Q559" s="4"/>
      <c r="R559" s="4"/>
      <c r="S559" s="4"/>
      <c r="T559" s="4"/>
      <c r="U559" s="4"/>
      <c r="V559" s="4"/>
      <c r="W559" s="4"/>
      <c r="X559" s="4"/>
      <c r="Y559" s="4"/>
      <c r="Z559" s="4"/>
      <c r="AA559" s="4"/>
      <c r="AB559" s="4"/>
      <c r="AC559" s="4"/>
    </row>
    <row r="560" spans="1:29" ht="12.75" x14ac:dyDescent="0.2">
      <c r="A560" s="16"/>
      <c r="B560" s="6"/>
      <c r="C560" s="6"/>
      <c r="D560" s="6"/>
      <c r="E560" s="4"/>
      <c r="F560" s="6"/>
      <c r="G560" s="6"/>
      <c r="H560" s="6"/>
      <c r="I560" s="6"/>
      <c r="J560" s="6"/>
      <c r="K560" s="6"/>
      <c r="L560" s="6"/>
      <c r="M560" s="6"/>
      <c r="N560" s="6"/>
      <c r="O560" s="16"/>
      <c r="P560" s="6"/>
      <c r="Q560" s="4"/>
      <c r="R560" s="4"/>
      <c r="S560" s="4"/>
      <c r="T560" s="4"/>
      <c r="U560" s="4"/>
      <c r="V560" s="4"/>
      <c r="W560" s="4"/>
      <c r="X560" s="4"/>
      <c r="Y560" s="4"/>
      <c r="Z560" s="4"/>
      <c r="AA560" s="4"/>
      <c r="AB560" s="4"/>
      <c r="AC560" s="4"/>
    </row>
    <row r="561" spans="1:29" ht="12.75" x14ac:dyDescent="0.2">
      <c r="A561" s="16"/>
      <c r="B561" s="6"/>
      <c r="C561" s="6"/>
      <c r="D561" s="6"/>
      <c r="E561" s="4"/>
      <c r="F561" s="6"/>
      <c r="G561" s="6"/>
      <c r="H561" s="6"/>
      <c r="I561" s="6"/>
      <c r="J561" s="6"/>
      <c r="K561" s="6"/>
      <c r="L561" s="6"/>
      <c r="M561" s="6"/>
      <c r="N561" s="6"/>
      <c r="O561" s="16"/>
      <c r="P561" s="6"/>
      <c r="Q561" s="4"/>
      <c r="R561" s="4"/>
      <c r="S561" s="4"/>
      <c r="T561" s="4"/>
      <c r="U561" s="4"/>
      <c r="V561" s="4"/>
      <c r="W561" s="4"/>
      <c r="X561" s="4"/>
      <c r="Y561" s="4"/>
      <c r="Z561" s="4"/>
      <c r="AA561" s="4"/>
      <c r="AB561" s="4"/>
      <c r="AC561" s="4"/>
    </row>
    <row r="562" spans="1:29" ht="12.75" x14ac:dyDescent="0.2">
      <c r="A562" s="16"/>
      <c r="B562" s="6"/>
      <c r="C562" s="6"/>
      <c r="D562" s="6"/>
      <c r="E562" s="4"/>
      <c r="F562" s="6"/>
      <c r="G562" s="6"/>
      <c r="H562" s="6"/>
      <c r="I562" s="6"/>
      <c r="J562" s="6"/>
      <c r="K562" s="6"/>
      <c r="L562" s="6"/>
      <c r="M562" s="6"/>
      <c r="N562" s="6"/>
      <c r="O562" s="16"/>
      <c r="P562" s="6"/>
      <c r="Q562" s="4"/>
      <c r="R562" s="4"/>
      <c r="S562" s="4"/>
      <c r="T562" s="4"/>
      <c r="U562" s="4"/>
      <c r="V562" s="4"/>
      <c r="W562" s="4"/>
      <c r="X562" s="4"/>
      <c r="Y562" s="4"/>
      <c r="Z562" s="4"/>
      <c r="AA562" s="4"/>
      <c r="AB562" s="4"/>
      <c r="AC562" s="4"/>
    </row>
    <row r="563" spans="1:29" ht="12.75" x14ac:dyDescent="0.2">
      <c r="A563" s="16"/>
      <c r="B563" s="6"/>
      <c r="C563" s="6"/>
      <c r="D563" s="6"/>
      <c r="E563" s="4"/>
      <c r="F563" s="6"/>
      <c r="G563" s="6"/>
      <c r="H563" s="6"/>
      <c r="I563" s="6"/>
      <c r="J563" s="6"/>
      <c r="K563" s="6"/>
      <c r="L563" s="6"/>
      <c r="M563" s="6"/>
      <c r="N563" s="6"/>
      <c r="O563" s="16"/>
      <c r="P563" s="6"/>
      <c r="Q563" s="4"/>
      <c r="R563" s="4"/>
      <c r="S563" s="4"/>
      <c r="T563" s="4"/>
      <c r="U563" s="4"/>
      <c r="V563" s="4"/>
      <c r="W563" s="4"/>
      <c r="X563" s="4"/>
      <c r="Y563" s="4"/>
      <c r="Z563" s="4"/>
      <c r="AA563" s="4"/>
      <c r="AB563" s="4"/>
      <c r="AC563" s="4"/>
    </row>
    <row r="564" spans="1:29" ht="12.75" x14ac:dyDescent="0.2">
      <c r="A564" s="16"/>
      <c r="B564" s="6"/>
      <c r="C564" s="6"/>
      <c r="D564" s="6"/>
      <c r="E564" s="4"/>
      <c r="F564" s="6"/>
      <c r="G564" s="6"/>
      <c r="H564" s="6"/>
      <c r="I564" s="6"/>
      <c r="J564" s="6"/>
      <c r="K564" s="6"/>
      <c r="L564" s="6"/>
      <c r="M564" s="6"/>
      <c r="N564" s="6"/>
      <c r="O564" s="16"/>
      <c r="P564" s="6"/>
      <c r="Q564" s="4"/>
      <c r="R564" s="4"/>
      <c r="S564" s="4"/>
      <c r="T564" s="4"/>
      <c r="U564" s="4"/>
      <c r="V564" s="4"/>
      <c r="W564" s="4"/>
      <c r="X564" s="4"/>
      <c r="Y564" s="4"/>
      <c r="Z564" s="4"/>
      <c r="AA564" s="4"/>
      <c r="AB564" s="4"/>
      <c r="AC564" s="4"/>
    </row>
    <row r="565" spans="1:29" ht="12.75" x14ac:dyDescent="0.2">
      <c r="A565" s="16"/>
      <c r="B565" s="6"/>
      <c r="C565" s="6"/>
      <c r="D565" s="6"/>
      <c r="E565" s="4"/>
      <c r="F565" s="6"/>
      <c r="G565" s="6"/>
      <c r="H565" s="6"/>
      <c r="I565" s="6"/>
      <c r="J565" s="6"/>
      <c r="K565" s="6"/>
      <c r="L565" s="6"/>
      <c r="M565" s="6"/>
      <c r="N565" s="6"/>
      <c r="O565" s="16"/>
      <c r="P565" s="6"/>
      <c r="Q565" s="4"/>
      <c r="R565" s="4"/>
      <c r="S565" s="4"/>
      <c r="T565" s="4"/>
      <c r="U565" s="4"/>
      <c r="V565" s="4"/>
      <c r="W565" s="4"/>
      <c r="X565" s="4"/>
      <c r="Y565" s="4"/>
      <c r="Z565" s="4"/>
      <c r="AA565" s="4"/>
      <c r="AB565" s="4"/>
      <c r="AC565" s="4"/>
    </row>
    <row r="566" spans="1:29" ht="12.75" x14ac:dyDescent="0.2">
      <c r="A566" s="16"/>
      <c r="B566" s="6"/>
      <c r="C566" s="6"/>
      <c r="D566" s="6"/>
      <c r="E566" s="4"/>
      <c r="F566" s="6"/>
      <c r="G566" s="6"/>
      <c r="H566" s="6"/>
      <c r="I566" s="6"/>
      <c r="J566" s="6"/>
      <c r="K566" s="6"/>
      <c r="L566" s="6"/>
      <c r="M566" s="6"/>
      <c r="N566" s="6"/>
      <c r="O566" s="16"/>
      <c r="P566" s="6"/>
      <c r="Q566" s="4"/>
      <c r="R566" s="4"/>
      <c r="S566" s="4"/>
      <c r="T566" s="4"/>
      <c r="U566" s="4"/>
      <c r="V566" s="4"/>
      <c r="W566" s="4"/>
      <c r="X566" s="4"/>
      <c r="Y566" s="4"/>
      <c r="Z566" s="4"/>
      <c r="AA566" s="4"/>
      <c r="AB566" s="4"/>
      <c r="AC566" s="4"/>
    </row>
    <row r="567" spans="1:29" ht="12.75" x14ac:dyDescent="0.2">
      <c r="A567" s="16"/>
      <c r="B567" s="6"/>
      <c r="C567" s="6"/>
      <c r="D567" s="6"/>
      <c r="E567" s="4"/>
      <c r="F567" s="6"/>
      <c r="G567" s="6"/>
      <c r="H567" s="6"/>
      <c r="I567" s="6"/>
      <c r="J567" s="6"/>
      <c r="K567" s="6"/>
      <c r="L567" s="6"/>
      <c r="M567" s="6"/>
      <c r="N567" s="6"/>
      <c r="O567" s="16"/>
      <c r="P567" s="6"/>
      <c r="Q567" s="4"/>
      <c r="R567" s="4"/>
      <c r="S567" s="4"/>
      <c r="T567" s="4"/>
      <c r="U567" s="4"/>
      <c r="V567" s="4"/>
      <c r="W567" s="4"/>
      <c r="X567" s="4"/>
      <c r="Y567" s="4"/>
      <c r="Z567" s="4"/>
      <c r="AA567" s="4"/>
      <c r="AB567" s="4"/>
      <c r="AC567" s="4"/>
    </row>
    <row r="568" spans="1:29" ht="12.75" x14ac:dyDescent="0.2">
      <c r="A568" s="16"/>
      <c r="B568" s="6"/>
      <c r="C568" s="6"/>
      <c r="D568" s="6"/>
      <c r="E568" s="4"/>
      <c r="F568" s="6"/>
      <c r="G568" s="6"/>
      <c r="H568" s="6"/>
      <c r="I568" s="6"/>
      <c r="J568" s="6"/>
      <c r="K568" s="6"/>
      <c r="L568" s="6"/>
      <c r="M568" s="6"/>
      <c r="N568" s="6"/>
      <c r="O568" s="16"/>
      <c r="P568" s="6"/>
      <c r="Q568" s="4"/>
      <c r="R568" s="4"/>
      <c r="S568" s="4"/>
      <c r="T568" s="4"/>
      <c r="U568" s="4"/>
      <c r="V568" s="4"/>
      <c r="W568" s="4"/>
      <c r="X568" s="4"/>
      <c r="Y568" s="4"/>
      <c r="Z568" s="4"/>
      <c r="AA568" s="4"/>
      <c r="AB568" s="4"/>
      <c r="AC568" s="4"/>
    </row>
    <row r="569" spans="1:29" ht="12.75" x14ac:dyDescent="0.2">
      <c r="A569" s="16"/>
      <c r="B569" s="6"/>
      <c r="C569" s="6"/>
      <c r="D569" s="6"/>
      <c r="E569" s="4"/>
      <c r="F569" s="6"/>
      <c r="G569" s="6"/>
      <c r="H569" s="6"/>
      <c r="I569" s="6"/>
      <c r="J569" s="6"/>
      <c r="K569" s="6"/>
      <c r="L569" s="6"/>
      <c r="M569" s="6"/>
      <c r="N569" s="6"/>
      <c r="O569" s="16"/>
      <c r="P569" s="6"/>
      <c r="Q569" s="4"/>
      <c r="R569" s="4"/>
      <c r="S569" s="4"/>
      <c r="T569" s="4"/>
      <c r="U569" s="4"/>
      <c r="V569" s="4"/>
      <c r="W569" s="4"/>
      <c r="X569" s="4"/>
      <c r="Y569" s="4"/>
      <c r="Z569" s="4"/>
      <c r="AA569" s="4"/>
      <c r="AB569" s="4"/>
      <c r="AC569" s="4"/>
    </row>
    <row r="570" spans="1:29" ht="12.75" x14ac:dyDescent="0.2">
      <c r="A570" s="16"/>
      <c r="B570" s="6"/>
      <c r="C570" s="6"/>
      <c r="D570" s="6"/>
      <c r="E570" s="4"/>
      <c r="F570" s="6"/>
      <c r="G570" s="6"/>
      <c r="H570" s="6"/>
      <c r="I570" s="6"/>
      <c r="J570" s="6"/>
      <c r="K570" s="6"/>
      <c r="L570" s="6"/>
      <c r="M570" s="6"/>
      <c r="N570" s="6"/>
      <c r="O570" s="16"/>
      <c r="P570" s="6"/>
      <c r="Q570" s="4"/>
      <c r="R570" s="4"/>
      <c r="S570" s="4"/>
      <c r="T570" s="4"/>
      <c r="U570" s="4"/>
      <c r="V570" s="4"/>
      <c r="W570" s="4"/>
      <c r="X570" s="4"/>
      <c r="Y570" s="4"/>
      <c r="Z570" s="4"/>
      <c r="AA570" s="4"/>
      <c r="AB570" s="4"/>
      <c r="AC570" s="4"/>
    </row>
    <row r="571" spans="1:29" ht="12.75" x14ac:dyDescent="0.2">
      <c r="A571" s="16"/>
      <c r="B571" s="6"/>
      <c r="C571" s="6"/>
      <c r="D571" s="6"/>
      <c r="E571" s="4"/>
      <c r="F571" s="6"/>
      <c r="G571" s="6"/>
      <c r="H571" s="6"/>
      <c r="I571" s="6"/>
      <c r="J571" s="6"/>
      <c r="K571" s="6"/>
      <c r="L571" s="6"/>
      <c r="M571" s="6"/>
      <c r="N571" s="6"/>
      <c r="O571" s="16"/>
      <c r="P571" s="6"/>
      <c r="Q571" s="4"/>
      <c r="R571" s="4"/>
      <c r="S571" s="4"/>
      <c r="T571" s="4"/>
      <c r="U571" s="4"/>
      <c r="V571" s="4"/>
      <c r="W571" s="4"/>
      <c r="X571" s="4"/>
      <c r="Y571" s="4"/>
      <c r="Z571" s="4"/>
      <c r="AA571" s="4"/>
      <c r="AB571" s="4"/>
      <c r="AC571" s="4"/>
    </row>
    <row r="572" spans="1:29" ht="12.75" x14ac:dyDescent="0.2">
      <c r="A572" s="16"/>
      <c r="B572" s="6"/>
      <c r="C572" s="6"/>
      <c r="D572" s="6"/>
      <c r="E572" s="4"/>
      <c r="F572" s="6"/>
      <c r="G572" s="6"/>
      <c r="H572" s="6"/>
      <c r="I572" s="6"/>
      <c r="J572" s="6"/>
      <c r="K572" s="6"/>
      <c r="L572" s="6"/>
      <c r="M572" s="6"/>
      <c r="N572" s="6"/>
      <c r="O572" s="16"/>
      <c r="P572" s="6"/>
      <c r="Q572" s="4"/>
      <c r="R572" s="4"/>
      <c r="S572" s="4"/>
      <c r="T572" s="4"/>
      <c r="U572" s="4"/>
      <c r="V572" s="4"/>
      <c r="W572" s="4"/>
      <c r="X572" s="4"/>
      <c r="Y572" s="4"/>
      <c r="Z572" s="4"/>
      <c r="AA572" s="4"/>
      <c r="AB572" s="4"/>
      <c r="AC572" s="4"/>
    </row>
    <row r="573" spans="1:29" ht="12.75" x14ac:dyDescent="0.2">
      <c r="A573" s="16"/>
      <c r="B573" s="6"/>
      <c r="C573" s="6"/>
      <c r="D573" s="6"/>
      <c r="E573" s="4"/>
      <c r="F573" s="6"/>
      <c r="G573" s="6"/>
      <c r="H573" s="6"/>
      <c r="I573" s="6"/>
      <c r="J573" s="6"/>
      <c r="K573" s="6"/>
      <c r="L573" s="6"/>
      <c r="M573" s="6"/>
      <c r="N573" s="6"/>
      <c r="O573" s="16"/>
      <c r="P573" s="6"/>
      <c r="Q573" s="4"/>
      <c r="R573" s="4"/>
      <c r="S573" s="4"/>
      <c r="T573" s="4"/>
      <c r="U573" s="4"/>
      <c r="V573" s="4"/>
      <c r="W573" s="4"/>
      <c r="X573" s="4"/>
      <c r="Y573" s="4"/>
      <c r="Z573" s="4"/>
      <c r="AA573" s="4"/>
      <c r="AB573" s="4"/>
      <c r="AC573" s="4"/>
    </row>
    <row r="574" spans="1:29" ht="12.75" x14ac:dyDescent="0.2">
      <c r="A574" s="16"/>
      <c r="B574" s="6"/>
      <c r="C574" s="6"/>
      <c r="D574" s="6"/>
      <c r="E574" s="4"/>
      <c r="F574" s="6"/>
      <c r="G574" s="6"/>
      <c r="H574" s="6"/>
      <c r="I574" s="6"/>
      <c r="J574" s="6"/>
      <c r="K574" s="6"/>
      <c r="L574" s="6"/>
      <c r="M574" s="6"/>
      <c r="N574" s="6"/>
      <c r="O574" s="16"/>
      <c r="P574" s="6"/>
      <c r="Q574" s="4"/>
      <c r="R574" s="4"/>
      <c r="S574" s="4"/>
      <c r="T574" s="4"/>
      <c r="U574" s="4"/>
      <c r="V574" s="4"/>
      <c r="W574" s="4"/>
      <c r="X574" s="4"/>
      <c r="Y574" s="4"/>
      <c r="Z574" s="4"/>
      <c r="AA574" s="4"/>
      <c r="AB574" s="4"/>
      <c r="AC574" s="4"/>
    </row>
    <row r="575" spans="1:29" ht="12.75" x14ac:dyDescent="0.2">
      <c r="A575" s="16"/>
      <c r="B575" s="6"/>
      <c r="C575" s="6"/>
      <c r="D575" s="6"/>
      <c r="E575" s="4"/>
      <c r="F575" s="6"/>
      <c r="G575" s="6"/>
      <c r="H575" s="6"/>
      <c r="I575" s="6"/>
      <c r="J575" s="6"/>
      <c r="K575" s="6"/>
      <c r="L575" s="6"/>
      <c r="M575" s="6"/>
      <c r="N575" s="6"/>
      <c r="O575" s="16"/>
      <c r="P575" s="6"/>
      <c r="Q575" s="4"/>
      <c r="R575" s="4"/>
      <c r="S575" s="4"/>
      <c r="T575" s="4"/>
      <c r="U575" s="4"/>
      <c r="V575" s="4"/>
      <c r="W575" s="4"/>
      <c r="X575" s="4"/>
      <c r="Y575" s="4"/>
      <c r="Z575" s="4"/>
      <c r="AA575" s="4"/>
      <c r="AB575" s="4"/>
      <c r="AC575" s="4"/>
    </row>
    <row r="576" spans="1:29" ht="12.75" x14ac:dyDescent="0.2">
      <c r="A576" s="16"/>
      <c r="B576" s="6"/>
      <c r="C576" s="6"/>
      <c r="D576" s="6"/>
      <c r="E576" s="4"/>
      <c r="F576" s="6"/>
      <c r="G576" s="6"/>
      <c r="H576" s="6"/>
      <c r="I576" s="6"/>
      <c r="J576" s="6"/>
      <c r="K576" s="6"/>
      <c r="L576" s="6"/>
      <c r="M576" s="6"/>
      <c r="N576" s="6"/>
      <c r="O576" s="16"/>
      <c r="P576" s="6"/>
      <c r="Q576" s="4"/>
      <c r="R576" s="4"/>
      <c r="S576" s="4"/>
      <c r="T576" s="4"/>
      <c r="U576" s="4"/>
      <c r="V576" s="4"/>
      <c r="W576" s="4"/>
      <c r="X576" s="4"/>
      <c r="Y576" s="4"/>
      <c r="Z576" s="4"/>
      <c r="AA576" s="4"/>
      <c r="AB576" s="4"/>
      <c r="AC576" s="4"/>
    </row>
    <row r="577" spans="1:29" ht="12.75" x14ac:dyDescent="0.2">
      <c r="A577" s="16"/>
      <c r="B577" s="6"/>
      <c r="C577" s="6"/>
      <c r="D577" s="6"/>
      <c r="E577" s="4"/>
      <c r="F577" s="6"/>
      <c r="G577" s="6"/>
      <c r="H577" s="6"/>
      <c r="I577" s="6"/>
      <c r="J577" s="6"/>
      <c r="K577" s="6"/>
      <c r="L577" s="6"/>
      <c r="M577" s="6"/>
      <c r="N577" s="6"/>
      <c r="O577" s="16"/>
      <c r="P577" s="6"/>
      <c r="Q577" s="4"/>
      <c r="R577" s="4"/>
      <c r="S577" s="4"/>
      <c r="T577" s="4"/>
      <c r="U577" s="4"/>
      <c r="V577" s="4"/>
      <c r="W577" s="4"/>
      <c r="X577" s="4"/>
      <c r="Y577" s="4"/>
      <c r="Z577" s="4"/>
      <c r="AA577" s="4"/>
      <c r="AB577" s="4"/>
      <c r="AC577" s="4"/>
    </row>
    <row r="578" spans="1:29" ht="12.75" x14ac:dyDescent="0.2">
      <c r="A578" s="16"/>
      <c r="B578" s="6"/>
      <c r="C578" s="6"/>
      <c r="D578" s="6"/>
      <c r="E578" s="4"/>
      <c r="F578" s="6"/>
      <c r="G578" s="6"/>
      <c r="H578" s="6"/>
      <c r="I578" s="6"/>
      <c r="J578" s="6"/>
      <c r="K578" s="6"/>
      <c r="L578" s="6"/>
      <c r="M578" s="6"/>
      <c r="N578" s="6"/>
      <c r="O578" s="16"/>
      <c r="P578" s="6"/>
      <c r="Q578" s="4"/>
      <c r="R578" s="4"/>
      <c r="S578" s="4"/>
      <c r="T578" s="4"/>
      <c r="U578" s="4"/>
      <c r="V578" s="4"/>
      <c r="W578" s="4"/>
      <c r="X578" s="4"/>
      <c r="Y578" s="4"/>
      <c r="Z578" s="4"/>
      <c r="AA578" s="4"/>
      <c r="AB578" s="4"/>
      <c r="AC578" s="4"/>
    </row>
    <row r="579" spans="1:29" ht="12.75" x14ac:dyDescent="0.2">
      <c r="A579" s="16"/>
      <c r="B579" s="6"/>
      <c r="C579" s="6"/>
      <c r="D579" s="6"/>
      <c r="E579" s="4"/>
      <c r="F579" s="6"/>
      <c r="G579" s="6"/>
      <c r="H579" s="6"/>
      <c r="I579" s="6"/>
      <c r="J579" s="6"/>
      <c r="K579" s="6"/>
      <c r="L579" s="6"/>
      <c r="M579" s="6"/>
      <c r="N579" s="6"/>
      <c r="O579" s="16"/>
      <c r="P579" s="6"/>
      <c r="Q579" s="4"/>
      <c r="R579" s="4"/>
      <c r="S579" s="4"/>
      <c r="T579" s="4"/>
      <c r="U579" s="4"/>
      <c r="V579" s="4"/>
      <c r="W579" s="4"/>
      <c r="X579" s="4"/>
      <c r="Y579" s="4"/>
      <c r="Z579" s="4"/>
      <c r="AA579" s="4"/>
      <c r="AB579" s="4"/>
      <c r="AC579" s="4"/>
    </row>
    <row r="580" spans="1:29" ht="12.75" x14ac:dyDescent="0.2">
      <c r="A580" s="16"/>
      <c r="B580" s="6"/>
      <c r="C580" s="6"/>
      <c r="D580" s="6"/>
      <c r="E580" s="4"/>
      <c r="F580" s="6"/>
      <c r="G580" s="6"/>
      <c r="H580" s="6"/>
      <c r="I580" s="6"/>
      <c r="J580" s="6"/>
      <c r="K580" s="6"/>
      <c r="L580" s="6"/>
      <c r="M580" s="6"/>
      <c r="N580" s="6"/>
      <c r="O580" s="16"/>
      <c r="P580" s="6"/>
      <c r="Q580" s="4"/>
      <c r="R580" s="4"/>
      <c r="S580" s="4"/>
      <c r="T580" s="4"/>
      <c r="U580" s="4"/>
      <c r="V580" s="4"/>
      <c r="W580" s="4"/>
      <c r="X580" s="4"/>
      <c r="Y580" s="4"/>
      <c r="Z580" s="4"/>
      <c r="AA580" s="4"/>
      <c r="AB580" s="4"/>
      <c r="AC580" s="4"/>
    </row>
    <row r="581" spans="1:29" ht="12.75" x14ac:dyDescent="0.2">
      <c r="A581" s="16"/>
      <c r="B581" s="6"/>
      <c r="C581" s="6"/>
      <c r="D581" s="6"/>
      <c r="E581" s="4"/>
      <c r="F581" s="6"/>
      <c r="G581" s="6"/>
      <c r="H581" s="6"/>
      <c r="I581" s="6"/>
      <c r="J581" s="6"/>
      <c r="K581" s="6"/>
      <c r="L581" s="6"/>
      <c r="M581" s="6"/>
      <c r="N581" s="6"/>
      <c r="O581" s="16"/>
      <c r="P581" s="6"/>
      <c r="Q581" s="4"/>
      <c r="R581" s="4"/>
      <c r="S581" s="4"/>
      <c r="T581" s="4"/>
      <c r="U581" s="4"/>
      <c r="V581" s="4"/>
      <c r="W581" s="4"/>
      <c r="X581" s="4"/>
      <c r="Y581" s="4"/>
      <c r="Z581" s="4"/>
      <c r="AA581" s="4"/>
      <c r="AB581" s="4"/>
      <c r="AC581" s="4"/>
    </row>
    <row r="582" spans="1:29" ht="12.75" x14ac:dyDescent="0.2">
      <c r="A582" s="16"/>
      <c r="B582" s="6"/>
      <c r="C582" s="6"/>
      <c r="D582" s="6"/>
      <c r="E582" s="4"/>
      <c r="F582" s="6"/>
      <c r="G582" s="6"/>
      <c r="H582" s="6"/>
      <c r="I582" s="6"/>
      <c r="J582" s="6"/>
      <c r="K582" s="6"/>
      <c r="L582" s="6"/>
      <c r="M582" s="6"/>
      <c r="N582" s="6"/>
      <c r="O582" s="16"/>
      <c r="P582" s="6"/>
      <c r="Q582" s="4"/>
      <c r="R582" s="4"/>
      <c r="S582" s="4"/>
      <c r="T582" s="4"/>
      <c r="U582" s="4"/>
      <c r="V582" s="4"/>
      <c r="W582" s="4"/>
      <c r="X582" s="4"/>
      <c r="Y582" s="4"/>
      <c r="Z582" s="4"/>
      <c r="AA582" s="4"/>
      <c r="AB582" s="4"/>
      <c r="AC582" s="4"/>
    </row>
    <row r="583" spans="1:29" ht="12.75" x14ac:dyDescent="0.2">
      <c r="A583" s="16"/>
      <c r="B583" s="6"/>
      <c r="C583" s="6"/>
      <c r="D583" s="6"/>
      <c r="E583" s="4"/>
      <c r="F583" s="6"/>
      <c r="G583" s="6"/>
      <c r="H583" s="6"/>
      <c r="I583" s="6"/>
      <c r="J583" s="6"/>
      <c r="K583" s="6"/>
      <c r="L583" s="6"/>
      <c r="M583" s="6"/>
      <c r="N583" s="6"/>
      <c r="O583" s="16"/>
      <c r="P583" s="6"/>
      <c r="Q583" s="4"/>
      <c r="R583" s="4"/>
      <c r="S583" s="4"/>
      <c r="T583" s="4"/>
      <c r="U583" s="4"/>
      <c r="V583" s="4"/>
      <c r="W583" s="4"/>
      <c r="X583" s="4"/>
      <c r="Y583" s="4"/>
      <c r="Z583" s="4"/>
      <c r="AA583" s="4"/>
      <c r="AB583" s="4"/>
      <c r="AC583" s="4"/>
    </row>
    <row r="584" spans="1:29" ht="12.75" x14ac:dyDescent="0.2">
      <c r="A584" s="16"/>
      <c r="B584" s="6"/>
      <c r="C584" s="6"/>
      <c r="D584" s="6"/>
      <c r="E584" s="4"/>
      <c r="F584" s="6"/>
      <c r="G584" s="6"/>
      <c r="H584" s="6"/>
      <c r="I584" s="6"/>
      <c r="J584" s="6"/>
      <c r="K584" s="6"/>
      <c r="L584" s="6"/>
      <c r="M584" s="6"/>
      <c r="N584" s="6"/>
      <c r="O584" s="16"/>
      <c r="P584" s="6"/>
      <c r="Q584" s="4"/>
      <c r="R584" s="4"/>
      <c r="S584" s="4"/>
      <c r="T584" s="4"/>
      <c r="U584" s="4"/>
      <c r="V584" s="4"/>
      <c r="W584" s="4"/>
      <c r="X584" s="4"/>
      <c r="Y584" s="4"/>
      <c r="Z584" s="4"/>
      <c r="AA584" s="4"/>
      <c r="AB584" s="4"/>
      <c r="AC584" s="4"/>
    </row>
    <row r="585" spans="1:29" ht="12.75" x14ac:dyDescent="0.2">
      <c r="A585" s="16"/>
      <c r="B585" s="6"/>
      <c r="C585" s="6"/>
      <c r="D585" s="6"/>
      <c r="E585" s="4"/>
      <c r="F585" s="6"/>
      <c r="G585" s="6"/>
      <c r="H585" s="6"/>
      <c r="I585" s="6"/>
      <c r="J585" s="6"/>
      <c r="K585" s="6"/>
      <c r="L585" s="6"/>
      <c r="M585" s="6"/>
      <c r="N585" s="6"/>
      <c r="O585" s="16"/>
      <c r="P585" s="6"/>
      <c r="Q585" s="4"/>
      <c r="R585" s="4"/>
      <c r="S585" s="4"/>
      <c r="T585" s="4"/>
      <c r="U585" s="4"/>
      <c r="V585" s="4"/>
      <c r="W585" s="4"/>
      <c r="X585" s="4"/>
      <c r="Y585" s="4"/>
      <c r="Z585" s="4"/>
      <c r="AA585" s="4"/>
      <c r="AB585" s="4"/>
      <c r="AC585" s="4"/>
    </row>
    <row r="586" spans="1:29" ht="12.75" x14ac:dyDescent="0.2">
      <c r="A586" s="16"/>
      <c r="B586" s="6"/>
      <c r="C586" s="6"/>
      <c r="D586" s="6"/>
      <c r="E586" s="4"/>
      <c r="F586" s="6"/>
      <c r="G586" s="6"/>
      <c r="H586" s="6"/>
      <c r="I586" s="6"/>
      <c r="J586" s="6"/>
      <c r="K586" s="6"/>
      <c r="L586" s="6"/>
      <c r="M586" s="6"/>
      <c r="N586" s="6"/>
      <c r="O586" s="16"/>
      <c r="P586" s="6"/>
      <c r="Q586" s="4"/>
      <c r="R586" s="4"/>
      <c r="S586" s="4"/>
      <c r="T586" s="4"/>
      <c r="U586" s="4"/>
      <c r="V586" s="4"/>
      <c r="W586" s="4"/>
      <c r="X586" s="4"/>
      <c r="Y586" s="4"/>
      <c r="Z586" s="4"/>
      <c r="AA586" s="4"/>
      <c r="AB586" s="4"/>
      <c r="AC586" s="4"/>
    </row>
    <row r="587" spans="1:29" ht="12.75" x14ac:dyDescent="0.2">
      <c r="A587" s="16"/>
      <c r="B587" s="6"/>
      <c r="C587" s="6"/>
      <c r="D587" s="6"/>
      <c r="E587" s="4"/>
      <c r="F587" s="6"/>
      <c r="G587" s="6"/>
      <c r="H587" s="6"/>
      <c r="I587" s="6"/>
      <c r="J587" s="6"/>
      <c r="K587" s="6"/>
      <c r="L587" s="6"/>
      <c r="M587" s="6"/>
      <c r="N587" s="6"/>
      <c r="O587" s="16"/>
      <c r="P587" s="6"/>
      <c r="Q587" s="4"/>
      <c r="R587" s="4"/>
      <c r="S587" s="4"/>
      <c r="T587" s="4"/>
      <c r="U587" s="4"/>
      <c r="V587" s="4"/>
      <c r="W587" s="4"/>
      <c r="X587" s="4"/>
      <c r="Y587" s="4"/>
      <c r="Z587" s="4"/>
      <c r="AA587" s="4"/>
      <c r="AB587" s="4"/>
      <c r="AC587" s="4"/>
    </row>
    <row r="588" spans="1:29" ht="12.75" x14ac:dyDescent="0.2">
      <c r="A588" s="16"/>
      <c r="B588" s="6"/>
      <c r="C588" s="6"/>
      <c r="D588" s="6"/>
      <c r="E588" s="4"/>
      <c r="F588" s="6"/>
      <c r="G588" s="6"/>
      <c r="H588" s="6"/>
      <c r="I588" s="6"/>
      <c r="J588" s="6"/>
      <c r="K588" s="6"/>
      <c r="L588" s="6"/>
      <c r="M588" s="6"/>
      <c r="N588" s="6"/>
      <c r="O588" s="16"/>
      <c r="P588" s="6"/>
      <c r="Q588" s="4"/>
      <c r="R588" s="4"/>
      <c r="S588" s="4"/>
      <c r="T588" s="4"/>
      <c r="U588" s="4"/>
      <c r="V588" s="4"/>
      <c r="W588" s="4"/>
      <c r="X588" s="4"/>
      <c r="Y588" s="4"/>
      <c r="Z588" s="4"/>
      <c r="AA588" s="4"/>
      <c r="AB588" s="4"/>
      <c r="AC588" s="4"/>
    </row>
    <row r="589" spans="1:29" ht="12.75" x14ac:dyDescent="0.2">
      <c r="A589" s="16"/>
      <c r="B589" s="6"/>
      <c r="C589" s="6"/>
      <c r="D589" s="6"/>
      <c r="E589" s="4"/>
      <c r="F589" s="6"/>
      <c r="G589" s="6"/>
      <c r="H589" s="6"/>
      <c r="I589" s="6"/>
      <c r="J589" s="6"/>
      <c r="K589" s="6"/>
      <c r="L589" s="6"/>
      <c r="M589" s="6"/>
      <c r="N589" s="6"/>
      <c r="O589" s="16"/>
      <c r="P589" s="6"/>
      <c r="Q589" s="4"/>
      <c r="R589" s="4"/>
      <c r="S589" s="4"/>
      <c r="T589" s="4"/>
      <c r="U589" s="4"/>
      <c r="V589" s="4"/>
      <c r="W589" s="4"/>
      <c r="X589" s="4"/>
      <c r="Y589" s="4"/>
      <c r="Z589" s="4"/>
      <c r="AA589" s="4"/>
      <c r="AB589" s="4"/>
      <c r="AC589" s="4"/>
    </row>
    <row r="590" spans="1:29" ht="12.75" x14ac:dyDescent="0.2">
      <c r="A590" s="16"/>
      <c r="B590" s="6"/>
      <c r="C590" s="6"/>
      <c r="D590" s="6"/>
      <c r="E590" s="4"/>
      <c r="F590" s="6"/>
      <c r="G590" s="6"/>
      <c r="H590" s="6"/>
      <c r="I590" s="6"/>
      <c r="J590" s="6"/>
      <c r="K590" s="6"/>
      <c r="L590" s="6"/>
      <c r="M590" s="6"/>
      <c r="N590" s="6"/>
      <c r="O590" s="16"/>
      <c r="P590" s="6"/>
      <c r="Q590" s="4"/>
      <c r="R590" s="4"/>
      <c r="S590" s="4"/>
      <c r="T590" s="4"/>
      <c r="U590" s="4"/>
      <c r="V590" s="4"/>
      <c r="W590" s="4"/>
      <c r="X590" s="4"/>
      <c r="Y590" s="4"/>
      <c r="Z590" s="4"/>
      <c r="AA590" s="4"/>
      <c r="AB590" s="4"/>
      <c r="AC590" s="4"/>
    </row>
    <row r="591" spans="1:29" ht="12.75" x14ac:dyDescent="0.2">
      <c r="A591" s="16"/>
      <c r="B591" s="6"/>
      <c r="C591" s="6"/>
      <c r="D591" s="6"/>
      <c r="E591" s="4"/>
      <c r="F591" s="6"/>
      <c r="G591" s="6"/>
      <c r="H591" s="6"/>
      <c r="I591" s="6"/>
      <c r="J591" s="6"/>
      <c r="K591" s="6"/>
      <c r="L591" s="6"/>
      <c r="M591" s="6"/>
      <c r="N591" s="6"/>
      <c r="O591" s="16"/>
      <c r="P591" s="6"/>
      <c r="Q591" s="4"/>
      <c r="R591" s="4"/>
      <c r="S591" s="4"/>
      <c r="T591" s="4"/>
      <c r="U591" s="4"/>
      <c r="V591" s="4"/>
      <c r="W591" s="4"/>
      <c r="X591" s="4"/>
      <c r="Y591" s="4"/>
      <c r="Z591" s="4"/>
      <c r="AA591" s="4"/>
      <c r="AB591" s="4"/>
      <c r="AC591" s="4"/>
    </row>
    <row r="592" spans="1:29" ht="12.75" x14ac:dyDescent="0.2">
      <c r="A592" s="16"/>
      <c r="B592" s="6"/>
      <c r="C592" s="6"/>
      <c r="D592" s="6"/>
      <c r="E592" s="4"/>
      <c r="F592" s="6"/>
      <c r="G592" s="6"/>
      <c r="H592" s="6"/>
      <c r="I592" s="6"/>
      <c r="J592" s="6"/>
      <c r="K592" s="6"/>
      <c r="L592" s="6"/>
      <c r="M592" s="6"/>
      <c r="N592" s="6"/>
      <c r="O592" s="16"/>
      <c r="P592" s="6"/>
      <c r="Q592" s="4"/>
      <c r="R592" s="4"/>
      <c r="S592" s="4"/>
      <c r="T592" s="4"/>
      <c r="U592" s="4"/>
      <c r="V592" s="4"/>
      <c r="W592" s="4"/>
      <c r="X592" s="4"/>
      <c r="Y592" s="4"/>
      <c r="Z592" s="4"/>
      <c r="AA592" s="4"/>
      <c r="AB592" s="4"/>
      <c r="AC592" s="4"/>
    </row>
    <row r="593" spans="1:29" ht="12.75" x14ac:dyDescent="0.2">
      <c r="A593" s="16"/>
      <c r="B593" s="6"/>
      <c r="C593" s="6"/>
      <c r="D593" s="6"/>
      <c r="E593" s="4"/>
      <c r="F593" s="6"/>
      <c r="G593" s="6"/>
      <c r="H593" s="6"/>
      <c r="I593" s="6"/>
      <c r="J593" s="6"/>
      <c r="K593" s="6"/>
      <c r="L593" s="6"/>
      <c r="M593" s="6"/>
      <c r="N593" s="6"/>
      <c r="O593" s="16"/>
      <c r="P593" s="6"/>
      <c r="Q593" s="4"/>
      <c r="R593" s="4"/>
      <c r="S593" s="4"/>
      <c r="T593" s="4"/>
      <c r="U593" s="4"/>
      <c r="V593" s="4"/>
      <c r="W593" s="4"/>
      <c r="X593" s="4"/>
      <c r="Y593" s="4"/>
      <c r="Z593" s="4"/>
      <c r="AA593" s="4"/>
      <c r="AB593" s="4"/>
      <c r="AC593" s="4"/>
    </row>
    <row r="594" spans="1:29" ht="12.75" x14ac:dyDescent="0.2">
      <c r="A594" s="16"/>
      <c r="B594" s="6"/>
      <c r="C594" s="6"/>
      <c r="D594" s="6"/>
      <c r="E594" s="4"/>
      <c r="F594" s="6"/>
      <c r="G594" s="6"/>
      <c r="H594" s="6"/>
      <c r="I594" s="6"/>
      <c r="J594" s="6"/>
      <c r="K594" s="6"/>
      <c r="L594" s="6"/>
      <c r="M594" s="6"/>
      <c r="N594" s="6"/>
      <c r="O594" s="16"/>
      <c r="P594" s="6"/>
      <c r="Q594" s="4"/>
      <c r="R594" s="4"/>
      <c r="S594" s="4"/>
      <c r="T594" s="4"/>
      <c r="U594" s="4"/>
      <c r="V594" s="4"/>
      <c r="W594" s="4"/>
      <c r="X594" s="4"/>
      <c r="Y594" s="4"/>
      <c r="Z594" s="4"/>
      <c r="AA594" s="4"/>
      <c r="AB594" s="4"/>
      <c r="AC594" s="4"/>
    </row>
    <row r="595" spans="1:29" ht="12.75" x14ac:dyDescent="0.2">
      <c r="A595" s="16"/>
      <c r="B595" s="6"/>
      <c r="C595" s="6"/>
      <c r="D595" s="6"/>
      <c r="E595" s="4"/>
      <c r="F595" s="6"/>
      <c r="G595" s="6"/>
      <c r="H595" s="6"/>
      <c r="I595" s="6"/>
      <c r="J595" s="6"/>
      <c r="K595" s="6"/>
      <c r="L595" s="6"/>
      <c r="M595" s="6"/>
      <c r="N595" s="6"/>
      <c r="O595" s="16"/>
      <c r="P595" s="6"/>
      <c r="Q595" s="4"/>
      <c r="R595" s="4"/>
      <c r="S595" s="4"/>
      <c r="T595" s="4"/>
      <c r="U595" s="4"/>
      <c r="V595" s="4"/>
      <c r="W595" s="4"/>
      <c r="X595" s="4"/>
      <c r="Y595" s="4"/>
      <c r="Z595" s="4"/>
      <c r="AA595" s="4"/>
      <c r="AB595" s="4"/>
      <c r="AC595" s="4"/>
    </row>
    <row r="596" spans="1:29" ht="12.75" x14ac:dyDescent="0.2">
      <c r="A596" s="16"/>
      <c r="B596" s="6"/>
      <c r="C596" s="6"/>
      <c r="D596" s="6"/>
      <c r="E596" s="4"/>
      <c r="F596" s="6"/>
      <c r="G596" s="6"/>
      <c r="H596" s="6"/>
      <c r="I596" s="6"/>
      <c r="J596" s="6"/>
      <c r="K596" s="6"/>
      <c r="L596" s="6"/>
      <c r="M596" s="6"/>
      <c r="N596" s="6"/>
      <c r="O596" s="16"/>
      <c r="P596" s="6"/>
      <c r="Q596" s="4"/>
      <c r="R596" s="4"/>
      <c r="S596" s="4"/>
      <c r="T596" s="4"/>
      <c r="U596" s="4"/>
      <c r="V596" s="4"/>
      <c r="W596" s="4"/>
      <c r="X596" s="4"/>
      <c r="Y596" s="4"/>
      <c r="Z596" s="4"/>
      <c r="AA596" s="4"/>
      <c r="AB596" s="4"/>
      <c r="AC596" s="4"/>
    </row>
    <row r="597" spans="1:29" ht="12.75" x14ac:dyDescent="0.2">
      <c r="A597" s="16"/>
      <c r="B597" s="6"/>
      <c r="C597" s="6"/>
      <c r="D597" s="6"/>
      <c r="E597" s="4"/>
      <c r="F597" s="6"/>
      <c r="G597" s="6"/>
      <c r="H597" s="6"/>
      <c r="I597" s="6"/>
      <c r="J597" s="6"/>
      <c r="K597" s="6"/>
      <c r="L597" s="6"/>
      <c r="M597" s="6"/>
      <c r="N597" s="6"/>
      <c r="O597" s="16"/>
      <c r="P597" s="6"/>
      <c r="Q597" s="4"/>
      <c r="R597" s="4"/>
      <c r="S597" s="4"/>
      <c r="T597" s="4"/>
      <c r="U597" s="4"/>
      <c r="V597" s="4"/>
      <c r="W597" s="4"/>
      <c r="X597" s="4"/>
      <c r="Y597" s="4"/>
      <c r="Z597" s="4"/>
      <c r="AA597" s="4"/>
      <c r="AB597" s="4"/>
      <c r="AC597" s="4"/>
    </row>
    <row r="598" spans="1:29" ht="12.75" x14ac:dyDescent="0.2">
      <c r="A598" s="16"/>
      <c r="B598" s="6"/>
      <c r="C598" s="6"/>
      <c r="D598" s="6"/>
      <c r="E598" s="4"/>
      <c r="F598" s="6"/>
      <c r="G598" s="6"/>
      <c r="H598" s="6"/>
      <c r="I598" s="6"/>
      <c r="J598" s="6"/>
      <c r="K598" s="6"/>
      <c r="L598" s="6"/>
      <c r="M598" s="6"/>
      <c r="N598" s="6"/>
      <c r="O598" s="16"/>
      <c r="P598" s="6"/>
      <c r="Q598" s="4"/>
      <c r="R598" s="4"/>
      <c r="S598" s="4"/>
      <c r="T598" s="4"/>
      <c r="U598" s="4"/>
      <c r="V598" s="4"/>
      <c r="W598" s="4"/>
      <c r="X598" s="4"/>
      <c r="Y598" s="4"/>
      <c r="Z598" s="4"/>
      <c r="AA598" s="4"/>
      <c r="AB598" s="4"/>
      <c r="AC598" s="4"/>
    </row>
    <row r="599" spans="1:29" ht="12.75" x14ac:dyDescent="0.2">
      <c r="A599" s="16"/>
      <c r="B599" s="6"/>
      <c r="C599" s="6"/>
      <c r="D599" s="6"/>
      <c r="E599" s="4"/>
      <c r="F599" s="6"/>
      <c r="G599" s="6"/>
      <c r="H599" s="6"/>
      <c r="I599" s="6"/>
      <c r="J599" s="6"/>
      <c r="K599" s="6"/>
      <c r="L599" s="6"/>
      <c r="M599" s="6"/>
      <c r="N599" s="6"/>
      <c r="O599" s="16"/>
      <c r="P599" s="6"/>
      <c r="Q599" s="4"/>
      <c r="R599" s="4"/>
      <c r="S599" s="4"/>
      <c r="T599" s="4"/>
      <c r="U599" s="4"/>
      <c r="V599" s="4"/>
      <c r="W599" s="4"/>
      <c r="X599" s="4"/>
      <c r="Y599" s="4"/>
      <c r="Z599" s="4"/>
      <c r="AA599" s="4"/>
      <c r="AB599" s="4"/>
      <c r="AC599" s="4"/>
    </row>
    <row r="600" spans="1:29" ht="12.75" x14ac:dyDescent="0.2">
      <c r="A600" s="16"/>
      <c r="B600" s="6"/>
      <c r="C600" s="6"/>
      <c r="D600" s="6"/>
      <c r="E600" s="4"/>
      <c r="F600" s="6"/>
      <c r="G600" s="6"/>
      <c r="H600" s="6"/>
      <c r="I600" s="6"/>
      <c r="J600" s="6"/>
      <c r="K600" s="6"/>
      <c r="L600" s="6"/>
      <c r="M600" s="6"/>
      <c r="N600" s="6"/>
      <c r="O600" s="16"/>
      <c r="P600" s="6"/>
      <c r="Q600" s="4"/>
      <c r="R600" s="4"/>
      <c r="S600" s="4"/>
      <c r="T600" s="4"/>
      <c r="U600" s="4"/>
      <c r="V600" s="4"/>
      <c r="W600" s="4"/>
      <c r="X600" s="4"/>
      <c r="Y600" s="4"/>
      <c r="Z600" s="4"/>
      <c r="AA600" s="4"/>
      <c r="AB600" s="4"/>
      <c r="AC600" s="4"/>
    </row>
    <row r="601" spans="1:29" ht="12.75" x14ac:dyDescent="0.2">
      <c r="A601" s="16"/>
      <c r="B601" s="6"/>
      <c r="C601" s="6"/>
      <c r="D601" s="6"/>
      <c r="E601" s="4"/>
      <c r="F601" s="6"/>
      <c r="G601" s="6"/>
      <c r="H601" s="6"/>
      <c r="I601" s="6"/>
      <c r="J601" s="6"/>
      <c r="K601" s="6"/>
      <c r="L601" s="6"/>
      <c r="M601" s="6"/>
      <c r="N601" s="6"/>
      <c r="O601" s="16"/>
      <c r="P601" s="6"/>
      <c r="Q601" s="4"/>
      <c r="R601" s="4"/>
      <c r="S601" s="4"/>
      <c r="T601" s="4"/>
      <c r="U601" s="4"/>
      <c r="V601" s="4"/>
      <c r="W601" s="4"/>
      <c r="X601" s="4"/>
      <c r="Y601" s="4"/>
      <c r="Z601" s="4"/>
      <c r="AA601" s="4"/>
      <c r="AB601" s="4"/>
      <c r="AC601" s="4"/>
    </row>
    <row r="602" spans="1:29" ht="12.75" x14ac:dyDescent="0.2">
      <c r="A602" s="16"/>
      <c r="B602" s="6"/>
      <c r="C602" s="6"/>
      <c r="D602" s="6"/>
      <c r="E602" s="4"/>
      <c r="F602" s="6"/>
      <c r="G602" s="6"/>
      <c r="H602" s="6"/>
      <c r="I602" s="6"/>
      <c r="J602" s="6"/>
      <c r="K602" s="6"/>
      <c r="L602" s="6"/>
      <c r="M602" s="6"/>
      <c r="N602" s="6"/>
      <c r="O602" s="16"/>
      <c r="P602" s="6"/>
      <c r="Q602" s="4"/>
      <c r="R602" s="4"/>
      <c r="S602" s="4"/>
      <c r="T602" s="4"/>
      <c r="U602" s="4"/>
      <c r="V602" s="4"/>
      <c r="W602" s="4"/>
      <c r="X602" s="4"/>
      <c r="Y602" s="4"/>
      <c r="Z602" s="4"/>
      <c r="AA602" s="4"/>
      <c r="AB602" s="4"/>
      <c r="AC602" s="4"/>
    </row>
    <row r="603" spans="1:29" ht="12.75" x14ac:dyDescent="0.2">
      <c r="A603" s="16"/>
      <c r="B603" s="6"/>
      <c r="C603" s="6"/>
      <c r="D603" s="6"/>
      <c r="E603" s="4"/>
      <c r="F603" s="6"/>
      <c r="G603" s="6"/>
      <c r="H603" s="6"/>
      <c r="I603" s="6"/>
      <c r="J603" s="6"/>
      <c r="K603" s="6"/>
      <c r="L603" s="6"/>
      <c r="M603" s="6"/>
      <c r="N603" s="6"/>
      <c r="O603" s="16"/>
      <c r="P603" s="6"/>
      <c r="Q603" s="4"/>
      <c r="R603" s="4"/>
      <c r="S603" s="4"/>
      <c r="T603" s="4"/>
      <c r="U603" s="4"/>
      <c r="V603" s="4"/>
      <c r="W603" s="4"/>
      <c r="X603" s="4"/>
      <c r="Y603" s="4"/>
      <c r="Z603" s="4"/>
      <c r="AA603" s="4"/>
      <c r="AB603" s="4"/>
      <c r="AC603" s="4"/>
    </row>
    <row r="604" spans="1:29" ht="12.75" x14ac:dyDescent="0.2">
      <c r="A604" s="16"/>
      <c r="B604" s="6"/>
      <c r="C604" s="6"/>
      <c r="D604" s="6"/>
      <c r="E604" s="4"/>
      <c r="F604" s="6"/>
      <c r="G604" s="6"/>
      <c r="H604" s="6"/>
      <c r="I604" s="6"/>
      <c r="J604" s="6"/>
      <c r="K604" s="6"/>
      <c r="L604" s="6"/>
      <c r="M604" s="6"/>
      <c r="N604" s="6"/>
      <c r="O604" s="16"/>
      <c r="P604" s="6"/>
      <c r="Q604" s="4"/>
      <c r="R604" s="4"/>
      <c r="S604" s="4"/>
      <c r="T604" s="4"/>
      <c r="U604" s="4"/>
      <c r="V604" s="4"/>
      <c r="W604" s="4"/>
      <c r="X604" s="4"/>
      <c r="Y604" s="4"/>
      <c r="Z604" s="4"/>
      <c r="AA604" s="4"/>
      <c r="AB604" s="4"/>
      <c r="AC604" s="4"/>
    </row>
    <row r="605" spans="1:29" ht="12.75" x14ac:dyDescent="0.2">
      <c r="A605" s="16"/>
      <c r="B605" s="6"/>
      <c r="C605" s="6"/>
      <c r="D605" s="6"/>
      <c r="E605" s="4"/>
      <c r="F605" s="6"/>
      <c r="G605" s="6"/>
      <c r="H605" s="6"/>
      <c r="I605" s="6"/>
      <c r="J605" s="6"/>
      <c r="K605" s="6"/>
      <c r="L605" s="6"/>
      <c r="M605" s="6"/>
      <c r="N605" s="6"/>
      <c r="O605" s="16"/>
      <c r="P605" s="6"/>
      <c r="Q605" s="4"/>
      <c r="R605" s="4"/>
      <c r="S605" s="4"/>
      <c r="T605" s="4"/>
      <c r="U605" s="4"/>
      <c r="V605" s="4"/>
      <c r="W605" s="4"/>
      <c r="X605" s="4"/>
      <c r="Y605" s="4"/>
      <c r="Z605" s="4"/>
      <c r="AA605" s="4"/>
      <c r="AB605" s="4"/>
      <c r="AC605" s="4"/>
    </row>
    <row r="606" spans="1:29" ht="12.75" x14ac:dyDescent="0.2">
      <c r="A606" s="16"/>
      <c r="B606" s="6"/>
      <c r="C606" s="6"/>
      <c r="D606" s="6"/>
      <c r="E606" s="4"/>
      <c r="F606" s="6"/>
      <c r="G606" s="6"/>
      <c r="H606" s="6"/>
      <c r="I606" s="6"/>
      <c r="J606" s="6"/>
      <c r="K606" s="6"/>
      <c r="L606" s="6"/>
      <c r="M606" s="6"/>
      <c r="N606" s="6"/>
      <c r="O606" s="16"/>
      <c r="P606" s="6"/>
      <c r="Q606" s="4"/>
      <c r="R606" s="4"/>
      <c r="S606" s="4"/>
      <c r="T606" s="4"/>
      <c r="U606" s="4"/>
      <c r="V606" s="4"/>
      <c r="W606" s="4"/>
      <c r="X606" s="4"/>
      <c r="Y606" s="4"/>
      <c r="Z606" s="4"/>
      <c r="AA606" s="4"/>
      <c r="AB606" s="4"/>
      <c r="AC606" s="4"/>
    </row>
    <row r="607" spans="1:29" ht="12.75" x14ac:dyDescent="0.2">
      <c r="A607" s="16"/>
      <c r="B607" s="6"/>
      <c r="C607" s="6"/>
      <c r="D607" s="6"/>
      <c r="E607" s="4"/>
      <c r="F607" s="6"/>
      <c r="G607" s="6"/>
      <c r="H607" s="6"/>
      <c r="I607" s="6"/>
      <c r="J607" s="6"/>
      <c r="K607" s="6"/>
      <c r="L607" s="6"/>
      <c r="M607" s="6"/>
      <c r="N607" s="6"/>
      <c r="O607" s="16"/>
      <c r="P607" s="6"/>
      <c r="Q607" s="4"/>
      <c r="R607" s="4"/>
      <c r="S607" s="4"/>
      <c r="T607" s="4"/>
      <c r="U607" s="4"/>
      <c r="V607" s="4"/>
      <c r="W607" s="4"/>
      <c r="X607" s="4"/>
      <c r="Y607" s="4"/>
      <c r="Z607" s="4"/>
      <c r="AA607" s="4"/>
      <c r="AB607" s="4"/>
      <c r="AC607" s="4"/>
    </row>
    <row r="608" spans="1:29" ht="12.75" x14ac:dyDescent="0.2">
      <c r="A608" s="16"/>
      <c r="B608" s="6"/>
      <c r="C608" s="6"/>
      <c r="D608" s="6"/>
      <c r="E608" s="4"/>
      <c r="F608" s="6"/>
      <c r="G608" s="6"/>
      <c r="H608" s="6"/>
      <c r="I608" s="6"/>
      <c r="J608" s="6"/>
      <c r="K608" s="6"/>
      <c r="L608" s="6"/>
      <c r="M608" s="6"/>
      <c r="N608" s="6"/>
      <c r="O608" s="16"/>
      <c r="P608" s="6"/>
      <c r="Q608" s="4"/>
      <c r="R608" s="4"/>
      <c r="S608" s="4"/>
      <c r="T608" s="4"/>
      <c r="U608" s="4"/>
      <c r="V608" s="4"/>
      <c r="W608" s="4"/>
      <c r="X608" s="4"/>
      <c r="Y608" s="4"/>
      <c r="Z608" s="4"/>
      <c r="AA608" s="4"/>
      <c r="AB608" s="4"/>
      <c r="AC608" s="4"/>
    </row>
    <row r="609" spans="1:29" ht="12.75" x14ac:dyDescent="0.2">
      <c r="A609" s="16"/>
      <c r="B609" s="6"/>
      <c r="C609" s="6"/>
      <c r="D609" s="6"/>
      <c r="E609" s="4"/>
      <c r="F609" s="6"/>
      <c r="G609" s="6"/>
      <c r="H609" s="6"/>
      <c r="I609" s="6"/>
      <c r="J609" s="6"/>
      <c r="K609" s="6"/>
      <c r="L609" s="6"/>
      <c r="M609" s="6"/>
      <c r="N609" s="6"/>
      <c r="O609" s="16"/>
      <c r="P609" s="6"/>
      <c r="Q609" s="4"/>
      <c r="R609" s="4"/>
      <c r="S609" s="4"/>
      <c r="T609" s="4"/>
      <c r="U609" s="4"/>
      <c r="V609" s="4"/>
      <c r="W609" s="4"/>
      <c r="X609" s="4"/>
      <c r="Y609" s="4"/>
      <c r="Z609" s="4"/>
      <c r="AA609" s="4"/>
      <c r="AB609" s="4"/>
      <c r="AC609" s="4"/>
    </row>
    <row r="610" spans="1:29" ht="12.75" x14ac:dyDescent="0.2">
      <c r="A610" s="16"/>
      <c r="B610" s="6"/>
      <c r="C610" s="6"/>
      <c r="D610" s="6"/>
      <c r="E610" s="4"/>
      <c r="F610" s="6"/>
      <c r="G610" s="6"/>
      <c r="H610" s="6"/>
      <c r="I610" s="6"/>
      <c r="J610" s="6"/>
      <c r="K610" s="6"/>
      <c r="L610" s="6"/>
      <c r="M610" s="6"/>
      <c r="N610" s="6"/>
      <c r="O610" s="16"/>
      <c r="P610" s="6"/>
      <c r="Q610" s="4"/>
      <c r="R610" s="4"/>
      <c r="S610" s="4"/>
      <c r="T610" s="4"/>
      <c r="U610" s="4"/>
      <c r="V610" s="4"/>
      <c r="W610" s="4"/>
      <c r="X610" s="4"/>
      <c r="Y610" s="4"/>
      <c r="Z610" s="4"/>
      <c r="AA610" s="4"/>
      <c r="AB610" s="4"/>
      <c r="AC610" s="4"/>
    </row>
    <row r="611" spans="1:29" ht="12.75" x14ac:dyDescent="0.2">
      <c r="A611" s="16"/>
      <c r="B611" s="6"/>
      <c r="C611" s="6"/>
      <c r="D611" s="6"/>
      <c r="E611" s="4"/>
      <c r="F611" s="6"/>
      <c r="G611" s="6"/>
      <c r="H611" s="6"/>
      <c r="I611" s="6"/>
      <c r="J611" s="6"/>
      <c r="K611" s="6"/>
      <c r="L611" s="6"/>
      <c r="M611" s="6"/>
      <c r="N611" s="6"/>
      <c r="O611" s="16"/>
      <c r="P611" s="6"/>
      <c r="Q611" s="4"/>
      <c r="R611" s="4"/>
      <c r="S611" s="4"/>
      <c r="T611" s="4"/>
      <c r="U611" s="4"/>
      <c r="V611" s="4"/>
      <c r="W611" s="4"/>
      <c r="X611" s="4"/>
      <c r="Y611" s="4"/>
      <c r="Z611" s="4"/>
      <c r="AA611" s="4"/>
      <c r="AB611" s="4"/>
      <c r="AC611" s="4"/>
    </row>
    <row r="612" spans="1:29" ht="12.75" x14ac:dyDescent="0.2">
      <c r="A612" s="16"/>
      <c r="B612" s="6"/>
      <c r="C612" s="6"/>
      <c r="D612" s="6"/>
      <c r="E612" s="4"/>
      <c r="F612" s="6"/>
      <c r="G612" s="6"/>
      <c r="H612" s="6"/>
      <c r="I612" s="6"/>
      <c r="J612" s="6"/>
      <c r="K612" s="6"/>
      <c r="L612" s="6"/>
      <c r="M612" s="6"/>
      <c r="N612" s="6"/>
      <c r="O612" s="16"/>
      <c r="P612" s="6"/>
      <c r="Q612" s="4"/>
      <c r="R612" s="4"/>
      <c r="S612" s="4"/>
      <c r="T612" s="4"/>
      <c r="U612" s="4"/>
      <c r="V612" s="4"/>
      <c r="W612" s="4"/>
      <c r="X612" s="4"/>
      <c r="Y612" s="4"/>
      <c r="Z612" s="4"/>
      <c r="AA612" s="4"/>
      <c r="AB612" s="4"/>
      <c r="AC612" s="4"/>
    </row>
    <row r="613" spans="1:29" ht="12.75" x14ac:dyDescent="0.2">
      <c r="A613" s="16"/>
      <c r="B613" s="6"/>
      <c r="C613" s="6"/>
      <c r="D613" s="6"/>
      <c r="E613" s="4"/>
      <c r="F613" s="6"/>
      <c r="G613" s="6"/>
      <c r="H613" s="6"/>
      <c r="I613" s="6"/>
      <c r="J613" s="6"/>
      <c r="K613" s="6"/>
      <c r="L613" s="6"/>
      <c r="M613" s="6"/>
      <c r="N613" s="6"/>
      <c r="O613" s="16"/>
      <c r="P613" s="6"/>
      <c r="Q613" s="4"/>
      <c r="R613" s="4"/>
      <c r="S613" s="4"/>
      <c r="T613" s="4"/>
      <c r="U613" s="4"/>
      <c r="V613" s="4"/>
      <c r="W613" s="4"/>
      <c r="X613" s="4"/>
      <c r="Y613" s="4"/>
      <c r="Z613" s="4"/>
      <c r="AA613" s="4"/>
      <c r="AB613" s="4"/>
      <c r="AC613" s="4"/>
    </row>
    <row r="614" spans="1:29" ht="12.75" x14ac:dyDescent="0.2">
      <c r="A614" s="16"/>
      <c r="B614" s="6"/>
      <c r="C614" s="6"/>
      <c r="D614" s="6"/>
      <c r="E614" s="4"/>
      <c r="F614" s="6"/>
      <c r="G614" s="6"/>
      <c r="H614" s="6"/>
      <c r="I614" s="6"/>
      <c r="J614" s="6"/>
      <c r="K614" s="6"/>
      <c r="L614" s="6"/>
      <c r="M614" s="6"/>
      <c r="N614" s="6"/>
      <c r="O614" s="16"/>
      <c r="P614" s="6"/>
      <c r="Q614" s="4"/>
      <c r="R614" s="4"/>
      <c r="S614" s="4"/>
      <c r="T614" s="4"/>
      <c r="U614" s="4"/>
      <c r="V614" s="4"/>
      <c r="W614" s="4"/>
      <c r="X614" s="4"/>
      <c r="Y614" s="4"/>
      <c r="Z614" s="4"/>
      <c r="AA614" s="4"/>
      <c r="AB614" s="4"/>
      <c r="AC614" s="4"/>
    </row>
    <row r="615" spans="1:29" ht="12.75" x14ac:dyDescent="0.2">
      <c r="A615" s="16"/>
      <c r="B615" s="6"/>
      <c r="C615" s="6"/>
      <c r="D615" s="6"/>
      <c r="E615" s="4"/>
      <c r="F615" s="6"/>
      <c r="G615" s="6"/>
      <c r="H615" s="6"/>
      <c r="I615" s="6"/>
      <c r="J615" s="6"/>
      <c r="K615" s="6"/>
      <c r="L615" s="6"/>
      <c r="M615" s="6"/>
      <c r="N615" s="6"/>
      <c r="O615" s="16"/>
      <c r="P615" s="6"/>
      <c r="Q615" s="4"/>
      <c r="R615" s="4"/>
      <c r="S615" s="4"/>
      <c r="T615" s="4"/>
      <c r="U615" s="4"/>
      <c r="V615" s="4"/>
      <c r="W615" s="4"/>
      <c r="X615" s="4"/>
      <c r="Y615" s="4"/>
      <c r="Z615" s="4"/>
      <c r="AA615" s="4"/>
      <c r="AB615" s="4"/>
      <c r="AC615" s="4"/>
    </row>
    <row r="616" spans="1:29" ht="12.75" x14ac:dyDescent="0.2">
      <c r="A616" s="16"/>
      <c r="B616" s="6"/>
      <c r="C616" s="6"/>
      <c r="D616" s="6"/>
      <c r="E616" s="4"/>
      <c r="F616" s="6"/>
      <c r="G616" s="6"/>
      <c r="H616" s="6"/>
      <c r="I616" s="6"/>
      <c r="J616" s="6"/>
      <c r="K616" s="6"/>
      <c r="L616" s="6"/>
      <c r="M616" s="6"/>
      <c r="N616" s="6"/>
      <c r="O616" s="16"/>
      <c r="P616" s="6"/>
      <c r="Q616" s="4"/>
      <c r="R616" s="4"/>
      <c r="S616" s="4"/>
      <c r="T616" s="4"/>
      <c r="U616" s="4"/>
      <c r="V616" s="4"/>
      <c r="W616" s="4"/>
      <c r="X616" s="4"/>
      <c r="Y616" s="4"/>
      <c r="Z616" s="4"/>
      <c r="AA616" s="4"/>
      <c r="AB616" s="4"/>
      <c r="AC616" s="4"/>
    </row>
    <row r="617" spans="1:29" ht="12.75" x14ac:dyDescent="0.2">
      <c r="A617" s="16"/>
      <c r="B617" s="6"/>
      <c r="C617" s="6"/>
      <c r="D617" s="6"/>
      <c r="E617" s="4"/>
      <c r="F617" s="6"/>
      <c r="G617" s="6"/>
      <c r="H617" s="6"/>
      <c r="I617" s="6"/>
      <c r="J617" s="6"/>
      <c r="K617" s="6"/>
      <c r="L617" s="6"/>
      <c r="M617" s="6"/>
      <c r="N617" s="6"/>
      <c r="O617" s="16"/>
      <c r="P617" s="6"/>
      <c r="Q617" s="4"/>
      <c r="R617" s="4"/>
      <c r="S617" s="4"/>
      <c r="T617" s="4"/>
      <c r="U617" s="4"/>
      <c r="V617" s="4"/>
      <c r="W617" s="4"/>
      <c r="X617" s="4"/>
      <c r="Y617" s="4"/>
      <c r="Z617" s="4"/>
      <c r="AA617" s="4"/>
      <c r="AB617" s="4"/>
      <c r="AC617" s="4"/>
    </row>
    <row r="618" spans="1:29" ht="12.75" x14ac:dyDescent="0.2">
      <c r="A618" s="16"/>
      <c r="B618" s="6"/>
      <c r="C618" s="6"/>
      <c r="D618" s="6"/>
      <c r="E618" s="4"/>
      <c r="F618" s="6"/>
      <c r="G618" s="6"/>
      <c r="H618" s="6"/>
      <c r="I618" s="6"/>
      <c r="J618" s="6"/>
      <c r="K618" s="6"/>
      <c r="L618" s="6"/>
      <c r="M618" s="6"/>
      <c r="N618" s="6"/>
      <c r="O618" s="16"/>
      <c r="P618" s="6"/>
      <c r="Q618" s="4"/>
      <c r="R618" s="4"/>
      <c r="S618" s="4"/>
      <c r="T618" s="4"/>
      <c r="U618" s="4"/>
      <c r="V618" s="4"/>
      <c r="W618" s="4"/>
      <c r="X618" s="4"/>
      <c r="Y618" s="4"/>
      <c r="Z618" s="4"/>
      <c r="AA618" s="4"/>
      <c r="AB618" s="4"/>
      <c r="AC618" s="4"/>
    </row>
    <row r="619" spans="1:29" ht="12.75" x14ac:dyDescent="0.2">
      <c r="A619" s="16"/>
      <c r="B619" s="6"/>
      <c r="C619" s="6"/>
      <c r="D619" s="6"/>
      <c r="E619" s="4"/>
      <c r="F619" s="6"/>
      <c r="G619" s="6"/>
      <c r="H619" s="6"/>
      <c r="I619" s="6"/>
      <c r="J619" s="6"/>
      <c r="K619" s="6"/>
      <c r="L619" s="6"/>
      <c r="M619" s="6"/>
      <c r="N619" s="6"/>
      <c r="O619" s="16"/>
      <c r="P619" s="6"/>
      <c r="Q619" s="4"/>
      <c r="R619" s="4"/>
      <c r="S619" s="4"/>
      <c r="T619" s="4"/>
      <c r="U619" s="4"/>
      <c r="V619" s="4"/>
      <c r="W619" s="4"/>
      <c r="X619" s="4"/>
      <c r="Y619" s="4"/>
      <c r="Z619" s="4"/>
      <c r="AA619" s="4"/>
      <c r="AB619" s="4"/>
      <c r="AC619" s="4"/>
    </row>
    <row r="620" spans="1:29" ht="12.75" x14ac:dyDescent="0.2">
      <c r="A620" s="16"/>
      <c r="B620" s="6"/>
      <c r="C620" s="6"/>
      <c r="D620" s="6"/>
      <c r="E620" s="4"/>
      <c r="F620" s="6"/>
      <c r="G620" s="6"/>
      <c r="H620" s="6"/>
      <c r="I620" s="6"/>
      <c r="J620" s="6"/>
      <c r="K620" s="6"/>
      <c r="L620" s="6"/>
      <c r="M620" s="6"/>
      <c r="N620" s="6"/>
      <c r="O620" s="16"/>
      <c r="P620" s="6"/>
      <c r="Q620" s="4"/>
      <c r="R620" s="4"/>
      <c r="S620" s="4"/>
      <c r="T620" s="4"/>
      <c r="U620" s="4"/>
      <c r="V620" s="4"/>
      <c r="W620" s="4"/>
      <c r="X620" s="4"/>
      <c r="Y620" s="4"/>
      <c r="Z620" s="4"/>
      <c r="AA620" s="4"/>
      <c r="AB620" s="4"/>
      <c r="AC620" s="4"/>
    </row>
    <row r="621" spans="1:29" ht="12.75" x14ac:dyDescent="0.2">
      <c r="A621" s="16"/>
      <c r="B621" s="6"/>
      <c r="C621" s="6"/>
      <c r="D621" s="6"/>
      <c r="E621" s="4"/>
      <c r="F621" s="6"/>
      <c r="G621" s="6"/>
      <c r="H621" s="6"/>
      <c r="I621" s="6"/>
      <c r="J621" s="6"/>
      <c r="K621" s="6"/>
      <c r="L621" s="6"/>
      <c r="M621" s="6"/>
      <c r="N621" s="6"/>
      <c r="O621" s="16"/>
      <c r="P621" s="6"/>
      <c r="Q621" s="4"/>
      <c r="R621" s="4"/>
      <c r="S621" s="4"/>
      <c r="T621" s="4"/>
      <c r="U621" s="4"/>
      <c r="V621" s="4"/>
      <c r="W621" s="4"/>
      <c r="X621" s="4"/>
      <c r="Y621" s="4"/>
      <c r="Z621" s="4"/>
      <c r="AA621" s="4"/>
      <c r="AB621" s="4"/>
      <c r="AC621" s="4"/>
    </row>
    <row r="622" spans="1:29" ht="12.75" x14ac:dyDescent="0.2">
      <c r="A622" s="16"/>
      <c r="B622" s="6"/>
      <c r="C622" s="6"/>
      <c r="D622" s="6"/>
      <c r="E622" s="4"/>
      <c r="F622" s="6"/>
      <c r="G622" s="6"/>
      <c r="H622" s="6"/>
      <c r="I622" s="6"/>
      <c r="J622" s="6"/>
      <c r="K622" s="6"/>
      <c r="L622" s="6"/>
      <c r="M622" s="6"/>
      <c r="N622" s="6"/>
      <c r="O622" s="16"/>
      <c r="P622" s="6"/>
      <c r="Q622" s="4"/>
      <c r="R622" s="4"/>
      <c r="S622" s="4"/>
      <c r="T622" s="4"/>
      <c r="U622" s="4"/>
      <c r="V622" s="4"/>
      <c r="W622" s="4"/>
      <c r="X622" s="4"/>
      <c r="Y622" s="4"/>
      <c r="Z622" s="4"/>
      <c r="AA622" s="4"/>
      <c r="AB622" s="4"/>
      <c r="AC622" s="4"/>
    </row>
    <row r="623" spans="1:29" ht="12.75" x14ac:dyDescent="0.2">
      <c r="A623" s="16"/>
      <c r="B623" s="6"/>
      <c r="C623" s="6"/>
      <c r="D623" s="6"/>
      <c r="E623" s="4"/>
      <c r="F623" s="6"/>
      <c r="G623" s="6"/>
      <c r="H623" s="6"/>
      <c r="I623" s="6"/>
      <c r="J623" s="6"/>
      <c r="K623" s="6"/>
      <c r="L623" s="6"/>
      <c r="M623" s="6"/>
      <c r="N623" s="6"/>
      <c r="O623" s="16"/>
      <c r="P623" s="6"/>
      <c r="Q623" s="4"/>
      <c r="R623" s="4"/>
      <c r="S623" s="4"/>
      <c r="T623" s="4"/>
      <c r="U623" s="4"/>
      <c r="V623" s="4"/>
      <c r="W623" s="4"/>
      <c r="X623" s="4"/>
      <c r="Y623" s="4"/>
      <c r="Z623" s="4"/>
      <c r="AA623" s="4"/>
      <c r="AB623" s="4"/>
      <c r="AC623" s="4"/>
    </row>
    <row r="624" spans="1:29" ht="12.75" x14ac:dyDescent="0.2">
      <c r="A624" s="16"/>
      <c r="B624" s="6"/>
      <c r="C624" s="6"/>
      <c r="D624" s="6"/>
      <c r="E624" s="4"/>
      <c r="F624" s="6"/>
      <c r="G624" s="6"/>
      <c r="H624" s="6"/>
      <c r="I624" s="6"/>
      <c r="J624" s="6"/>
      <c r="K624" s="6"/>
      <c r="L624" s="6"/>
      <c r="M624" s="6"/>
      <c r="N624" s="6"/>
      <c r="O624" s="16"/>
      <c r="P624" s="6"/>
      <c r="Q624" s="4"/>
      <c r="R624" s="4"/>
      <c r="S624" s="4"/>
      <c r="T624" s="4"/>
      <c r="U624" s="4"/>
      <c r="V624" s="4"/>
      <c r="W624" s="4"/>
      <c r="X624" s="4"/>
      <c r="Y624" s="4"/>
      <c r="Z624" s="4"/>
      <c r="AA624" s="4"/>
      <c r="AB624" s="4"/>
      <c r="AC624" s="4"/>
    </row>
    <row r="625" spans="1:29" ht="12.75" x14ac:dyDescent="0.2">
      <c r="A625" s="16"/>
      <c r="B625" s="6"/>
      <c r="C625" s="6"/>
      <c r="D625" s="6"/>
      <c r="E625" s="4"/>
      <c r="F625" s="6"/>
      <c r="G625" s="6"/>
      <c r="H625" s="6"/>
      <c r="I625" s="6"/>
      <c r="J625" s="6"/>
      <c r="K625" s="6"/>
      <c r="L625" s="6"/>
      <c r="M625" s="6"/>
      <c r="N625" s="6"/>
      <c r="O625" s="16"/>
      <c r="P625" s="6"/>
      <c r="Q625" s="4"/>
      <c r="R625" s="4"/>
      <c r="S625" s="4"/>
      <c r="T625" s="4"/>
      <c r="U625" s="4"/>
      <c r="V625" s="4"/>
      <c r="W625" s="4"/>
      <c r="X625" s="4"/>
      <c r="Y625" s="4"/>
      <c r="Z625" s="4"/>
      <c r="AA625" s="4"/>
      <c r="AB625" s="4"/>
      <c r="AC625" s="4"/>
    </row>
    <row r="626" spans="1:29" ht="12.75" x14ac:dyDescent="0.2">
      <c r="A626" s="16"/>
      <c r="B626" s="6"/>
      <c r="C626" s="6"/>
      <c r="D626" s="6"/>
      <c r="E626" s="4"/>
      <c r="F626" s="6"/>
      <c r="G626" s="6"/>
      <c r="H626" s="6"/>
      <c r="I626" s="6"/>
      <c r="J626" s="6"/>
      <c r="K626" s="6"/>
      <c r="L626" s="6"/>
      <c r="M626" s="6"/>
      <c r="N626" s="6"/>
      <c r="O626" s="16"/>
      <c r="P626" s="6"/>
      <c r="Q626" s="4"/>
      <c r="R626" s="4"/>
      <c r="S626" s="4"/>
      <c r="T626" s="4"/>
      <c r="U626" s="4"/>
      <c r="V626" s="4"/>
      <c r="W626" s="4"/>
      <c r="X626" s="4"/>
      <c r="Y626" s="4"/>
      <c r="Z626" s="4"/>
      <c r="AA626" s="4"/>
      <c r="AB626" s="4"/>
      <c r="AC626" s="4"/>
    </row>
    <row r="627" spans="1:29" ht="12.75" x14ac:dyDescent="0.2">
      <c r="A627" s="16"/>
      <c r="B627" s="6"/>
      <c r="C627" s="6"/>
      <c r="D627" s="6"/>
      <c r="E627" s="4"/>
      <c r="F627" s="6"/>
      <c r="G627" s="6"/>
      <c r="H627" s="6"/>
      <c r="I627" s="6"/>
      <c r="J627" s="6"/>
      <c r="K627" s="6"/>
      <c r="L627" s="6"/>
      <c r="M627" s="6"/>
      <c r="N627" s="6"/>
      <c r="O627" s="16"/>
      <c r="P627" s="6"/>
      <c r="Q627" s="4"/>
      <c r="R627" s="4"/>
      <c r="S627" s="4"/>
      <c r="T627" s="4"/>
      <c r="U627" s="4"/>
      <c r="V627" s="4"/>
      <c r="W627" s="4"/>
      <c r="X627" s="4"/>
      <c r="Y627" s="4"/>
      <c r="Z627" s="4"/>
      <c r="AA627" s="4"/>
      <c r="AB627" s="4"/>
      <c r="AC627" s="4"/>
    </row>
    <row r="628" spans="1:29" ht="12.75" x14ac:dyDescent="0.2">
      <c r="A628" s="16"/>
      <c r="B628" s="6"/>
      <c r="C628" s="6"/>
      <c r="D628" s="6"/>
      <c r="E628" s="4"/>
      <c r="F628" s="6"/>
      <c r="G628" s="6"/>
      <c r="H628" s="6"/>
      <c r="I628" s="6"/>
      <c r="J628" s="6"/>
      <c r="K628" s="6"/>
      <c r="L628" s="6"/>
      <c r="M628" s="6"/>
      <c r="N628" s="6"/>
      <c r="O628" s="16"/>
      <c r="P628" s="6"/>
      <c r="Q628" s="4"/>
      <c r="R628" s="4"/>
      <c r="S628" s="4"/>
      <c r="T628" s="4"/>
      <c r="U628" s="4"/>
      <c r="V628" s="4"/>
      <c r="W628" s="4"/>
      <c r="X628" s="4"/>
      <c r="Y628" s="4"/>
      <c r="Z628" s="4"/>
      <c r="AA628" s="4"/>
      <c r="AB628" s="4"/>
      <c r="AC628" s="4"/>
    </row>
    <row r="629" spans="1:29" ht="12.75" x14ac:dyDescent="0.2">
      <c r="A629" s="16"/>
      <c r="B629" s="6"/>
      <c r="C629" s="6"/>
      <c r="D629" s="6"/>
      <c r="E629" s="4"/>
      <c r="F629" s="6"/>
      <c r="G629" s="6"/>
      <c r="H629" s="6"/>
      <c r="I629" s="6"/>
      <c r="J629" s="6"/>
      <c r="K629" s="6"/>
      <c r="L629" s="6"/>
      <c r="M629" s="6"/>
      <c r="N629" s="6"/>
      <c r="O629" s="16"/>
      <c r="P629" s="6"/>
      <c r="Q629" s="4"/>
      <c r="R629" s="4"/>
      <c r="S629" s="4"/>
      <c r="T629" s="4"/>
      <c r="U629" s="4"/>
      <c r="V629" s="4"/>
      <c r="W629" s="4"/>
      <c r="X629" s="4"/>
      <c r="Y629" s="4"/>
      <c r="Z629" s="4"/>
      <c r="AA629" s="4"/>
      <c r="AB629" s="4"/>
      <c r="AC629" s="4"/>
    </row>
    <row r="630" spans="1:29" ht="12.75" x14ac:dyDescent="0.2">
      <c r="A630" s="16"/>
      <c r="B630" s="6"/>
      <c r="C630" s="6"/>
      <c r="D630" s="6"/>
      <c r="E630" s="4"/>
      <c r="F630" s="6"/>
      <c r="G630" s="6"/>
      <c r="H630" s="6"/>
      <c r="I630" s="6"/>
      <c r="J630" s="6"/>
      <c r="K630" s="6"/>
      <c r="L630" s="6"/>
      <c r="M630" s="6"/>
      <c r="N630" s="6"/>
      <c r="O630" s="16"/>
      <c r="P630" s="6"/>
      <c r="Q630" s="4"/>
      <c r="R630" s="4"/>
      <c r="S630" s="4"/>
      <c r="T630" s="4"/>
      <c r="U630" s="4"/>
      <c r="V630" s="4"/>
      <c r="W630" s="4"/>
      <c r="X630" s="4"/>
      <c r="Y630" s="4"/>
      <c r="Z630" s="4"/>
      <c r="AA630" s="4"/>
      <c r="AB630" s="4"/>
      <c r="AC630" s="4"/>
    </row>
    <row r="631" spans="1:29" ht="12.75" x14ac:dyDescent="0.2">
      <c r="A631" s="16"/>
      <c r="B631" s="6"/>
      <c r="C631" s="6"/>
      <c r="D631" s="6"/>
      <c r="E631" s="4"/>
      <c r="F631" s="6"/>
      <c r="G631" s="6"/>
      <c r="H631" s="6"/>
      <c r="I631" s="6"/>
      <c r="J631" s="6"/>
      <c r="K631" s="6"/>
      <c r="L631" s="6"/>
      <c r="M631" s="6"/>
      <c r="N631" s="6"/>
      <c r="O631" s="16"/>
      <c r="P631" s="6"/>
      <c r="Q631" s="4"/>
      <c r="R631" s="4"/>
      <c r="S631" s="4"/>
      <c r="T631" s="4"/>
      <c r="U631" s="4"/>
      <c r="V631" s="4"/>
      <c r="W631" s="4"/>
      <c r="X631" s="4"/>
      <c r="Y631" s="4"/>
      <c r="Z631" s="4"/>
      <c r="AA631" s="4"/>
      <c r="AB631" s="4"/>
      <c r="AC631" s="4"/>
    </row>
    <row r="632" spans="1:29" ht="12.75" x14ac:dyDescent="0.2">
      <c r="A632" s="16"/>
      <c r="B632" s="6"/>
      <c r="C632" s="6"/>
      <c r="D632" s="6"/>
      <c r="E632" s="4"/>
      <c r="F632" s="6"/>
      <c r="G632" s="6"/>
      <c r="H632" s="6"/>
      <c r="I632" s="6"/>
      <c r="J632" s="6"/>
      <c r="K632" s="6"/>
      <c r="L632" s="6"/>
      <c r="M632" s="6"/>
      <c r="N632" s="6"/>
      <c r="O632" s="16"/>
      <c r="P632" s="6"/>
      <c r="Q632" s="4"/>
      <c r="R632" s="4"/>
      <c r="S632" s="4"/>
      <c r="T632" s="4"/>
      <c r="U632" s="4"/>
      <c r="V632" s="4"/>
      <c r="W632" s="4"/>
      <c r="X632" s="4"/>
      <c r="Y632" s="4"/>
      <c r="Z632" s="4"/>
      <c r="AA632" s="4"/>
      <c r="AB632" s="4"/>
      <c r="AC632" s="4"/>
    </row>
    <row r="633" spans="1:29" ht="12.75" x14ac:dyDescent="0.2">
      <c r="A633" s="16"/>
      <c r="B633" s="6"/>
      <c r="C633" s="6"/>
      <c r="D633" s="6"/>
      <c r="E633" s="4"/>
      <c r="F633" s="6"/>
      <c r="G633" s="6"/>
      <c r="H633" s="6"/>
      <c r="I633" s="6"/>
      <c r="J633" s="6"/>
      <c r="K633" s="6"/>
      <c r="L633" s="6"/>
      <c r="M633" s="6"/>
      <c r="N633" s="6"/>
      <c r="O633" s="16"/>
      <c r="P633" s="6"/>
      <c r="Q633" s="4"/>
      <c r="R633" s="4"/>
      <c r="S633" s="4"/>
      <c r="T633" s="4"/>
      <c r="U633" s="4"/>
      <c r="V633" s="4"/>
      <c r="W633" s="4"/>
      <c r="X633" s="4"/>
      <c r="Y633" s="4"/>
      <c r="Z633" s="4"/>
      <c r="AA633" s="4"/>
      <c r="AB633" s="4"/>
      <c r="AC633" s="4"/>
    </row>
    <row r="634" spans="1:29" ht="12.75" x14ac:dyDescent="0.2">
      <c r="A634" s="16"/>
      <c r="B634" s="6"/>
      <c r="C634" s="6"/>
      <c r="D634" s="6"/>
      <c r="E634" s="4"/>
      <c r="F634" s="6"/>
      <c r="G634" s="6"/>
      <c r="H634" s="6"/>
      <c r="I634" s="6"/>
      <c r="J634" s="6"/>
      <c r="K634" s="6"/>
      <c r="L634" s="6"/>
      <c r="M634" s="6"/>
      <c r="N634" s="6"/>
      <c r="O634" s="16"/>
      <c r="P634" s="6"/>
      <c r="Q634" s="4"/>
      <c r="R634" s="4"/>
      <c r="S634" s="4"/>
      <c r="T634" s="4"/>
      <c r="U634" s="4"/>
      <c r="V634" s="4"/>
      <c r="W634" s="4"/>
      <c r="X634" s="4"/>
      <c r="Y634" s="4"/>
      <c r="Z634" s="4"/>
      <c r="AA634" s="4"/>
      <c r="AB634" s="4"/>
      <c r="AC634" s="4"/>
    </row>
    <row r="635" spans="1:29" ht="12.75" x14ac:dyDescent="0.2">
      <c r="A635" s="16"/>
      <c r="B635" s="6"/>
      <c r="C635" s="6"/>
      <c r="D635" s="6"/>
      <c r="E635" s="4"/>
      <c r="F635" s="6"/>
      <c r="G635" s="6"/>
      <c r="H635" s="6"/>
      <c r="I635" s="6"/>
      <c r="J635" s="6"/>
      <c r="K635" s="6"/>
      <c r="L635" s="6"/>
      <c r="M635" s="6"/>
      <c r="N635" s="6"/>
      <c r="O635" s="16"/>
      <c r="P635" s="6"/>
      <c r="Q635" s="4"/>
      <c r="R635" s="4"/>
      <c r="S635" s="4"/>
      <c r="T635" s="4"/>
      <c r="U635" s="4"/>
      <c r="V635" s="4"/>
      <c r="W635" s="4"/>
      <c r="X635" s="4"/>
      <c r="Y635" s="4"/>
      <c r="Z635" s="4"/>
      <c r="AA635" s="4"/>
      <c r="AB635" s="4"/>
      <c r="AC635" s="4"/>
    </row>
    <row r="636" spans="1:29" ht="12.75" x14ac:dyDescent="0.2">
      <c r="A636" s="16"/>
      <c r="B636" s="6"/>
      <c r="C636" s="6"/>
      <c r="D636" s="6"/>
      <c r="E636" s="4"/>
      <c r="F636" s="6"/>
      <c r="G636" s="6"/>
      <c r="H636" s="6"/>
      <c r="I636" s="6"/>
      <c r="J636" s="6"/>
      <c r="K636" s="6"/>
      <c r="L636" s="6"/>
      <c r="M636" s="6"/>
      <c r="N636" s="6"/>
      <c r="O636" s="16"/>
      <c r="P636" s="6"/>
      <c r="Q636" s="4"/>
      <c r="R636" s="4"/>
      <c r="S636" s="4"/>
      <c r="T636" s="4"/>
      <c r="U636" s="4"/>
      <c r="V636" s="4"/>
      <c r="W636" s="4"/>
      <c r="X636" s="4"/>
      <c r="Y636" s="4"/>
      <c r="Z636" s="4"/>
      <c r="AA636" s="4"/>
      <c r="AB636" s="4"/>
      <c r="AC636" s="4"/>
    </row>
    <row r="637" spans="1:29" ht="12.75" x14ac:dyDescent="0.2">
      <c r="A637" s="16"/>
      <c r="B637" s="6"/>
      <c r="C637" s="6"/>
      <c r="D637" s="6"/>
      <c r="E637" s="4"/>
      <c r="F637" s="6"/>
      <c r="G637" s="6"/>
      <c r="H637" s="6"/>
      <c r="I637" s="6"/>
      <c r="J637" s="6"/>
      <c r="K637" s="6"/>
      <c r="L637" s="6"/>
      <c r="M637" s="6"/>
      <c r="N637" s="6"/>
      <c r="O637" s="16"/>
      <c r="P637" s="6"/>
      <c r="Q637" s="4"/>
      <c r="R637" s="4"/>
      <c r="S637" s="4"/>
      <c r="T637" s="4"/>
      <c r="U637" s="4"/>
      <c r="V637" s="4"/>
      <c r="W637" s="4"/>
      <c r="X637" s="4"/>
      <c r="Y637" s="4"/>
      <c r="Z637" s="4"/>
      <c r="AA637" s="4"/>
      <c r="AB637" s="4"/>
      <c r="AC637" s="4"/>
    </row>
    <row r="638" spans="1:29" ht="12.75" x14ac:dyDescent="0.2">
      <c r="A638" s="16"/>
      <c r="B638" s="6"/>
      <c r="C638" s="6"/>
      <c r="D638" s="6"/>
      <c r="E638" s="4"/>
      <c r="F638" s="6"/>
      <c r="G638" s="6"/>
      <c r="H638" s="6"/>
      <c r="I638" s="6"/>
      <c r="J638" s="6"/>
      <c r="K638" s="6"/>
      <c r="L638" s="6"/>
      <c r="M638" s="6"/>
      <c r="N638" s="6"/>
      <c r="O638" s="16"/>
      <c r="P638" s="6"/>
      <c r="Q638" s="4"/>
      <c r="R638" s="4"/>
      <c r="S638" s="4"/>
      <c r="T638" s="4"/>
      <c r="U638" s="4"/>
      <c r="V638" s="4"/>
      <c r="W638" s="4"/>
      <c r="X638" s="4"/>
      <c r="Y638" s="4"/>
      <c r="Z638" s="4"/>
      <c r="AA638" s="4"/>
      <c r="AB638" s="4"/>
      <c r="AC638" s="4"/>
    </row>
    <row r="639" spans="1:29" ht="12.75" x14ac:dyDescent="0.2">
      <c r="A639" s="16"/>
      <c r="B639" s="6"/>
      <c r="C639" s="6"/>
      <c r="D639" s="6"/>
      <c r="E639" s="4"/>
      <c r="F639" s="6"/>
      <c r="G639" s="6"/>
      <c r="H639" s="6"/>
      <c r="I639" s="6"/>
      <c r="J639" s="6"/>
      <c r="K639" s="6"/>
      <c r="L639" s="6"/>
      <c r="M639" s="6"/>
      <c r="N639" s="6"/>
      <c r="O639" s="16"/>
      <c r="P639" s="6"/>
      <c r="Q639" s="4"/>
      <c r="R639" s="4"/>
      <c r="S639" s="4"/>
      <c r="T639" s="4"/>
      <c r="U639" s="4"/>
      <c r="V639" s="4"/>
      <c r="W639" s="4"/>
      <c r="X639" s="4"/>
      <c r="Y639" s="4"/>
      <c r="Z639" s="4"/>
      <c r="AA639" s="4"/>
      <c r="AB639" s="4"/>
      <c r="AC639" s="4"/>
    </row>
    <row r="640" spans="1:29" ht="12.75" x14ac:dyDescent="0.2">
      <c r="A640" s="16"/>
      <c r="B640" s="6"/>
      <c r="C640" s="6"/>
      <c r="D640" s="6"/>
      <c r="E640" s="4"/>
      <c r="F640" s="6"/>
      <c r="G640" s="6"/>
      <c r="H640" s="6"/>
      <c r="I640" s="6"/>
      <c r="J640" s="6"/>
      <c r="K640" s="6"/>
      <c r="L640" s="6"/>
      <c r="M640" s="6"/>
      <c r="N640" s="6"/>
      <c r="O640" s="16"/>
      <c r="P640" s="6"/>
      <c r="Q640" s="4"/>
      <c r="R640" s="4"/>
      <c r="S640" s="4"/>
      <c r="T640" s="4"/>
      <c r="U640" s="4"/>
      <c r="V640" s="4"/>
      <c r="W640" s="4"/>
      <c r="X640" s="4"/>
      <c r="Y640" s="4"/>
      <c r="Z640" s="4"/>
      <c r="AA640" s="4"/>
      <c r="AB640" s="4"/>
      <c r="AC640" s="4"/>
    </row>
    <row r="641" spans="1:29" ht="12.75" x14ac:dyDescent="0.2">
      <c r="A641" s="16"/>
      <c r="B641" s="6"/>
      <c r="C641" s="6"/>
      <c r="D641" s="6"/>
      <c r="E641" s="4"/>
      <c r="F641" s="6"/>
      <c r="G641" s="6"/>
      <c r="H641" s="6"/>
      <c r="I641" s="6"/>
      <c r="J641" s="6"/>
      <c r="K641" s="6"/>
      <c r="L641" s="6"/>
      <c r="M641" s="6"/>
      <c r="N641" s="6"/>
      <c r="O641" s="16"/>
      <c r="P641" s="6"/>
      <c r="Q641" s="4"/>
      <c r="R641" s="4"/>
      <c r="S641" s="4"/>
      <c r="T641" s="4"/>
      <c r="U641" s="4"/>
      <c r="V641" s="4"/>
      <c r="W641" s="4"/>
      <c r="X641" s="4"/>
      <c r="Y641" s="4"/>
      <c r="Z641" s="4"/>
      <c r="AA641" s="4"/>
      <c r="AB641" s="4"/>
      <c r="AC641" s="4"/>
    </row>
    <row r="642" spans="1:29" ht="12.75" x14ac:dyDescent="0.2">
      <c r="A642" s="16"/>
      <c r="B642" s="6"/>
      <c r="C642" s="6"/>
      <c r="D642" s="6"/>
      <c r="E642" s="4"/>
      <c r="F642" s="6"/>
      <c r="G642" s="6"/>
      <c r="H642" s="6"/>
      <c r="I642" s="6"/>
      <c r="J642" s="6"/>
      <c r="K642" s="6"/>
      <c r="L642" s="6"/>
      <c r="M642" s="6"/>
      <c r="N642" s="6"/>
      <c r="O642" s="16"/>
      <c r="P642" s="6"/>
      <c r="Q642" s="4"/>
      <c r="R642" s="4"/>
      <c r="S642" s="4"/>
      <c r="T642" s="4"/>
      <c r="U642" s="4"/>
      <c r="V642" s="4"/>
      <c r="W642" s="4"/>
      <c r="X642" s="4"/>
      <c r="Y642" s="4"/>
      <c r="Z642" s="4"/>
      <c r="AA642" s="4"/>
      <c r="AB642" s="4"/>
      <c r="AC642" s="4"/>
    </row>
    <row r="643" spans="1:29" ht="12.75" x14ac:dyDescent="0.2">
      <c r="A643" s="16"/>
      <c r="B643" s="6"/>
      <c r="C643" s="6"/>
      <c r="D643" s="6"/>
      <c r="E643" s="4"/>
      <c r="F643" s="6"/>
      <c r="G643" s="6"/>
      <c r="H643" s="6"/>
      <c r="I643" s="6"/>
      <c r="J643" s="6"/>
      <c r="K643" s="6"/>
      <c r="L643" s="6"/>
      <c r="M643" s="6"/>
      <c r="N643" s="6"/>
      <c r="O643" s="16"/>
      <c r="P643" s="6"/>
      <c r="Q643" s="4"/>
      <c r="R643" s="4"/>
      <c r="S643" s="4"/>
      <c r="T643" s="4"/>
      <c r="U643" s="4"/>
      <c r="V643" s="4"/>
      <c r="W643" s="4"/>
      <c r="X643" s="4"/>
      <c r="Y643" s="4"/>
      <c r="Z643" s="4"/>
      <c r="AA643" s="4"/>
      <c r="AB643" s="4"/>
      <c r="AC643" s="4"/>
    </row>
    <row r="644" spans="1:29" ht="12.75" x14ac:dyDescent="0.2">
      <c r="A644" s="16"/>
      <c r="B644" s="6"/>
      <c r="C644" s="6"/>
      <c r="D644" s="6"/>
      <c r="E644" s="4"/>
      <c r="F644" s="6"/>
      <c r="G644" s="6"/>
      <c r="H644" s="6"/>
      <c r="I644" s="6"/>
      <c r="J644" s="6"/>
      <c r="K644" s="6"/>
      <c r="L644" s="6"/>
      <c r="M644" s="6"/>
      <c r="N644" s="6"/>
      <c r="O644" s="16"/>
      <c r="P644" s="6"/>
      <c r="Q644" s="4"/>
      <c r="R644" s="4"/>
      <c r="S644" s="4"/>
      <c r="T644" s="4"/>
      <c r="U644" s="4"/>
      <c r="V644" s="4"/>
      <c r="W644" s="4"/>
      <c r="X644" s="4"/>
      <c r="Y644" s="4"/>
      <c r="Z644" s="4"/>
      <c r="AA644" s="4"/>
      <c r="AB644" s="4"/>
      <c r="AC644" s="4"/>
    </row>
    <row r="645" spans="1:29" ht="12.75" x14ac:dyDescent="0.2">
      <c r="A645" s="16"/>
      <c r="B645" s="6"/>
      <c r="C645" s="6"/>
      <c r="D645" s="6"/>
      <c r="E645" s="4"/>
      <c r="F645" s="6"/>
      <c r="G645" s="6"/>
      <c r="H645" s="6"/>
      <c r="I645" s="6"/>
      <c r="J645" s="6"/>
      <c r="K645" s="6"/>
      <c r="L645" s="6"/>
      <c r="M645" s="6"/>
      <c r="N645" s="6"/>
      <c r="O645" s="16"/>
      <c r="P645" s="6"/>
      <c r="Q645" s="4"/>
      <c r="R645" s="4"/>
      <c r="S645" s="4"/>
      <c r="T645" s="4"/>
      <c r="U645" s="4"/>
      <c r="V645" s="4"/>
      <c r="W645" s="4"/>
      <c r="X645" s="4"/>
      <c r="Y645" s="4"/>
      <c r="Z645" s="4"/>
      <c r="AA645" s="4"/>
      <c r="AB645" s="4"/>
      <c r="AC645" s="4"/>
    </row>
    <row r="646" spans="1:29" ht="12.75" x14ac:dyDescent="0.2">
      <c r="A646" s="16"/>
      <c r="B646" s="6"/>
      <c r="C646" s="6"/>
      <c r="D646" s="6"/>
      <c r="E646" s="4"/>
      <c r="F646" s="6"/>
      <c r="G646" s="6"/>
      <c r="H646" s="6"/>
      <c r="I646" s="6"/>
      <c r="J646" s="6"/>
      <c r="K646" s="6"/>
      <c r="L646" s="6"/>
      <c r="M646" s="6"/>
      <c r="N646" s="6"/>
      <c r="O646" s="16"/>
      <c r="P646" s="6"/>
      <c r="Q646" s="4"/>
      <c r="R646" s="4"/>
      <c r="S646" s="4"/>
      <c r="T646" s="4"/>
      <c r="U646" s="4"/>
      <c r="V646" s="4"/>
      <c r="W646" s="4"/>
      <c r="X646" s="4"/>
      <c r="Y646" s="4"/>
      <c r="Z646" s="4"/>
      <c r="AA646" s="4"/>
      <c r="AB646" s="4"/>
      <c r="AC646" s="4"/>
    </row>
    <row r="647" spans="1:29" ht="12.75" x14ac:dyDescent="0.2">
      <c r="A647" s="16"/>
      <c r="B647" s="6"/>
      <c r="C647" s="6"/>
      <c r="D647" s="6"/>
      <c r="E647" s="4"/>
      <c r="F647" s="6"/>
      <c r="G647" s="6"/>
      <c r="H647" s="6"/>
      <c r="I647" s="6"/>
      <c r="J647" s="6"/>
      <c r="K647" s="6"/>
      <c r="L647" s="6"/>
      <c r="M647" s="6"/>
      <c r="N647" s="6"/>
      <c r="O647" s="16"/>
      <c r="P647" s="6"/>
      <c r="Q647" s="4"/>
      <c r="R647" s="4"/>
      <c r="S647" s="4"/>
      <c r="T647" s="4"/>
      <c r="U647" s="4"/>
      <c r="V647" s="4"/>
      <c r="W647" s="4"/>
      <c r="X647" s="4"/>
      <c r="Y647" s="4"/>
      <c r="Z647" s="4"/>
      <c r="AA647" s="4"/>
      <c r="AB647" s="4"/>
      <c r="AC647" s="4"/>
    </row>
    <row r="648" spans="1:29" ht="12.75" x14ac:dyDescent="0.2">
      <c r="A648" s="16"/>
      <c r="B648" s="6"/>
      <c r="C648" s="6"/>
      <c r="D648" s="6"/>
      <c r="E648" s="4"/>
      <c r="F648" s="6"/>
      <c r="G648" s="6"/>
      <c r="H648" s="6"/>
      <c r="I648" s="6"/>
      <c r="J648" s="6"/>
      <c r="K648" s="6"/>
      <c r="L648" s="6"/>
      <c r="M648" s="6"/>
      <c r="N648" s="6"/>
      <c r="O648" s="16"/>
      <c r="P648" s="6"/>
      <c r="Q648" s="4"/>
      <c r="R648" s="4"/>
      <c r="S648" s="4"/>
      <c r="T648" s="4"/>
      <c r="U648" s="4"/>
      <c r="V648" s="4"/>
      <c r="W648" s="4"/>
      <c r="X648" s="4"/>
      <c r="Y648" s="4"/>
      <c r="Z648" s="4"/>
      <c r="AA648" s="4"/>
      <c r="AB648" s="4"/>
      <c r="AC648" s="4"/>
    </row>
    <row r="649" spans="1:29" ht="12.75" x14ac:dyDescent="0.2">
      <c r="A649" s="16"/>
      <c r="B649" s="6"/>
      <c r="C649" s="6"/>
      <c r="D649" s="6"/>
      <c r="E649" s="4"/>
      <c r="F649" s="6"/>
      <c r="G649" s="6"/>
      <c r="H649" s="6"/>
      <c r="I649" s="6"/>
      <c r="J649" s="6"/>
      <c r="K649" s="6"/>
      <c r="L649" s="6"/>
      <c r="M649" s="6"/>
      <c r="N649" s="6"/>
      <c r="O649" s="16"/>
      <c r="P649" s="6"/>
      <c r="Q649" s="4"/>
      <c r="R649" s="4"/>
      <c r="S649" s="4"/>
      <c r="T649" s="4"/>
      <c r="U649" s="4"/>
      <c r="V649" s="4"/>
      <c r="W649" s="4"/>
      <c r="X649" s="4"/>
      <c r="Y649" s="4"/>
      <c r="Z649" s="4"/>
      <c r="AA649" s="4"/>
      <c r="AB649" s="4"/>
      <c r="AC649" s="4"/>
    </row>
    <row r="650" spans="1:29" ht="12.75" x14ac:dyDescent="0.2">
      <c r="A650" s="16"/>
      <c r="B650" s="6"/>
      <c r="C650" s="6"/>
      <c r="D650" s="6"/>
      <c r="E650" s="4"/>
      <c r="F650" s="6"/>
      <c r="G650" s="6"/>
      <c r="H650" s="6"/>
      <c r="I650" s="6"/>
      <c r="J650" s="6"/>
      <c r="K650" s="6"/>
      <c r="L650" s="6"/>
      <c r="M650" s="6"/>
      <c r="N650" s="6"/>
      <c r="O650" s="16"/>
      <c r="P650" s="6"/>
      <c r="Q650" s="4"/>
      <c r="R650" s="4"/>
      <c r="S650" s="4"/>
      <c r="T650" s="4"/>
      <c r="U650" s="4"/>
      <c r="V650" s="4"/>
      <c r="W650" s="4"/>
      <c r="X650" s="4"/>
      <c r="Y650" s="4"/>
      <c r="Z650" s="4"/>
      <c r="AA650" s="4"/>
      <c r="AB650" s="4"/>
      <c r="AC650" s="4"/>
    </row>
    <row r="651" spans="1:29" ht="12.75" x14ac:dyDescent="0.2">
      <c r="A651" s="16"/>
      <c r="B651" s="6"/>
      <c r="C651" s="6"/>
      <c r="D651" s="6"/>
      <c r="E651" s="4"/>
      <c r="F651" s="6"/>
      <c r="G651" s="6"/>
      <c r="H651" s="6"/>
      <c r="I651" s="6"/>
      <c r="J651" s="6"/>
      <c r="K651" s="6"/>
      <c r="L651" s="6"/>
      <c r="M651" s="6"/>
      <c r="N651" s="6"/>
      <c r="O651" s="16"/>
      <c r="P651" s="6"/>
      <c r="Q651" s="4"/>
      <c r="R651" s="4"/>
      <c r="S651" s="4"/>
      <c r="T651" s="4"/>
      <c r="U651" s="4"/>
      <c r="V651" s="4"/>
      <c r="W651" s="4"/>
      <c r="X651" s="4"/>
      <c r="Y651" s="4"/>
      <c r="Z651" s="4"/>
      <c r="AA651" s="4"/>
      <c r="AB651" s="4"/>
      <c r="AC651" s="4"/>
    </row>
    <row r="652" spans="1:29" ht="12.75" x14ac:dyDescent="0.2">
      <c r="A652" s="16"/>
      <c r="B652" s="6"/>
      <c r="C652" s="6"/>
      <c r="D652" s="6"/>
      <c r="E652" s="4"/>
      <c r="F652" s="6"/>
      <c r="G652" s="6"/>
      <c r="H652" s="6"/>
      <c r="I652" s="6"/>
      <c r="J652" s="6"/>
      <c r="K652" s="6"/>
      <c r="L652" s="6"/>
      <c r="M652" s="6"/>
      <c r="N652" s="6"/>
      <c r="O652" s="16"/>
      <c r="P652" s="6"/>
      <c r="Q652" s="4"/>
      <c r="R652" s="4"/>
      <c r="S652" s="4"/>
      <c r="T652" s="4"/>
      <c r="U652" s="4"/>
      <c r="V652" s="4"/>
      <c r="W652" s="4"/>
      <c r="X652" s="4"/>
      <c r="Y652" s="4"/>
      <c r="Z652" s="4"/>
      <c r="AA652" s="4"/>
      <c r="AB652" s="4"/>
      <c r="AC652" s="4"/>
    </row>
    <row r="653" spans="1:29" ht="12.75" x14ac:dyDescent="0.2">
      <c r="A653" s="16"/>
      <c r="B653" s="6"/>
      <c r="C653" s="6"/>
      <c r="D653" s="6"/>
      <c r="E653" s="4"/>
      <c r="F653" s="6"/>
      <c r="G653" s="6"/>
      <c r="H653" s="6"/>
      <c r="I653" s="6"/>
      <c r="J653" s="6"/>
      <c r="K653" s="6"/>
      <c r="L653" s="6"/>
      <c r="M653" s="6"/>
      <c r="N653" s="6"/>
      <c r="O653" s="16"/>
      <c r="P653" s="6"/>
      <c r="Q653" s="4"/>
      <c r="R653" s="4"/>
      <c r="S653" s="4"/>
      <c r="T653" s="4"/>
      <c r="U653" s="4"/>
      <c r="V653" s="4"/>
      <c r="W653" s="4"/>
      <c r="X653" s="4"/>
      <c r="Y653" s="4"/>
      <c r="Z653" s="4"/>
      <c r="AA653" s="4"/>
      <c r="AB653" s="4"/>
      <c r="AC653" s="4"/>
    </row>
    <row r="654" spans="1:29" ht="12.75" x14ac:dyDescent="0.2">
      <c r="A654" s="16"/>
      <c r="B654" s="6"/>
      <c r="C654" s="6"/>
      <c r="D654" s="6"/>
      <c r="E654" s="4"/>
      <c r="F654" s="6"/>
      <c r="G654" s="6"/>
      <c r="H654" s="6"/>
      <c r="I654" s="6"/>
      <c r="J654" s="6"/>
      <c r="K654" s="6"/>
      <c r="L654" s="6"/>
      <c r="M654" s="6"/>
      <c r="N654" s="6"/>
      <c r="O654" s="16"/>
      <c r="P654" s="6"/>
      <c r="Q654" s="4"/>
      <c r="R654" s="4"/>
      <c r="S654" s="4"/>
      <c r="T654" s="4"/>
      <c r="U654" s="4"/>
      <c r="V654" s="4"/>
      <c r="W654" s="4"/>
      <c r="X654" s="4"/>
      <c r="Y654" s="4"/>
      <c r="Z654" s="4"/>
      <c r="AA654" s="4"/>
      <c r="AB654" s="4"/>
      <c r="AC654" s="4"/>
    </row>
    <row r="655" spans="1:29" ht="12.75" x14ac:dyDescent="0.2">
      <c r="A655" s="16"/>
      <c r="B655" s="6"/>
      <c r="C655" s="6"/>
      <c r="D655" s="6"/>
      <c r="E655" s="4"/>
      <c r="F655" s="6"/>
      <c r="G655" s="6"/>
      <c r="H655" s="6"/>
      <c r="I655" s="6"/>
      <c r="J655" s="6"/>
      <c r="K655" s="6"/>
      <c r="L655" s="6"/>
      <c r="M655" s="6"/>
      <c r="N655" s="6"/>
      <c r="O655" s="16"/>
      <c r="P655" s="6"/>
      <c r="Q655" s="4"/>
      <c r="R655" s="4"/>
      <c r="S655" s="4"/>
      <c r="T655" s="4"/>
      <c r="U655" s="4"/>
      <c r="V655" s="4"/>
      <c r="W655" s="4"/>
      <c r="X655" s="4"/>
      <c r="Y655" s="4"/>
      <c r="Z655" s="4"/>
      <c r="AA655" s="4"/>
      <c r="AB655" s="4"/>
      <c r="AC655" s="4"/>
    </row>
    <row r="656" spans="1:29" ht="12.75" x14ac:dyDescent="0.2">
      <c r="A656" s="16"/>
      <c r="B656" s="6"/>
      <c r="C656" s="6"/>
      <c r="D656" s="6"/>
      <c r="E656" s="4"/>
      <c r="F656" s="6"/>
      <c r="G656" s="6"/>
      <c r="H656" s="6"/>
      <c r="I656" s="6"/>
      <c r="J656" s="6"/>
      <c r="K656" s="6"/>
      <c r="L656" s="6"/>
      <c r="M656" s="6"/>
      <c r="N656" s="6"/>
      <c r="O656" s="16"/>
      <c r="P656" s="6"/>
      <c r="Q656" s="4"/>
      <c r="R656" s="4"/>
      <c r="S656" s="4"/>
      <c r="T656" s="4"/>
      <c r="U656" s="4"/>
      <c r="V656" s="4"/>
      <c r="W656" s="4"/>
      <c r="X656" s="4"/>
      <c r="Y656" s="4"/>
      <c r="Z656" s="4"/>
      <c r="AA656" s="4"/>
      <c r="AB656" s="4"/>
      <c r="AC656" s="4"/>
    </row>
    <row r="657" spans="1:29" ht="12.75" x14ac:dyDescent="0.2">
      <c r="A657" s="16"/>
      <c r="B657" s="6"/>
      <c r="C657" s="6"/>
      <c r="D657" s="6"/>
      <c r="E657" s="4"/>
      <c r="F657" s="6"/>
      <c r="G657" s="6"/>
      <c r="H657" s="6"/>
      <c r="I657" s="6"/>
      <c r="J657" s="6"/>
      <c r="K657" s="6"/>
      <c r="L657" s="6"/>
      <c r="M657" s="6"/>
      <c r="N657" s="6"/>
      <c r="O657" s="16"/>
      <c r="P657" s="6"/>
      <c r="Q657" s="4"/>
      <c r="R657" s="4"/>
      <c r="S657" s="4"/>
      <c r="T657" s="4"/>
      <c r="U657" s="4"/>
      <c r="V657" s="4"/>
      <c r="W657" s="4"/>
      <c r="X657" s="4"/>
      <c r="Y657" s="4"/>
      <c r="Z657" s="4"/>
      <c r="AA657" s="4"/>
      <c r="AB657" s="4"/>
      <c r="AC657" s="4"/>
    </row>
    <row r="658" spans="1:29" ht="12.75" x14ac:dyDescent="0.2">
      <c r="A658" s="16"/>
      <c r="B658" s="6"/>
      <c r="C658" s="6"/>
      <c r="D658" s="6"/>
      <c r="E658" s="4"/>
      <c r="F658" s="6"/>
      <c r="G658" s="6"/>
      <c r="H658" s="6"/>
      <c r="I658" s="6"/>
      <c r="J658" s="6"/>
      <c r="K658" s="6"/>
      <c r="L658" s="6"/>
      <c r="M658" s="6"/>
      <c r="N658" s="6"/>
      <c r="O658" s="16"/>
      <c r="P658" s="6"/>
      <c r="Q658" s="4"/>
      <c r="R658" s="4"/>
      <c r="S658" s="4"/>
      <c r="T658" s="4"/>
      <c r="U658" s="4"/>
      <c r="V658" s="4"/>
      <c r="W658" s="4"/>
      <c r="X658" s="4"/>
      <c r="Y658" s="4"/>
      <c r="Z658" s="4"/>
      <c r="AA658" s="4"/>
      <c r="AB658" s="4"/>
      <c r="AC658" s="4"/>
    </row>
    <row r="659" spans="1:29" ht="12.75" x14ac:dyDescent="0.2">
      <c r="A659" s="16"/>
      <c r="B659" s="6"/>
      <c r="C659" s="6"/>
      <c r="D659" s="6"/>
      <c r="E659" s="4"/>
      <c r="F659" s="6"/>
      <c r="G659" s="6"/>
      <c r="H659" s="6"/>
      <c r="I659" s="6"/>
      <c r="J659" s="6"/>
      <c r="K659" s="6"/>
      <c r="L659" s="6"/>
      <c r="M659" s="6"/>
      <c r="N659" s="6"/>
      <c r="O659" s="16"/>
      <c r="P659" s="6"/>
      <c r="Q659" s="4"/>
      <c r="R659" s="4"/>
      <c r="S659" s="4"/>
      <c r="T659" s="4"/>
      <c r="U659" s="4"/>
      <c r="V659" s="4"/>
      <c r="W659" s="4"/>
      <c r="X659" s="4"/>
      <c r="Y659" s="4"/>
      <c r="Z659" s="4"/>
      <c r="AA659" s="4"/>
      <c r="AB659" s="4"/>
      <c r="AC659" s="4"/>
    </row>
    <row r="660" spans="1:29" ht="12.75" x14ac:dyDescent="0.2">
      <c r="A660" s="16"/>
      <c r="B660" s="6"/>
      <c r="C660" s="6"/>
      <c r="D660" s="6"/>
      <c r="E660" s="4"/>
      <c r="F660" s="6"/>
      <c r="G660" s="6"/>
      <c r="H660" s="6"/>
      <c r="I660" s="6"/>
      <c r="J660" s="6"/>
      <c r="K660" s="6"/>
      <c r="L660" s="6"/>
      <c r="M660" s="6"/>
      <c r="N660" s="6"/>
      <c r="O660" s="16"/>
      <c r="P660" s="6"/>
      <c r="Q660" s="4"/>
      <c r="R660" s="4"/>
      <c r="S660" s="4"/>
      <c r="T660" s="4"/>
      <c r="U660" s="4"/>
      <c r="V660" s="4"/>
      <c r="W660" s="4"/>
      <c r="X660" s="4"/>
      <c r="Y660" s="4"/>
      <c r="Z660" s="4"/>
      <c r="AA660" s="4"/>
      <c r="AB660" s="4"/>
      <c r="AC660" s="4"/>
    </row>
    <row r="661" spans="1:29" ht="12.75" x14ac:dyDescent="0.2">
      <c r="A661" s="16"/>
      <c r="B661" s="6"/>
      <c r="C661" s="6"/>
      <c r="D661" s="6"/>
      <c r="E661" s="4"/>
      <c r="F661" s="6"/>
      <c r="G661" s="6"/>
      <c r="H661" s="6"/>
      <c r="I661" s="6"/>
      <c r="J661" s="6"/>
      <c r="K661" s="6"/>
      <c r="L661" s="6"/>
      <c r="M661" s="6"/>
      <c r="N661" s="6"/>
      <c r="O661" s="16"/>
      <c r="P661" s="6"/>
      <c r="Q661" s="4"/>
      <c r="R661" s="4"/>
      <c r="S661" s="4"/>
      <c r="T661" s="4"/>
      <c r="U661" s="4"/>
      <c r="V661" s="4"/>
      <c r="W661" s="4"/>
      <c r="X661" s="4"/>
      <c r="Y661" s="4"/>
      <c r="Z661" s="4"/>
      <c r="AA661" s="4"/>
      <c r="AB661" s="4"/>
      <c r="AC661" s="4"/>
    </row>
    <row r="662" spans="1:29" ht="12.75" x14ac:dyDescent="0.2">
      <c r="A662" s="16"/>
      <c r="B662" s="6"/>
      <c r="C662" s="6"/>
      <c r="D662" s="6"/>
      <c r="E662" s="4"/>
      <c r="F662" s="6"/>
      <c r="G662" s="6"/>
      <c r="H662" s="6"/>
      <c r="I662" s="6"/>
      <c r="J662" s="6"/>
      <c r="K662" s="6"/>
      <c r="L662" s="6"/>
      <c r="M662" s="6"/>
      <c r="N662" s="6"/>
      <c r="O662" s="16"/>
      <c r="P662" s="6"/>
      <c r="Q662" s="4"/>
      <c r="R662" s="4"/>
      <c r="S662" s="4"/>
      <c r="T662" s="4"/>
      <c r="U662" s="4"/>
      <c r="V662" s="4"/>
      <c r="W662" s="4"/>
      <c r="X662" s="4"/>
      <c r="Y662" s="4"/>
      <c r="Z662" s="4"/>
      <c r="AA662" s="4"/>
      <c r="AB662" s="4"/>
      <c r="AC662" s="4"/>
    </row>
    <row r="663" spans="1:29" ht="12.75" x14ac:dyDescent="0.2">
      <c r="A663" s="16"/>
      <c r="B663" s="6"/>
      <c r="C663" s="6"/>
      <c r="D663" s="6"/>
      <c r="E663" s="4"/>
      <c r="F663" s="6"/>
      <c r="G663" s="6"/>
      <c r="H663" s="6"/>
      <c r="I663" s="6"/>
      <c r="J663" s="6"/>
      <c r="K663" s="6"/>
      <c r="L663" s="6"/>
      <c r="M663" s="6"/>
      <c r="N663" s="6"/>
      <c r="O663" s="16"/>
      <c r="P663" s="6"/>
      <c r="Q663" s="4"/>
      <c r="R663" s="4"/>
      <c r="S663" s="4"/>
      <c r="T663" s="4"/>
      <c r="U663" s="4"/>
      <c r="V663" s="4"/>
      <c r="W663" s="4"/>
      <c r="X663" s="4"/>
      <c r="Y663" s="4"/>
      <c r="Z663" s="4"/>
      <c r="AA663" s="4"/>
      <c r="AB663" s="4"/>
      <c r="AC663" s="4"/>
    </row>
    <row r="664" spans="1:29" ht="12.75" x14ac:dyDescent="0.2">
      <c r="A664" s="16"/>
      <c r="B664" s="6"/>
      <c r="C664" s="6"/>
      <c r="D664" s="6"/>
      <c r="E664" s="4"/>
      <c r="F664" s="6"/>
      <c r="G664" s="6"/>
      <c r="H664" s="6"/>
      <c r="I664" s="6"/>
      <c r="J664" s="6"/>
      <c r="K664" s="6"/>
      <c r="L664" s="6"/>
      <c r="M664" s="6"/>
      <c r="N664" s="6"/>
      <c r="O664" s="16"/>
      <c r="P664" s="6"/>
      <c r="Q664" s="4"/>
      <c r="R664" s="4"/>
      <c r="S664" s="4"/>
      <c r="T664" s="4"/>
      <c r="U664" s="4"/>
      <c r="V664" s="4"/>
      <c r="W664" s="4"/>
      <c r="X664" s="4"/>
      <c r="Y664" s="4"/>
      <c r="Z664" s="4"/>
      <c r="AA664" s="4"/>
      <c r="AB664" s="4"/>
      <c r="AC664" s="4"/>
    </row>
    <row r="665" spans="1:29" ht="12.75" x14ac:dyDescent="0.2">
      <c r="A665" s="16"/>
      <c r="B665" s="6"/>
      <c r="C665" s="6"/>
      <c r="D665" s="6"/>
      <c r="E665" s="4"/>
      <c r="F665" s="6"/>
      <c r="G665" s="6"/>
      <c r="H665" s="6"/>
      <c r="I665" s="6"/>
      <c r="J665" s="6"/>
      <c r="K665" s="6"/>
      <c r="L665" s="6"/>
      <c r="M665" s="6"/>
      <c r="N665" s="6"/>
      <c r="O665" s="16"/>
      <c r="P665" s="6"/>
      <c r="Q665" s="4"/>
      <c r="R665" s="4"/>
      <c r="S665" s="4"/>
      <c r="T665" s="4"/>
      <c r="U665" s="4"/>
      <c r="V665" s="4"/>
      <c r="W665" s="4"/>
      <c r="X665" s="4"/>
      <c r="Y665" s="4"/>
      <c r="Z665" s="4"/>
      <c r="AA665" s="4"/>
      <c r="AB665" s="4"/>
      <c r="AC665" s="4"/>
    </row>
    <row r="666" spans="1:29" ht="12.75" x14ac:dyDescent="0.2">
      <c r="A666" s="16"/>
      <c r="B666" s="6"/>
      <c r="C666" s="6"/>
      <c r="D666" s="6"/>
      <c r="E666" s="4"/>
      <c r="F666" s="6"/>
      <c r="G666" s="6"/>
      <c r="H666" s="6"/>
      <c r="I666" s="6"/>
      <c r="J666" s="6"/>
      <c r="K666" s="6"/>
      <c r="L666" s="6"/>
      <c r="M666" s="6"/>
      <c r="N666" s="6"/>
      <c r="O666" s="16"/>
      <c r="P666" s="6"/>
      <c r="Q666" s="4"/>
      <c r="R666" s="4"/>
      <c r="S666" s="4"/>
      <c r="T666" s="4"/>
      <c r="U666" s="4"/>
      <c r="V666" s="4"/>
      <c r="W666" s="4"/>
      <c r="X666" s="4"/>
      <c r="Y666" s="4"/>
      <c r="Z666" s="4"/>
      <c r="AA666" s="4"/>
      <c r="AB666" s="4"/>
      <c r="AC666" s="4"/>
    </row>
    <row r="667" spans="1:29" ht="12.75" x14ac:dyDescent="0.2">
      <c r="A667" s="16"/>
      <c r="B667" s="6"/>
      <c r="C667" s="6"/>
      <c r="D667" s="6"/>
      <c r="E667" s="4"/>
      <c r="F667" s="6"/>
      <c r="G667" s="6"/>
      <c r="H667" s="6"/>
      <c r="I667" s="6"/>
      <c r="J667" s="6"/>
      <c r="K667" s="6"/>
      <c r="L667" s="6"/>
      <c r="M667" s="6"/>
      <c r="N667" s="6"/>
      <c r="O667" s="16"/>
      <c r="P667" s="6"/>
      <c r="Q667" s="4"/>
      <c r="R667" s="4"/>
      <c r="S667" s="4"/>
      <c r="T667" s="4"/>
      <c r="U667" s="4"/>
      <c r="V667" s="4"/>
      <c r="W667" s="4"/>
      <c r="X667" s="4"/>
      <c r="Y667" s="4"/>
      <c r="Z667" s="4"/>
      <c r="AA667" s="4"/>
      <c r="AB667" s="4"/>
      <c r="AC667" s="4"/>
    </row>
    <row r="668" spans="1:29" ht="12.75" x14ac:dyDescent="0.2">
      <c r="A668" s="16"/>
      <c r="B668" s="6"/>
      <c r="C668" s="6"/>
      <c r="D668" s="6"/>
      <c r="E668" s="4"/>
      <c r="F668" s="6"/>
      <c r="G668" s="6"/>
      <c r="H668" s="6"/>
      <c r="I668" s="6"/>
      <c r="J668" s="6"/>
      <c r="K668" s="6"/>
      <c r="L668" s="6"/>
      <c r="M668" s="6"/>
      <c r="N668" s="6"/>
      <c r="O668" s="16"/>
      <c r="P668" s="6"/>
      <c r="Q668" s="4"/>
      <c r="R668" s="4"/>
      <c r="S668" s="4"/>
      <c r="T668" s="4"/>
      <c r="U668" s="4"/>
      <c r="V668" s="4"/>
      <c r="W668" s="4"/>
      <c r="X668" s="4"/>
      <c r="Y668" s="4"/>
      <c r="Z668" s="4"/>
      <c r="AA668" s="4"/>
      <c r="AB668" s="4"/>
      <c r="AC668" s="4"/>
    </row>
    <row r="669" spans="1:29" ht="12.75" x14ac:dyDescent="0.2">
      <c r="A669" s="16"/>
      <c r="B669" s="6"/>
      <c r="C669" s="6"/>
      <c r="D669" s="6"/>
      <c r="E669" s="4"/>
      <c r="F669" s="6"/>
      <c r="G669" s="6"/>
      <c r="H669" s="6"/>
      <c r="I669" s="6"/>
      <c r="J669" s="6"/>
      <c r="K669" s="6"/>
      <c r="L669" s="6"/>
      <c r="M669" s="6"/>
      <c r="N669" s="6"/>
      <c r="O669" s="16"/>
      <c r="P669" s="6"/>
      <c r="Q669" s="4"/>
      <c r="R669" s="4"/>
      <c r="S669" s="4"/>
      <c r="T669" s="4"/>
      <c r="U669" s="4"/>
      <c r="V669" s="4"/>
      <c r="W669" s="4"/>
      <c r="X669" s="4"/>
      <c r="Y669" s="4"/>
      <c r="Z669" s="4"/>
      <c r="AA669" s="4"/>
      <c r="AB669" s="4"/>
      <c r="AC669" s="4"/>
    </row>
    <row r="670" spans="1:29" ht="12.75" x14ac:dyDescent="0.2">
      <c r="A670" s="16"/>
      <c r="B670" s="6"/>
      <c r="C670" s="6"/>
      <c r="D670" s="6"/>
      <c r="E670" s="4"/>
      <c r="F670" s="6"/>
      <c r="G670" s="6"/>
      <c r="H670" s="6"/>
      <c r="I670" s="6"/>
      <c r="J670" s="6"/>
      <c r="K670" s="6"/>
      <c r="L670" s="6"/>
      <c r="M670" s="6"/>
      <c r="N670" s="6"/>
      <c r="O670" s="16"/>
      <c r="P670" s="6"/>
      <c r="Q670" s="4"/>
      <c r="R670" s="4"/>
      <c r="S670" s="4"/>
      <c r="T670" s="4"/>
      <c r="U670" s="4"/>
      <c r="V670" s="4"/>
      <c r="W670" s="4"/>
      <c r="X670" s="4"/>
      <c r="Y670" s="4"/>
      <c r="Z670" s="4"/>
      <c r="AA670" s="4"/>
      <c r="AB670" s="4"/>
      <c r="AC670" s="4"/>
    </row>
    <row r="671" spans="1:29" ht="12.75" x14ac:dyDescent="0.2">
      <c r="A671" s="16"/>
      <c r="B671" s="6"/>
      <c r="C671" s="6"/>
      <c r="D671" s="6"/>
      <c r="E671" s="4"/>
      <c r="F671" s="6"/>
      <c r="G671" s="6"/>
      <c r="H671" s="6"/>
      <c r="I671" s="6"/>
      <c r="J671" s="6"/>
      <c r="K671" s="6"/>
      <c r="L671" s="6"/>
      <c r="M671" s="6"/>
      <c r="N671" s="6"/>
      <c r="O671" s="16"/>
      <c r="P671" s="6"/>
      <c r="Q671" s="4"/>
      <c r="R671" s="4"/>
      <c r="S671" s="4"/>
      <c r="T671" s="4"/>
      <c r="U671" s="4"/>
      <c r="V671" s="4"/>
      <c r="W671" s="4"/>
      <c r="X671" s="4"/>
      <c r="Y671" s="4"/>
      <c r="Z671" s="4"/>
      <c r="AA671" s="4"/>
      <c r="AB671" s="4"/>
      <c r="AC671" s="4"/>
    </row>
    <row r="672" spans="1:29" ht="12.75" x14ac:dyDescent="0.2">
      <c r="A672" s="16"/>
      <c r="B672" s="6"/>
      <c r="C672" s="6"/>
      <c r="D672" s="6"/>
      <c r="E672" s="4"/>
      <c r="F672" s="6"/>
      <c r="G672" s="6"/>
      <c r="H672" s="6"/>
      <c r="I672" s="6"/>
      <c r="J672" s="6"/>
      <c r="K672" s="6"/>
      <c r="L672" s="6"/>
      <c r="M672" s="6"/>
      <c r="N672" s="6"/>
      <c r="O672" s="16"/>
      <c r="P672" s="6"/>
      <c r="Q672" s="4"/>
      <c r="R672" s="4"/>
      <c r="S672" s="4"/>
      <c r="T672" s="4"/>
      <c r="U672" s="4"/>
      <c r="V672" s="4"/>
      <c r="W672" s="4"/>
      <c r="X672" s="4"/>
      <c r="Y672" s="4"/>
      <c r="Z672" s="4"/>
      <c r="AA672" s="4"/>
      <c r="AB672" s="4"/>
      <c r="AC672" s="4"/>
    </row>
    <row r="673" spans="1:29" ht="12.75" x14ac:dyDescent="0.2">
      <c r="A673" s="16"/>
      <c r="B673" s="6"/>
      <c r="C673" s="6"/>
      <c r="D673" s="6"/>
      <c r="E673" s="4"/>
      <c r="F673" s="6"/>
      <c r="G673" s="6"/>
      <c r="H673" s="6"/>
      <c r="I673" s="6"/>
      <c r="J673" s="6"/>
      <c r="K673" s="6"/>
      <c r="L673" s="6"/>
      <c r="M673" s="6"/>
      <c r="N673" s="6"/>
      <c r="O673" s="16"/>
      <c r="P673" s="6"/>
      <c r="Q673" s="4"/>
      <c r="R673" s="4"/>
      <c r="S673" s="4"/>
      <c r="T673" s="4"/>
      <c r="U673" s="4"/>
      <c r="V673" s="4"/>
      <c r="W673" s="4"/>
      <c r="X673" s="4"/>
      <c r="Y673" s="4"/>
      <c r="Z673" s="4"/>
      <c r="AA673" s="4"/>
      <c r="AB673" s="4"/>
      <c r="AC673" s="4"/>
    </row>
    <row r="674" spans="1:29" ht="12.75" x14ac:dyDescent="0.2">
      <c r="A674" s="16"/>
      <c r="B674" s="6"/>
      <c r="C674" s="6"/>
      <c r="D674" s="6"/>
      <c r="E674" s="4"/>
      <c r="F674" s="6"/>
      <c r="G674" s="6"/>
      <c r="H674" s="6"/>
      <c r="I674" s="6"/>
      <c r="J674" s="6"/>
      <c r="K674" s="6"/>
      <c r="L674" s="6"/>
      <c r="M674" s="6"/>
      <c r="N674" s="6"/>
      <c r="O674" s="16"/>
      <c r="P674" s="6"/>
      <c r="Q674" s="4"/>
      <c r="R674" s="4"/>
      <c r="S674" s="4"/>
      <c r="T674" s="4"/>
      <c r="U674" s="4"/>
      <c r="V674" s="4"/>
      <c r="W674" s="4"/>
      <c r="X674" s="4"/>
      <c r="Y674" s="4"/>
      <c r="Z674" s="4"/>
      <c r="AA674" s="4"/>
      <c r="AB674" s="4"/>
      <c r="AC674" s="4"/>
    </row>
    <row r="675" spans="1:29" ht="12.75" x14ac:dyDescent="0.2">
      <c r="A675" s="16"/>
      <c r="B675" s="6"/>
      <c r="C675" s="6"/>
      <c r="D675" s="6"/>
      <c r="E675" s="4"/>
      <c r="F675" s="6"/>
      <c r="G675" s="6"/>
      <c r="H675" s="6"/>
      <c r="I675" s="6"/>
      <c r="J675" s="6"/>
      <c r="K675" s="6"/>
      <c r="L675" s="6"/>
      <c r="M675" s="6"/>
      <c r="N675" s="6"/>
      <c r="O675" s="16"/>
      <c r="P675" s="6"/>
      <c r="Q675" s="4"/>
      <c r="R675" s="4"/>
      <c r="S675" s="4"/>
      <c r="T675" s="4"/>
      <c r="U675" s="4"/>
      <c r="V675" s="4"/>
      <c r="W675" s="4"/>
      <c r="X675" s="4"/>
      <c r="Y675" s="4"/>
      <c r="Z675" s="4"/>
      <c r="AA675" s="4"/>
      <c r="AB675" s="4"/>
      <c r="AC675" s="4"/>
    </row>
    <row r="676" spans="1:29" ht="12.75" x14ac:dyDescent="0.2">
      <c r="A676" s="16"/>
      <c r="B676" s="6"/>
      <c r="C676" s="6"/>
      <c r="D676" s="6"/>
      <c r="E676" s="4"/>
      <c r="F676" s="6"/>
      <c r="G676" s="6"/>
      <c r="H676" s="6"/>
      <c r="I676" s="6"/>
      <c r="J676" s="6"/>
      <c r="K676" s="6"/>
      <c r="L676" s="6"/>
      <c r="M676" s="6"/>
      <c r="N676" s="6"/>
      <c r="O676" s="16"/>
      <c r="P676" s="6"/>
      <c r="Q676" s="4"/>
      <c r="R676" s="4"/>
      <c r="S676" s="4"/>
      <c r="T676" s="4"/>
      <c r="U676" s="4"/>
      <c r="V676" s="4"/>
      <c r="W676" s="4"/>
      <c r="X676" s="4"/>
      <c r="Y676" s="4"/>
      <c r="Z676" s="4"/>
      <c r="AA676" s="4"/>
      <c r="AB676" s="4"/>
      <c r="AC676" s="4"/>
    </row>
    <row r="677" spans="1:29" ht="12.75" x14ac:dyDescent="0.2">
      <c r="A677" s="16"/>
      <c r="B677" s="6"/>
      <c r="C677" s="6"/>
      <c r="D677" s="6"/>
      <c r="E677" s="4"/>
      <c r="F677" s="6"/>
      <c r="G677" s="6"/>
      <c r="H677" s="6"/>
      <c r="I677" s="6"/>
      <c r="J677" s="6"/>
      <c r="K677" s="6"/>
      <c r="L677" s="6"/>
      <c r="M677" s="6"/>
      <c r="N677" s="6"/>
      <c r="O677" s="16"/>
      <c r="P677" s="6"/>
      <c r="Q677" s="4"/>
      <c r="R677" s="4"/>
      <c r="S677" s="4"/>
      <c r="T677" s="4"/>
      <c r="U677" s="4"/>
      <c r="V677" s="4"/>
      <c r="W677" s="4"/>
      <c r="X677" s="4"/>
      <c r="Y677" s="4"/>
      <c r="Z677" s="4"/>
      <c r="AA677" s="4"/>
      <c r="AB677" s="4"/>
      <c r="AC677" s="4"/>
    </row>
    <row r="678" spans="1:29" ht="12.75" x14ac:dyDescent="0.2">
      <c r="A678" s="16"/>
      <c r="B678" s="6"/>
      <c r="C678" s="6"/>
      <c r="D678" s="6"/>
      <c r="E678" s="4"/>
      <c r="F678" s="6"/>
      <c r="G678" s="6"/>
      <c r="H678" s="6"/>
      <c r="I678" s="6"/>
      <c r="J678" s="6"/>
      <c r="K678" s="6"/>
      <c r="L678" s="6"/>
      <c r="M678" s="6"/>
      <c r="N678" s="6"/>
      <c r="O678" s="16"/>
      <c r="P678" s="6"/>
      <c r="Q678" s="4"/>
      <c r="R678" s="4"/>
      <c r="S678" s="4"/>
      <c r="T678" s="4"/>
      <c r="U678" s="4"/>
      <c r="V678" s="4"/>
      <c r="W678" s="4"/>
      <c r="X678" s="4"/>
      <c r="Y678" s="4"/>
      <c r="Z678" s="4"/>
      <c r="AA678" s="4"/>
      <c r="AB678" s="4"/>
      <c r="AC678" s="4"/>
    </row>
    <row r="679" spans="1:29" ht="12.75" x14ac:dyDescent="0.2">
      <c r="A679" s="16"/>
      <c r="B679" s="6"/>
      <c r="C679" s="6"/>
      <c r="D679" s="6"/>
      <c r="E679" s="4"/>
      <c r="F679" s="6"/>
      <c r="G679" s="6"/>
      <c r="H679" s="6"/>
      <c r="I679" s="6"/>
      <c r="J679" s="6"/>
      <c r="K679" s="6"/>
      <c r="L679" s="6"/>
      <c r="M679" s="6"/>
      <c r="N679" s="6"/>
      <c r="O679" s="16"/>
      <c r="P679" s="6"/>
      <c r="Q679" s="4"/>
      <c r="R679" s="4"/>
      <c r="S679" s="4"/>
      <c r="T679" s="4"/>
      <c r="U679" s="4"/>
      <c r="V679" s="4"/>
      <c r="W679" s="4"/>
      <c r="X679" s="4"/>
      <c r="Y679" s="4"/>
      <c r="Z679" s="4"/>
      <c r="AA679" s="4"/>
      <c r="AB679" s="4"/>
      <c r="AC679" s="4"/>
    </row>
    <row r="680" spans="1:29" ht="12.75" x14ac:dyDescent="0.2">
      <c r="A680" s="16"/>
      <c r="B680" s="6"/>
      <c r="C680" s="6"/>
      <c r="D680" s="6"/>
      <c r="E680" s="4"/>
      <c r="F680" s="6"/>
      <c r="G680" s="6"/>
      <c r="H680" s="6"/>
      <c r="I680" s="6"/>
      <c r="J680" s="6"/>
      <c r="K680" s="6"/>
      <c r="L680" s="6"/>
      <c r="M680" s="6"/>
      <c r="N680" s="6"/>
      <c r="O680" s="16"/>
      <c r="P680" s="6"/>
      <c r="Q680" s="4"/>
      <c r="R680" s="4"/>
      <c r="S680" s="4"/>
      <c r="T680" s="4"/>
      <c r="U680" s="4"/>
      <c r="V680" s="4"/>
      <c r="W680" s="4"/>
      <c r="X680" s="4"/>
      <c r="Y680" s="4"/>
      <c r="Z680" s="4"/>
      <c r="AA680" s="4"/>
      <c r="AB680" s="4"/>
      <c r="AC680" s="4"/>
    </row>
    <row r="681" spans="1:29" ht="12.75" x14ac:dyDescent="0.2">
      <c r="A681" s="16"/>
      <c r="B681" s="6"/>
      <c r="C681" s="6"/>
      <c r="D681" s="6"/>
      <c r="E681" s="4"/>
      <c r="F681" s="6"/>
      <c r="G681" s="6"/>
      <c r="H681" s="6"/>
      <c r="I681" s="6"/>
      <c r="J681" s="6"/>
      <c r="K681" s="6"/>
      <c r="L681" s="6"/>
      <c r="M681" s="6"/>
      <c r="N681" s="6"/>
      <c r="O681" s="16"/>
      <c r="P681" s="6"/>
      <c r="Q681" s="4"/>
      <c r="R681" s="4"/>
      <c r="S681" s="4"/>
      <c r="T681" s="4"/>
      <c r="U681" s="4"/>
      <c r="V681" s="4"/>
      <c r="W681" s="4"/>
      <c r="X681" s="4"/>
      <c r="Y681" s="4"/>
      <c r="Z681" s="4"/>
      <c r="AA681" s="4"/>
      <c r="AB681" s="4"/>
      <c r="AC681" s="4"/>
    </row>
    <row r="682" spans="1:29" ht="12.75" x14ac:dyDescent="0.2">
      <c r="A682" s="16"/>
      <c r="B682" s="6"/>
      <c r="C682" s="6"/>
      <c r="D682" s="6"/>
      <c r="E682" s="4"/>
      <c r="F682" s="6"/>
      <c r="G682" s="6"/>
      <c r="H682" s="6"/>
      <c r="I682" s="6"/>
      <c r="J682" s="6"/>
      <c r="K682" s="6"/>
      <c r="L682" s="6"/>
      <c r="M682" s="6"/>
      <c r="N682" s="6"/>
      <c r="O682" s="16"/>
      <c r="P682" s="6"/>
      <c r="Q682" s="4"/>
      <c r="R682" s="4"/>
      <c r="S682" s="4"/>
      <c r="T682" s="4"/>
      <c r="U682" s="4"/>
      <c r="V682" s="4"/>
      <c r="W682" s="4"/>
      <c r="X682" s="4"/>
      <c r="Y682" s="4"/>
      <c r="Z682" s="4"/>
      <c r="AA682" s="4"/>
      <c r="AB682" s="4"/>
      <c r="AC682" s="4"/>
    </row>
    <row r="683" spans="1:29" ht="12.75" x14ac:dyDescent="0.2">
      <c r="A683" s="16"/>
      <c r="B683" s="6"/>
      <c r="C683" s="6"/>
      <c r="D683" s="6"/>
      <c r="E683" s="4"/>
      <c r="F683" s="6"/>
      <c r="G683" s="6"/>
      <c r="H683" s="6"/>
      <c r="I683" s="6"/>
      <c r="J683" s="6"/>
      <c r="K683" s="6"/>
      <c r="L683" s="6"/>
      <c r="M683" s="6"/>
      <c r="N683" s="6"/>
      <c r="O683" s="16"/>
      <c r="P683" s="6"/>
      <c r="Q683" s="4"/>
      <c r="R683" s="4"/>
      <c r="S683" s="4"/>
      <c r="T683" s="4"/>
      <c r="U683" s="4"/>
      <c r="V683" s="4"/>
      <c r="W683" s="4"/>
      <c r="X683" s="4"/>
      <c r="Y683" s="4"/>
      <c r="Z683" s="4"/>
      <c r="AA683" s="4"/>
      <c r="AB683" s="4"/>
      <c r="AC683" s="4"/>
    </row>
    <row r="684" spans="1:29" ht="12.75" x14ac:dyDescent="0.2">
      <c r="A684" s="16"/>
      <c r="B684" s="6"/>
      <c r="C684" s="6"/>
      <c r="D684" s="6"/>
      <c r="E684" s="4"/>
      <c r="F684" s="6"/>
      <c r="G684" s="6"/>
      <c r="H684" s="6"/>
      <c r="I684" s="6"/>
      <c r="J684" s="6"/>
      <c r="K684" s="6"/>
      <c r="L684" s="6"/>
      <c r="M684" s="6"/>
      <c r="N684" s="6"/>
      <c r="O684" s="16"/>
      <c r="P684" s="6"/>
      <c r="Q684" s="4"/>
      <c r="R684" s="4"/>
      <c r="S684" s="4"/>
      <c r="T684" s="4"/>
      <c r="U684" s="4"/>
      <c r="V684" s="4"/>
      <c r="W684" s="4"/>
      <c r="X684" s="4"/>
      <c r="Y684" s="4"/>
      <c r="Z684" s="4"/>
      <c r="AA684" s="4"/>
      <c r="AB684" s="4"/>
      <c r="AC684" s="4"/>
    </row>
    <row r="685" spans="1:29" ht="12.75" x14ac:dyDescent="0.2">
      <c r="A685" s="16"/>
      <c r="B685" s="6"/>
      <c r="C685" s="6"/>
      <c r="D685" s="6"/>
      <c r="E685" s="4"/>
      <c r="F685" s="6"/>
      <c r="G685" s="6"/>
      <c r="H685" s="6"/>
      <c r="I685" s="6"/>
      <c r="J685" s="6"/>
      <c r="K685" s="6"/>
      <c r="L685" s="6"/>
      <c r="M685" s="6"/>
      <c r="N685" s="6"/>
      <c r="O685" s="16"/>
      <c r="P685" s="6"/>
      <c r="Q685" s="4"/>
      <c r="R685" s="4"/>
      <c r="S685" s="4"/>
      <c r="T685" s="4"/>
      <c r="U685" s="4"/>
      <c r="V685" s="4"/>
      <c r="W685" s="4"/>
      <c r="X685" s="4"/>
      <c r="Y685" s="4"/>
      <c r="Z685" s="4"/>
      <c r="AA685" s="4"/>
      <c r="AB685" s="4"/>
      <c r="AC685" s="4"/>
    </row>
    <row r="686" spans="1:29" ht="12.75" x14ac:dyDescent="0.2">
      <c r="A686" s="16"/>
      <c r="B686" s="6"/>
      <c r="C686" s="6"/>
      <c r="D686" s="6"/>
      <c r="E686" s="4"/>
      <c r="F686" s="6"/>
      <c r="G686" s="6"/>
      <c r="H686" s="6"/>
      <c r="I686" s="6"/>
      <c r="J686" s="6"/>
      <c r="K686" s="6"/>
      <c r="L686" s="6"/>
      <c r="M686" s="6"/>
      <c r="N686" s="6"/>
      <c r="O686" s="16"/>
      <c r="P686" s="6"/>
      <c r="Q686" s="4"/>
      <c r="R686" s="4"/>
      <c r="S686" s="4"/>
      <c r="T686" s="4"/>
      <c r="U686" s="4"/>
      <c r="V686" s="4"/>
      <c r="W686" s="4"/>
      <c r="X686" s="4"/>
      <c r="Y686" s="4"/>
      <c r="Z686" s="4"/>
      <c r="AA686" s="4"/>
      <c r="AB686" s="4"/>
      <c r="AC686" s="4"/>
    </row>
    <row r="687" spans="1:29" ht="12.75" x14ac:dyDescent="0.2">
      <c r="A687" s="16"/>
      <c r="B687" s="6"/>
      <c r="C687" s="6"/>
      <c r="D687" s="6"/>
      <c r="E687" s="4"/>
      <c r="F687" s="6"/>
      <c r="G687" s="6"/>
      <c r="H687" s="6"/>
      <c r="I687" s="6"/>
      <c r="J687" s="6"/>
      <c r="K687" s="6"/>
      <c r="L687" s="6"/>
      <c r="M687" s="6"/>
      <c r="N687" s="6"/>
      <c r="O687" s="16"/>
      <c r="P687" s="6"/>
      <c r="Q687" s="4"/>
      <c r="R687" s="4"/>
      <c r="S687" s="4"/>
      <c r="T687" s="4"/>
      <c r="U687" s="4"/>
      <c r="V687" s="4"/>
      <c r="W687" s="4"/>
      <c r="X687" s="4"/>
      <c r="Y687" s="4"/>
      <c r="Z687" s="4"/>
      <c r="AA687" s="4"/>
      <c r="AB687" s="4"/>
      <c r="AC687" s="4"/>
    </row>
    <row r="688" spans="1:29" ht="12.75" x14ac:dyDescent="0.2">
      <c r="A688" s="16"/>
      <c r="B688" s="6"/>
      <c r="C688" s="6"/>
      <c r="D688" s="6"/>
      <c r="E688" s="4"/>
      <c r="F688" s="6"/>
      <c r="G688" s="6"/>
      <c r="H688" s="6"/>
      <c r="I688" s="6"/>
      <c r="J688" s="6"/>
      <c r="K688" s="6"/>
      <c r="L688" s="6"/>
      <c r="M688" s="6"/>
      <c r="N688" s="6"/>
      <c r="O688" s="16"/>
      <c r="P688" s="6"/>
      <c r="Q688" s="4"/>
      <c r="R688" s="4"/>
      <c r="S688" s="4"/>
      <c r="T688" s="4"/>
      <c r="U688" s="4"/>
      <c r="V688" s="4"/>
      <c r="W688" s="4"/>
      <c r="X688" s="4"/>
      <c r="Y688" s="4"/>
      <c r="Z688" s="4"/>
      <c r="AA688" s="4"/>
      <c r="AB688" s="4"/>
      <c r="AC688" s="4"/>
    </row>
    <row r="689" spans="1:29" ht="12.75" x14ac:dyDescent="0.2">
      <c r="A689" s="16"/>
      <c r="B689" s="6"/>
      <c r="C689" s="6"/>
      <c r="D689" s="6"/>
      <c r="E689" s="4"/>
      <c r="F689" s="6"/>
      <c r="G689" s="6"/>
      <c r="H689" s="6"/>
      <c r="I689" s="6"/>
      <c r="J689" s="6"/>
      <c r="K689" s="6"/>
      <c r="L689" s="6"/>
      <c r="M689" s="6"/>
      <c r="N689" s="6"/>
      <c r="O689" s="16"/>
      <c r="P689" s="6"/>
      <c r="Q689" s="4"/>
      <c r="R689" s="4"/>
      <c r="S689" s="4"/>
      <c r="T689" s="4"/>
      <c r="U689" s="4"/>
      <c r="V689" s="4"/>
      <c r="W689" s="4"/>
      <c r="X689" s="4"/>
      <c r="Y689" s="4"/>
      <c r="Z689" s="4"/>
      <c r="AA689" s="4"/>
      <c r="AB689" s="4"/>
      <c r="AC689" s="4"/>
    </row>
    <row r="690" spans="1:29" ht="12.75" x14ac:dyDescent="0.2">
      <c r="A690" s="16"/>
      <c r="B690" s="6"/>
      <c r="C690" s="6"/>
      <c r="D690" s="6"/>
      <c r="E690" s="4"/>
      <c r="F690" s="6"/>
      <c r="G690" s="6"/>
      <c r="H690" s="6"/>
      <c r="I690" s="6"/>
      <c r="J690" s="6"/>
      <c r="K690" s="6"/>
      <c r="L690" s="6"/>
      <c r="M690" s="6"/>
      <c r="N690" s="6"/>
      <c r="O690" s="16"/>
      <c r="P690" s="6"/>
      <c r="Q690" s="4"/>
      <c r="R690" s="4"/>
      <c r="S690" s="4"/>
      <c r="T690" s="4"/>
      <c r="U690" s="4"/>
      <c r="V690" s="4"/>
      <c r="W690" s="4"/>
      <c r="X690" s="4"/>
      <c r="Y690" s="4"/>
      <c r="Z690" s="4"/>
      <c r="AA690" s="4"/>
      <c r="AB690" s="4"/>
      <c r="AC690" s="4"/>
    </row>
    <row r="691" spans="1:29" ht="12.75" x14ac:dyDescent="0.2">
      <c r="A691" s="16"/>
      <c r="B691" s="6"/>
      <c r="C691" s="6"/>
      <c r="D691" s="6"/>
      <c r="E691" s="4"/>
      <c r="F691" s="6"/>
      <c r="G691" s="6"/>
      <c r="H691" s="6"/>
      <c r="I691" s="6"/>
      <c r="J691" s="6"/>
      <c r="K691" s="6"/>
      <c r="L691" s="6"/>
      <c r="M691" s="6"/>
      <c r="N691" s="6"/>
      <c r="O691" s="16"/>
      <c r="P691" s="6"/>
      <c r="Q691" s="4"/>
      <c r="R691" s="4"/>
      <c r="S691" s="4"/>
      <c r="T691" s="4"/>
      <c r="U691" s="4"/>
      <c r="V691" s="4"/>
      <c r="W691" s="4"/>
      <c r="X691" s="4"/>
      <c r="Y691" s="4"/>
      <c r="Z691" s="4"/>
      <c r="AA691" s="4"/>
      <c r="AB691" s="4"/>
      <c r="AC691" s="4"/>
    </row>
    <row r="692" spans="1:29" ht="12.75" x14ac:dyDescent="0.2">
      <c r="A692" s="16"/>
      <c r="B692" s="6"/>
      <c r="C692" s="6"/>
      <c r="D692" s="6"/>
      <c r="E692" s="4"/>
      <c r="F692" s="6"/>
      <c r="G692" s="6"/>
      <c r="H692" s="6"/>
      <c r="I692" s="6"/>
      <c r="J692" s="6"/>
      <c r="K692" s="6"/>
      <c r="L692" s="6"/>
      <c r="M692" s="6"/>
      <c r="N692" s="6"/>
      <c r="O692" s="16"/>
      <c r="P692" s="6"/>
      <c r="Q692" s="4"/>
      <c r="R692" s="4"/>
      <c r="S692" s="4"/>
      <c r="T692" s="4"/>
      <c r="U692" s="4"/>
      <c r="V692" s="4"/>
      <c r="W692" s="4"/>
      <c r="X692" s="4"/>
      <c r="Y692" s="4"/>
      <c r="Z692" s="4"/>
      <c r="AA692" s="4"/>
      <c r="AB692" s="4"/>
      <c r="AC692" s="4"/>
    </row>
    <row r="693" spans="1:29" ht="12.75" x14ac:dyDescent="0.2">
      <c r="A693" s="16"/>
      <c r="B693" s="6"/>
      <c r="C693" s="6"/>
      <c r="D693" s="6"/>
      <c r="E693" s="4"/>
      <c r="F693" s="6"/>
      <c r="G693" s="6"/>
      <c r="H693" s="6"/>
      <c r="I693" s="6"/>
      <c r="J693" s="6"/>
      <c r="K693" s="6"/>
      <c r="L693" s="6"/>
      <c r="M693" s="6"/>
      <c r="N693" s="6"/>
      <c r="O693" s="16"/>
      <c r="P693" s="6"/>
      <c r="Q693" s="4"/>
      <c r="R693" s="4"/>
      <c r="S693" s="4"/>
      <c r="T693" s="4"/>
      <c r="U693" s="4"/>
      <c r="V693" s="4"/>
      <c r="W693" s="4"/>
      <c r="X693" s="4"/>
      <c r="Y693" s="4"/>
      <c r="Z693" s="4"/>
      <c r="AA693" s="4"/>
      <c r="AB693" s="4"/>
      <c r="AC693" s="4"/>
    </row>
    <row r="694" spans="1:29" ht="12.75" x14ac:dyDescent="0.2">
      <c r="A694" s="16"/>
      <c r="B694" s="6"/>
      <c r="C694" s="6"/>
      <c r="D694" s="6"/>
      <c r="E694" s="4"/>
      <c r="F694" s="6"/>
      <c r="G694" s="6"/>
      <c r="H694" s="6"/>
      <c r="I694" s="6"/>
      <c r="J694" s="6"/>
      <c r="K694" s="6"/>
      <c r="L694" s="6"/>
      <c r="M694" s="6"/>
      <c r="N694" s="6"/>
      <c r="O694" s="16"/>
      <c r="P694" s="6"/>
      <c r="Q694" s="4"/>
      <c r="R694" s="4"/>
      <c r="S694" s="4"/>
      <c r="T694" s="4"/>
      <c r="U694" s="4"/>
      <c r="V694" s="4"/>
      <c r="W694" s="4"/>
      <c r="X694" s="4"/>
      <c r="Y694" s="4"/>
      <c r="Z694" s="4"/>
      <c r="AA694" s="4"/>
      <c r="AB694" s="4"/>
      <c r="AC694" s="4"/>
    </row>
    <row r="695" spans="1:29" ht="12.75" x14ac:dyDescent="0.2">
      <c r="A695" s="16"/>
      <c r="B695" s="6"/>
      <c r="C695" s="6"/>
      <c r="D695" s="6"/>
      <c r="E695" s="4"/>
      <c r="F695" s="6"/>
      <c r="G695" s="6"/>
      <c r="H695" s="6"/>
      <c r="I695" s="6"/>
      <c r="J695" s="6"/>
      <c r="K695" s="6"/>
      <c r="L695" s="6"/>
      <c r="M695" s="6"/>
      <c r="N695" s="6"/>
      <c r="O695" s="16"/>
      <c r="P695" s="6"/>
      <c r="Q695" s="4"/>
      <c r="R695" s="4"/>
      <c r="S695" s="4"/>
      <c r="T695" s="4"/>
      <c r="U695" s="4"/>
      <c r="V695" s="4"/>
      <c r="W695" s="4"/>
      <c r="X695" s="4"/>
      <c r="Y695" s="4"/>
      <c r="Z695" s="4"/>
      <c r="AA695" s="4"/>
      <c r="AB695" s="4"/>
      <c r="AC695" s="4"/>
    </row>
    <row r="696" spans="1:29" ht="12.75" x14ac:dyDescent="0.2">
      <c r="A696" s="16"/>
      <c r="B696" s="6"/>
      <c r="C696" s="6"/>
      <c r="D696" s="6"/>
      <c r="E696" s="4"/>
      <c r="F696" s="6"/>
      <c r="G696" s="6"/>
      <c r="H696" s="6"/>
      <c r="I696" s="6"/>
      <c r="J696" s="6"/>
      <c r="K696" s="6"/>
      <c r="L696" s="6"/>
      <c r="M696" s="6"/>
      <c r="N696" s="6"/>
      <c r="O696" s="16"/>
      <c r="P696" s="6"/>
      <c r="Q696" s="4"/>
      <c r="R696" s="4"/>
      <c r="S696" s="4"/>
      <c r="T696" s="4"/>
      <c r="U696" s="4"/>
      <c r="V696" s="4"/>
      <c r="W696" s="4"/>
      <c r="X696" s="4"/>
      <c r="Y696" s="4"/>
      <c r="Z696" s="4"/>
      <c r="AA696" s="4"/>
      <c r="AB696" s="4"/>
      <c r="AC696" s="4"/>
    </row>
    <row r="697" spans="1:29" ht="12.75" x14ac:dyDescent="0.2">
      <c r="A697" s="16"/>
      <c r="B697" s="6"/>
      <c r="C697" s="6"/>
      <c r="D697" s="6"/>
      <c r="E697" s="4"/>
      <c r="F697" s="6"/>
      <c r="G697" s="6"/>
      <c r="H697" s="6"/>
      <c r="I697" s="6"/>
      <c r="J697" s="6"/>
      <c r="K697" s="6"/>
      <c r="L697" s="6"/>
      <c r="M697" s="6"/>
      <c r="N697" s="6"/>
      <c r="O697" s="16"/>
      <c r="P697" s="6"/>
      <c r="Q697" s="4"/>
      <c r="R697" s="4"/>
      <c r="S697" s="4"/>
      <c r="T697" s="4"/>
      <c r="U697" s="4"/>
      <c r="V697" s="4"/>
      <c r="W697" s="4"/>
      <c r="X697" s="4"/>
      <c r="Y697" s="4"/>
      <c r="Z697" s="4"/>
      <c r="AA697" s="4"/>
      <c r="AB697" s="4"/>
      <c r="AC697" s="4"/>
    </row>
    <row r="698" spans="1:29" ht="12.75" x14ac:dyDescent="0.2">
      <c r="A698" s="16"/>
      <c r="B698" s="6"/>
      <c r="C698" s="6"/>
      <c r="D698" s="6"/>
      <c r="E698" s="4"/>
      <c r="F698" s="6"/>
      <c r="G698" s="6"/>
      <c r="H698" s="6"/>
      <c r="I698" s="6"/>
      <c r="J698" s="6"/>
      <c r="K698" s="6"/>
      <c r="L698" s="6"/>
      <c r="M698" s="6"/>
      <c r="N698" s="6"/>
      <c r="O698" s="16"/>
      <c r="P698" s="6"/>
      <c r="Q698" s="4"/>
      <c r="R698" s="4"/>
      <c r="S698" s="4"/>
      <c r="T698" s="4"/>
      <c r="U698" s="4"/>
      <c r="V698" s="4"/>
      <c r="W698" s="4"/>
      <c r="X698" s="4"/>
      <c r="Y698" s="4"/>
      <c r="Z698" s="4"/>
      <c r="AA698" s="4"/>
      <c r="AB698" s="4"/>
      <c r="AC698" s="4"/>
    </row>
    <row r="699" spans="1:29" ht="12.75" x14ac:dyDescent="0.2">
      <c r="A699" s="16"/>
      <c r="B699" s="6"/>
      <c r="C699" s="6"/>
      <c r="D699" s="6"/>
      <c r="E699" s="4"/>
      <c r="F699" s="6"/>
      <c r="G699" s="6"/>
      <c r="H699" s="6"/>
      <c r="I699" s="6"/>
      <c r="J699" s="6"/>
      <c r="K699" s="6"/>
      <c r="L699" s="6"/>
      <c r="M699" s="6"/>
      <c r="N699" s="6"/>
      <c r="O699" s="16"/>
      <c r="P699" s="6"/>
      <c r="Q699" s="4"/>
      <c r="R699" s="4"/>
      <c r="S699" s="4"/>
      <c r="T699" s="4"/>
      <c r="U699" s="4"/>
      <c r="V699" s="4"/>
      <c r="W699" s="4"/>
      <c r="X699" s="4"/>
      <c r="Y699" s="4"/>
      <c r="Z699" s="4"/>
      <c r="AA699" s="4"/>
      <c r="AB699" s="4"/>
      <c r="AC699" s="4"/>
    </row>
    <row r="700" spans="1:29" ht="12.75" x14ac:dyDescent="0.2">
      <c r="A700" s="16"/>
      <c r="B700" s="6"/>
      <c r="C700" s="6"/>
      <c r="D700" s="6"/>
      <c r="E700" s="4"/>
      <c r="F700" s="6"/>
      <c r="G700" s="6"/>
      <c r="H700" s="6"/>
      <c r="I700" s="6"/>
      <c r="J700" s="6"/>
      <c r="K700" s="6"/>
      <c r="L700" s="6"/>
      <c r="M700" s="6"/>
      <c r="N700" s="6"/>
      <c r="O700" s="16"/>
      <c r="P700" s="6"/>
      <c r="Q700" s="4"/>
      <c r="R700" s="4"/>
      <c r="S700" s="4"/>
      <c r="T700" s="4"/>
      <c r="U700" s="4"/>
      <c r="V700" s="4"/>
      <c r="W700" s="4"/>
      <c r="X700" s="4"/>
      <c r="Y700" s="4"/>
      <c r="Z700" s="4"/>
      <c r="AA700" s="4"/>
      <c r="AB700" s="4"/>
      <c r="AC700" s="4"/>
    </row>
    <row r="701" spans="1:29" ht="12.75" x14ac:dyDescent="0.2">
      <c r="A701" s="16"/>
      <c r="B701" s="6"/>
      <c r="C701" s="6"/>
      <c r="D701" s="6"/>
      <c r="E701" s="4"/>
      <c r="F701" s="6"/>
      <c r="G701" s="6"/>
      <c r="H701" s="6"/>
      <c r="I701" s="6"/>
      <c r="J701" s="6"/>
      <c r="K701" s="6"/>
      <c r="L701" s="6"/>
      <c r="M701" s="6"/>
      <c r="N701" s="6"/>
      <c r="O701" s="16"/>
      <c r="P701" s="6"/>
      <c r="Q701" s="4"/>
      <c r="R701" s="4"/>
      <c r="S701" s="4"/>
      <c r="T701" s="4"/>
      <c r="U701" s="4"/>
      <c r="V701" s="4"/>
      <c r="W701" s="4"/>
      <c r="X701" s="4"/>
      <c r="Y701" s="4"/>
      <c r="Z701" s="4"/>
      <c r="AA701" s="4"/>
      <c r="AB701" s="4"/>
      <c r="AC701" s="4"/>
    </row>
    <row r="702" spans="1:29" ht="12.75" x14ac:dyDescent="0.2">
      <c r="A702" s="16"/>
      <c r="B702" s="6"/>
      <c r="C702" s="6"/>
      <c r="D702" s="6"/>
      <c r="E702" s="4"/>
      <c r="F702" s="6"/>
      <c r="G702" s="6"/>
      <c r="H702" s="6"/>
      <c r="I702" s="6"/>
      <c r="J702" s="6"/>
      <c r="K702" s="6"/>
      <c r="L702" s="6"/>
      <c r="M702" s="6"/>
      <c r="N702" s="6"/>
      <c r="O702" s="16"/>
      <c r="P702" s="6"/>
      <c r="Q702" s="4"/>
      <c r="R702" s="4"/>
      <c r="S702" s="4"/>
      <c r="T702" s="4"/>
      <c r="U702" s="4"/>
      <c r="V702" s="4"/>
      <c r="W702" s="4"/>
      <c r="X702" s="4"/>
      <c r="Y702" s="4"/>
      <c r="Z702" s="4"/>
      <c r="AA702" s="4"/>
      <c r="AB702" s="4"/>
      <c r="AC702" s="4"/>
    </row>
    <row r="703" spans="1:29" ht="12.75" x14ac:dyDescent="0.2">
      <c r="A703" s="16"/>
      <c r="B703" s="6"/>
      <c r="C703" s="6"/>
      <c r="D703" s="6"/>
      <c r="E703" s="4"/>
      <c r="F703" s="6"/>
      <c r="G703" s="6"/>
      <c r="H703" s="6"/>
      <c r="I703" s="6"/>
      <c r="J703" s="6"/>
      <c r="K703" s="6"/>
      <c r="L703" s="6"/>
      <c r="M703" s="6"/>
      <c r="N703" s="6"/>
      <c r="O703" s="16"/>
      <c r="P703" s="6"/>
      <c r="Q703" s="4"/>
      <c r="R703" s="4"/>
      <c r="S703" s="4"/>
      <c r="T703" s="4"/>
      <c r="U703" s="4"/>
      <c r="V703" s="4"/>
      <c r="W703" s="4"/>
      <c r="X703" s="4"/>
      <c r="Y703" s="4"/>
      <c r="Z703" s="4"/>
      <c r="AA703" s="4"/>
      <c r="AB703" s="4"/>
      <c r="AC703" s="4"/>
    </row>
    <row r="704" spans="1:29" ht="12.75" x14ac:dyDescent="0.2">
      <c r="A704" s="16"/>
      <c r="B704" s="6"/>
      <c r="C704" s="6"/>
      <c r="D704" s="6"/>
      <c r="E704" s="4"/>
      <c r="F704" s="6"/>
      <c r="G704" s="6"/>
      <c r="H704" s="6"/>
      <c r="I704" s="6"/>
      <c r="J704" s="6"/>
      <c r="K704" s="6"/>
      <c r="L704" s="6"/>
      <c r="M704" s="6"/>
      <c r="N704" s="6"/>
      <c r="O704" s="16"/>
      <c r="P704" s="6"/>
      <c r="Q704" s="4"/>
      <c r="R704" s="4"/>
      <c r="S704" s="4"/>
      <c r="T704" s="4"/>
      <c r="U704" s="4"/>
      <c r="V704" s="4"/>
      <c r="W704" s="4"/>
      <c r="X704" s="4"/>
      <c r="Y704" s="4"/>
      <c r="Z704" s="4"/>
      <c r="AA704" s="4"/>
      <c r="AB704" s="4"/>
      <c r="AC704" s="4"/>
    </row>
    <row r="705" spans="1:29" ht="12.75" x14ac:dyDescent="0.2">
      <c r="A705" s="16"/>
      <c r="B705" s="6"/>
      <c r="C705" s="6"/>
      <c r="D705" s="6"/>
      <c r="E705" s="4"/>
      <c r="F705" s="6"/>
      <c r="G705" s="6"/>
      <c r="H705" s="6"/>
      <c r="I705" s="6"/>
      <c r="J705" s="6"/>
      <c r="K705" s="6"/>
      <c r="L705" s="6"/>
      <c r="M705" s="6"/>
      <c r="N705" s="6"/>
      <c r="O705" s="16"/>
      <c r="P705" s="6"/>
      <c r="Q705" s="4"/>
      <c r="R705" s="4"/>
      <c r="S705" s="4"/>
      <c r="T705" s="4"/>
      <c r="U705" s="4"/>
      <c r="V705" s="4"/>
      <c r="W705" s="4"/>
      <c r="X705" s="4"/>
      <c r="Y705" s="4"/>
      <c r="Z705" s="4"/>
      <c r="AA705" s="4"/>
      <c r="AB705" s="4"/>
      <c r="AC705" s="4"/>
    </row>
    <row r="706" spans="1:29" ht="12.75" x14ac:dyDescent="0.2">
      <c r="A706" s="16"/>
      <c r="B706" s="6"/>
      <c r="C706" s="6"/>
      <c r="D706" s="6"/>
      <c r="E706" s="4"/>
      <c r="F706" s="6"/>
      <c r="G706" s="6"/>
      <c r="H706" s="6"/>
      <c r="I706" s="6"/>
      <c r="J706" s="6"/>
      <c r="K706" s="6"/>
      <c r="L706" s="6"/>
      <c r="M706" s="6"/>
      <c r="N706" s="6"/>
      <c r="O706" s="16"/>
      <c r="P706" s="6"/>
      <c r="Q706" s="4"/>
      <c r="R706" s="4"/>
      <c r="S706" s="4"/>
      <c r="T706" s="4"/>
      <c r="U706" s="4"/>
      <c r="V706" s="4"/>
      <c r="W706" s="4"/>
      <c r="X706" s="4"/>
      <c r="Y706" s="4"/>
      <c r="Z706" s="4"/>
      <c r="AA706" s="4"/>
      <c r="AB706" s="4"/>
      <c r="AC706" s="4"/>
    </row>
    <row r="707" spans="1:29" ht="12.75" x14ac:dyDescent="0.2">
      <c r="A707" s="16"/>
      <c r="B707" s="6"/>
      <c r="C707" s="6"/>
      <c r="D707" s="6"/>
      <c r="E707" s="4"/>
      <c r="F707" s="6"/>
      <c r="G707" s="6"/>
      <c r="H707" s="6"/>
      <c r="I707" s="6"/>
      <c r="J707" s="6"/>
      <c r="K707" s="6"/>
      <c r="L707" s="6"/>
      <c r="M707" s="6"/>
      <c r="N707" s="6"/>
      <c r="O707" s="16"/>
      <c r="P707" s="6"/>
      <c r="Q707" s="4"/>
      <c r="R707" s="4"/>
      <c r="S707" s="4"/>
      <c r="T707" s="4"/>
      <c r="U707" s="4"/>
      <c r="V707" s="4"/>
      <c r="W707" s="4"/>
      <c r="X707" s="4"/>
      <c r="Y707" s="4"/>
      <c r="Z707" s="4"/>
      <c r="AA707" s="4"/>
      <c r="AB707" s="4"/>
      <c r="AC707" s="4"/>
    </row>
    <row r="708" spans="1:29" ht="12.75" x14ac:dyDescent="0.2">
      <c r="A708" s="16"/>
      <c r="B708" s="6"/>
      <c r="C708" s="6"/>
      <c r="D708" s="6"/>
      <c r="E708" s="4"/>
      <c r="F708" s="6"/>
      <c r="G708" s="6"/>
      <c r="H708" s="6"/>
      <c r="I708" s="6"/>
      <c r="J708" s="6"/>
      <c r="K708" s="6"/>
      <c r="L708" s="6"/>
      <c r="M708" s="6"/>
      <c r="N708" s="6"/>
      <c r="O708" s="16"/>
      <c r="P708" s="6"/>
      <c r="Q708" s="4"/>
      <c r="R708" s="4"/>
      <c r="S708" s="4"/>
      <c r="T708" s="4"/>
      <c r="U708" s="4"/>
      <c r="V708" s="4"/>
      <c r="W708" s="4"/>
      <c r="X708" s="4"/>
      <c r="Y708" s="4"/>
      <c r="Z708" s="4"/>
      <c r="AA708" s="4"/>
      <c r="AB708" s="4"/>
      <c r="AC708" s="4"/>
    </row>
    <row r="709" spans="1:29" ht="12.75" x14ac:dyDescent="0.2">
      <c r="A709" s="16"/>
      <c r="B709" s="6"/>
      <c r="C709" s="6"/>
      <c r="D709" s="6"/>
      <c r="E709" s="4"/>
      <c r="F709" s="6"/>
      <c r="G709" s="6"/>
      <c r="H709" s="6"/>
      <c r="I709" s="6"/>
      <c r="J709" s="6"/>
      <c r="K709" s="6"/>
      <c r="L709" s="6"/>
      <c r="M709" s="6"/>
      <c r="N709" s="6"/>
      <c r="O709" s="16"/>
      <c r="P709" s="6"/>
      <c r="Q709" s="4"/>
      <c r="R709" s="4"/>
      <c r="S709" s="4"/>
      <c r="T709" s="4"/>
      <c r="U709" s="4"/>
      <c r="V709" s="4"/>
      <c r="W709" s="4"/>
      <c r="X709" s="4"/>
      <c r="Y709" s="4"/>
      <c r="Z709" s="4"/>
      <c r="AA709" s="4"/>
      <c r="AB709" s="4"/>
      <c r="AC709" s="4"/>
    </row>
    <row r="710" spans="1:29" ht="12.75" x14ac:dyDescent="0.2">
      <c r="A710" s="16"/>
      <c r="B710" s="6"/>
      <c r="C710" s="6"/>
      <c r="D710" s="6"/>
      <c r="E710" s="4"/>
      <c r="F710" s="6"/>
      <c r="G710" s="6"/>
      <c r="H710" s="6"/>
      <c r="I710" s="6"/>
      <c r="J710" s="6"/>
      <c r="K710" s="6"/>
      <c r="L710" s="6"/>
      <c r="M710" s="6"/>
      <c r="N710" s="6"/>
      <c r="O710" s="16"/>
      <c r="P710" s="6"/>
      <c r="Q710" s="4"/>
      <c r="R710" s="4"/>
      <c r="S710" s="4"/>
      <c r="T710" s="4"/>
      <c r="U710" s="4"/>
      <c r="V710" s="4"/>
      <c r="W710" s="4"/>
      <c r="X710" s="4"/>
      <c r="Y710" s="4"/>
      <c r="Z710" s="4"/>
      <c r="AA710" s="4"/>
      <c r="AB710" s="4"/>
      <c r="AC710" s="4"/>
    </row>
    <row r="711" spans="1:29" ht="12.75" x14ac:dyDescent="0.2">
      <c r="A711" s="16"/>
      <c r="B711" s="6"/>
      <c r="C711" s="6"/>
      <c r="D711" s="6"/>
      <c r="E711" s="4"/>
      <c r="F711" s="6"/>
      <c r="G711" s="6"/>
      <c r="H711" s="6"/>
      <c r="I711" s="6"/>
      <c r="J711" s="6"/>
      <c r="K711" s="6"/>
      <c r="L711" s="6"/>
      <c r="M711" s="6"/>
      <c r="N711" s="6"/>
      <c r="O711" s="16"/>
      <c r="P711" s="6"/>
      <c r="Q711" s="4"/>
      <c r="R711" s="4"/>
      <c r="S711" s="4"/>
      <c r="T711" s="4"/>
      <c r="U711" s="4"/>
      <c r="V711" s="4"/>
      <c r="W711" s="4"/>
      <c r="X711" s="4"/>
      <c r="Y711" s="4"/>
      <c r="Z711" s="4"/>
      <c r="AA711" s="4"/>
      <c r="AB711" s="4"/>
      <c r="AC711" s="4"/>
    </row>
    <row r="712" spans="1:29" ht="12.75" x14ac:dyDescent="0.2">
      <c r="A712" s="16"/>
      <c r="B712" s="6"/>
      <c r="C712" s="6"/>
      <c r="D712" s="6"/>
      <c r="E712" s="4"/>
      <c r="F712" s="6"/>
      <c r="G712" s="6"/>
      <c r="H712" s="6"/>
      <c r="I712" s="6"/>
      <c r="J712" s="6"/>
      <c r="K712" s="6"/>
      <c r="L712" s="6"/>
      <c r="M712" s="6"/>
      <c r="N712" s="6"/>
      <c r="O712" s="16"/>
      <c r="P712" s="6"/>
      <c r="Q712" s="4"/>
      <c r="R712" s="4"/>
      <c r="S712" s="4"/>
      <c r="T712" s="4"/>
      <c r="U712" s="4"/>
      <c r="V712" s="4"/>
      <c r="W712" s="4"/>
      <c r="X712" s="4"/>
      <c r="Y712" s="4"/>
      <c r="Z712" s="4"/>
      <c r="AA712" s="4"/>
      <c r="AB712" s="4"/>
      <c r="AC712" s="4"/>
    </row>
    <row r="713" spans="1:29" ht="12.75" x14ac:dyDescent="0.2">
      <c r="A713" s="16"/>
      <c r="B713" s="6"/>
      <c r="C713" s="6"/>
      <c r="D713" s="6"/>
      <c r="E713" s="4"/>
      <c r="F713" s="6"/>
      <c r="G713" s="6"/>
      <c r="H713" s="6"/>
      <c r="I713" s="6"/>
      <c r="J713" s="6"/>
      <c r="K713" s="6"/>
      <c r="L713" s="6"/>
      <c r="M713" s="6"/>
      <c r="N713" s="6"/>
      <c r="O713" s="16"/>
      <c r="P713" s="6"/>
      <c r="Q713" s="4"/>
      <c r="R713" s="4"/>
      <c r="S713" s="4"/>
      <c r="T713" s="4"/>
      <c r="U713" s="4"/>
      <c r="V713" s="4"/>
      <c r="W713" s="4"/>
      <c r="X713" s="4"/>
      <c r="Y713" s="4"/>
      <c r="Z713" s="4"/>
      <c r="AA713" s="4"/>
      <c r="AB713" s="4"/>
      <c r="AC713" s="4"/>
    </row>
    <row r="714" spans="1:29" ht="12.75" x14ac:dyDescent="0.2">
      <c r="A714" s="16"/>
      <c r="B714" s="6"/>
      <c r="C714" s="6"/>
      <c r="D714" s="6"/>
      <c r="E714" s="4"/>
      <c r="F714" s="6"/>
      <c r="G714" s="6"/>
      <c r="H714" s="6"/>
      <c r="I714" s="6"/>
      <c r="J714" s="6"/>
      <c r="K714" s="6"/>
      <c r="L714" s="6"/>
      <c r="M714" s="6"/>
      <c r="N714" s="6"/>
      <c r="O714" s="16"/>
      <c r="P714" s="6"/>
      <c r="Q714" s="4"/>
      <c r="R714" s="4"/>
      <c r="S714" s="4"/>
      <c r="T714" s="4"/>
      <c r="U714" s="4"/>
      <c r="V714" s="4"/>
      <c r="W714" s="4"/>
      <c r="X714" s="4"/>
      <c r="Y714" s="4"/>
      <c r="Z714" s="4"/>
      <c r="AA714" s="4"/>
      <c r="AB714" s="4"/>
      <c r="AC714" s="4"/>
    </row>
    <row r="715" spans="1:29" ht="12.75" x14ac:dyDescent="0.2">
      <c r="A715" s="16"/>
      <c r="B715" s="6"/>
      <c r="C715" s="6"/>
      <c r="D715" s="6"/>
      <c r="E715" s="4"/>
      <c r="F715" s="6"/>
      <c r="G715" s="6"/>
      <c r="H715" s="6"/>
      <c r="I715" s="6"/>
      <c r="J715" s="6"/>
      <c r="K715" s="6"/>
      <c r="L715" s="6"/>
      <c r="M715" s="6"/>
      <c r="N715" s="6"/>
      <c r="O715" s="16"/>
      <c r="P715" s="6"/>
      <c r="Q715" s="4"/>
      <c r="R715" s="4"/>
      <c r="S715" s="4"/>
      <c r="T715" s="4"/>
      <c r="U715" s="4"/>
      <c r="V715" s="4"/>
      <c r="W715" s="4"/>
      <c r="X715" s="4"/>
      <c r="Y715" s="4"/>
      <c r="Z715" s="4"/>
      <c r="AA715" s="4"/>
      <c r="AB715" s="4"/>
      <c r="AC715" s="4"/>
    </row>
    <row r="716" spans="1:29" ht="12.75" x14ac:dyDescent="0.2">
      <c r="A716" s="16"/>
      <c r="B716" s="6"/>
      <c r="C716" s="6"/>
      <c r="D716" s="6"/>
      <c r="E716" s="4"/>
      <c r="F716" s="6"/>
      <c r="G716" s="6"/>
      <c r="H716" s="6"/>
      <c r="I716" s="6"/>
      <c r="J716" s="6"/>
      <c r="K716" s="6"/>
      <c r="L716" s="6"/>
      <c r="M716" s="6"/>
      <c r="N716" s="6"/>
      <c r="O716" s="16"/>
      <c r="P716" s="6"/>
      <c r="Q716" s="4"/>
      <c r="R716" s="4"/>
      <c r="S716" s="4"/>
      <c r="T716" s="4"/>
      <c r="U716" s="4"/>
      <c r="V716" s="4"/>
      <c r="W716" s="4"/>
      <c r="X716" s="4"/>
      <c r="Y716" s="4"/>
      <c r="Z716" s="4"/>
      <c r="AA716" s="4"/>
      <c r="AB716" s="4"/>
      <c r="AC716" s="4"/>
    </row>
    <row r="717" spans="1:29" ht="12.75" x14ac:dyDescent="0.2">
      <c r="A717" s="16"/>
      <c r="B717" s="6"/>
      <c r="C717" s="6"/>
      <c r="D717" s="6"/>
      <c r="E717" s="4"/>
      <c r="F717" s="6"/>
      <c r="G717" s="6"/>
      <c r="H717" s="6"/>
      <c r="I717" s="6"/>
      <c r="J717" s="6"/>
      <c r="K717" s="6"/>
      <c r="L717" s="6"/>
      <c r="M717" s="6"/>
      <c r="N717" s="6"/>
      <c r="O717" s="16"/>
      <c r="P717" s="6"/>
      <c r="Q717" s="4"/>
      <c r="R717" s="4"/>
      <c r="S717" s="4"/>
      <c r="T717" s="4"/>
      <c r="U717" s="4"/>
      <c r="V717" s="4"/>
      <c r="W717" s="4"/>
      <c r="X717" s="4"/>
      <c r="Y717" s="4"/>
      <c r="Z717" s="4"/>
      <c r="AA717" s="4"/>
      <c r="AB717" s="4"/>
      <c r="AC717" s="4"/>
    </row>
    <row r="718" spans="1:29" ht="12.75" x14ac:dyDescent="0.2">
      <c r="A718" s="16"/>
      <c r="B718" s="6"/>
      <c r="C718" s="6"/>
      <c r="D718" s="6"/>
      <c r="E718" s="4"/>
      <c r="F718" s="6"/>
      <c r="G718" s="6"/>
      <c r="H718" s="6"/>
      <c r="I718" s="6"/>
      <c r="J718" s="6"/>
      <c r="K718" s="6"/>
      <c r="L718" s="6"/>
      <c r="M718" s="6"/>
      <c r="N718" s="6"/>
      <c r="O718" s="16"/>
      <c r="P718" s="6"/>
      <c r="Q718" s="4"/>
      <c r="R718" s="4"/>
      <c r="S718" s="4"/>
      <c r="T718" s="4"/>
      <c r="U718" s="4"/>
      <c r="V718" s="4"/>
      <c r="W718" s="4"/>
      <c r="X718" s="4"/>
      <c r="Y718" s="4"/>
      <c r="Z718" s="4"/>
      <c r="AA718" s="4"/>
      <c r="AB718" s="4"/>
      <c r="AC718" s="4"/>
    </row>
    <row r="719" spans="1:29" ht="12.75" x14ac:dyDescent="0.2">
      <c r="A719" s="16"/>
      <c r="B719" s="6"/>
      <c r="C719" s="6"/>
      <c r="D719" s="6"/>
      <c r="E719" s="4"/>
      <c r="F719" s="6"/>
      <c r="G719" s="6"/>
      <c r="H719" s="6"/>
      <c r="I719" s="6"/>
      <c r="J719" s="6"/>
      <c r="K719" s="6"/>
      <c r="L719" s="6"/>
      <c r="M719" s="6"/>
      <c r="N719" s="6"/>
      <c r="O719" s="16"/>
      <c r="P719" s="6"/>
      <c r="Q719" s="4"/>
      <c r="R719" s="4"/>
      <c r="S719" s="4"/>
      <c r="T719" s="4"/>
      <c r="U719" s="4"/>
      <c r="V719" s="4"/>
      <c r="W719" s="4"/>
      <c r="X719" s="4"/>
      <c r="Y719" s="4"/>
      <c r="Z719" s="4"/>
      <c r="AA719" s="4"/>
      <c r="AB719" s="4"/>
      <c r="AC719" s="4"/>
    </row>
    <row r="720" spans="1:29" ht="12.75" x14ac:dyDescent="0.2">
      <c r="A720" s="16"/>
      <c r="B720" s="6"/>
      <c r="C720" s="6"/>
      <c r="D720" s="6"/>
      <c r="E720" s="4"/>
      <c r="F720" s="6"/>
      <c r="G720" s="6"/>
      <c r="H720" s="6"/>
      <c r="I720" s="6"/>
      <c r="J720" s="6"/>
      <c r="K720" s="6"/>
      <c r="L720" s="6"/>
      <c r="M720" s="6"/>
      <c r="N720" s="6"/>
      <c r="O720" s="16"/>
      <c r="P720" s="6"/>
      <c r="Q720" s="4"/>
      <c r="R720" s="4"/>
      <c r="S720" s="4"/>
      <c r="T720" s="4"/>
      <c r="U720" s="4"/>
      <c r="V720" s="4"/>
      <c r="W720" s="4"/>
      <c r="X720" s="4"/>
      <c r="Y720" s="4"/>
      <c r="Z720" s="4"/>
      <c r="AA720" s="4"/>
      <c r="AB720" s="4"/>
      <c r="AC720" s="4"/>
    </row>
    <row r="721" spans="1:29" ht="12.75" x14ac:dyDescent="0.2">
      <c r="A721" s="16"/>
      <c r="B721" s="6"/>
      <c r="C721" s="6"/>
      <c r="D721" s="6"/>
      <c r="E721" s="4"/>
      <c r="F721" s="6"/>
      <c r="G721" s="6"/>
      <c r="H721" s="6"/>
      <c r="I721" s="6"/>
      <c r="J721" s="6"/>
      <c r="K721" s="6"/>
      <c r="L721" s="6"/>
      <c r="M721" s="6"/>
      <c r="N721" s="6"/>
      <c r="O721" s="16"/>
      <c r="P721" s="6"/>
      <c r="Q721" s="4"/>
      <c r="R721" s="4"/>
      <c r="S721" s="4"/>
      <c r="T721" s="4"/>
      <c r="U721" s="4"/>
      <c r="V721" s="4"/>
      <c r="W721" s="4"/>
      <c r="X721" s="4"/>
      <c r="Y721" s="4"/>
      <c r="Z721" s="4"/>
      <c r="AA721" s="4"/>
      <c r="AB721" s="4"/>
      <c r="AC721" s="4"/>
    </row>
    <row r="722" spans="1:29" ht="12.75" x14ac:dyDescent="0.2">
      <c r="A722" s="16"/>
      <c r="B722" s="6"/>
      <c r="C722" s="6"/>
      <c r="D722" s="6"/>
      <c r="E722" s="4"/>
      <c r="F722" s="6"/>
      <c r="G722" s="6"/>
      <c r="H722" s="6"/>
      <c r="I722" s="6"/>
      <c r="J722" s="6"/>
      <c r="K722" s="6"/>
      <c r="L722" s="6"/>
      <c r="M722" s="6"/>
      <c r="N722" s="6"/>
      <c r="O722" s="16"/>
      <c r="P722" s="6"/>
      <c r="Q722" s="4"/>
      <c r="R722" s="4"/>
      <c r="S722" s="4"/>
      <c r="T722" s="4"/>
      <c r="U722" s="4"/>
      <c r="V722" s="4"/>
      <c r="W722" s="4"/>
      <c r="X722" s="4"/>
      <c r="Y722" s="4"/>
      <c r="Z722" s="4"/>
      <c r="AA722" s="4"/>
      <c r="AB722" s="4"/>
      <c r="AC722" s="4"/>
    </row>
    <row r="723" spans="1:29" ht="12.75" x14ac:dyDescent="0.2">
      <c r="A723" s="16"/>
      <c r="B723" s="6"/>
      <c r="C723" s="6"/>
      <c r="D723" s="6"/>
      <c r="E723" s="4"/>
      <c r="F723" s="6"/>
      <c r="G723" s="6"/>
      <c r="H723" s="6"/>
      <c r="I723" s="6"/>
      <c r="J723" s="6"/>
      <c r="K723" s="6"/>
      <c r="L723" s="6"/>
      <c r="M723" s="6"/>
      <c r="N723" s="6"/>
      <c r="O723" s="16"/>
      <c r="P723" s="6"/>
      <c r="Q723" s="4"/>
      <c r="R723" s="4"/>
      <c r="S723" s="4"/>
      <c r="T723" s="4"/>
      <c r="U723" s="4"/>
      <c r="V723" s="4"/>
      <c r="W723" s="4"/>
      <c r="X723" s="4"/>
      <c r="Y723" s="4"/>
      <c r="Z723" s="4"/>
      <c r="AA723" s="4"/>
      <c r="AB723" s="4"/>
      <c r="AC723" s="4"/>
    </row>
    <row r="724" spans="1:29" ht="12.75" x14ac:dyDescent="0.2">
      <c r="A724" s="16"/>
      <c r="B724" s="6"/>
      <c r="C724" s="6"/>
      <c r="D724" s="6"/>
      <c r="E724" s="4"/>
      <c r="F724" s="6"/>
      <c r="G724" s="6"/>
      <c r="H724" s="6"/>
      <c r="I724" s="6"/>
      <c r="J724" s="6"/>
      <c r="K724" s="6"/>
      <c r="L724" s="6"/>
      <c r="M724" s="6"/>
      <c r="N724" s="6"/>
      <c r="O724" s="16"/>
      <c r="P724" s="6"/>
      <c r="Q724" s="4"/>
      <c r="R724" s="4"/>
      <c r="S724" s="4"/>
      <c r="T724" s="4"/>
      <c r="U724" s="4"/>
      <c r="V724" s="4"/>
      <c r="W724" s="4"/>
      <c r="X724" s="4"/>
      <c r="Y724" s="4"/>
      <c r="Z724" s="4"/>
      <c r="AA724" s="4"/>
      <c r="AB724" s="4"/>
      <c r="AC724" s="4"/>
    </row>
    <row r="725" spans="1:29" ht="12.75" x14ac:dyDescent="0.2">
      <c r="A725" s="16"/>
      <c r="B725" s="6"/>
      <c r="C725" s="6"/>
      <c r="D725" s="6"/>
      <c r="E725" s="4"/>
      <c r="F725" s="6"/>
      <c r="G725" s="6"/>
      <c r="H725" s="6"/>
      <c r="I725" s="6"/>
      <c r="J725" s="6"/>
      <c r="K725" s="6"/>
      <c r="L725" s="6"/>
      <c r="M725" s="6"/>
      <c r="N725" s="6"/>
      <c r="O725" s="16"/>
      <c r="P725" s="6"/>
      <c r="Q725" s="4"/>
      <c r="R725" s="4"/>
      <c r="S725" s="4"/>
      <c r="T725" s="4"/>
      <c r="U725" s="4"/>
      <c r="V725" s="4"/>
      <c r="W725" s="4"/>
      <c r="X725" s="4"/>
      <c r="Y725" s="4"/>
      <c r="Z725" s="4"/>
      <c r="AA725" s="4"/>
      <c r="AB725" s="4"/>
      <c r="AC725" s="4"/>
    </row>
    <row r="726" spans="1:29" ht="12.75" x14ac:dyDescent="0.2">
      <c r="A726" s="16"/>
      <c r="B726" s="6"/>
      <c r="C726" s="6"/>
      <c r="D726" s="6"/>
      <c r="E726" s="4"/>
      <c r="F726" s="6"/>
      <c r="G726" s="6"/>
      <c r="H726" s="6"/>
      <c r="I726" s="6"/>
      <c r="J726" s="6"/>
      <c r="K726" s="6"/>
      <c r="L726" s="6"/>
      <c r="M726" s="6"/>
      <c r="N726" s="6"/>
      <c r="O726" s="16"/>
      <c r="P726" s="6"/>
      <c r="Q726" s="4"/>
      <c r="R726" s="4"/>
      <c r="S726" s="4"/>
      <c r="T726" s="4"/>
      <c r="U726" s="4"/>
      <c r="V726" s="4"/>
      <c r="W726" s="4"/>
      <c r="X726" s="4"/>
      <c r="Y726" s="4"/>
      <c r="Z726" s="4"/>
      <c r="AA726" s="4"/>
      <c r="AB726" s="4"/>
      <c r="AC726" s="4"/>
    </row>
    <row r="727" spans="1:29" ht="12.75" x14ac:dyDescent="0.2">
      <c r="A727" s="16"/>
      <c r="B727" s="6"/>
      <c r="C727" s="6"/>
      <c r="D727" s="6"/>
      <c r="E727" s="4"/>
      <c r="F727" s="6"/>
      <c r="G727" s="6"/>
      <c r="H727" s="6"/>
      <c r="I727" s="6"/>
      <c r="J727" s="6"/>
      <c r="K727" s="6"/>
      <c r="L727" s="6"/>
      <c r="M727" s="6"/>
      <c r="N727" s="6"/>
      <c r="O727" s="16"/>
      <c r="P727" s="6"/>
      <c r="Q727" s="4"/>
      <c r="R727" s="4"/>
      <c r="S727" s="4"/>
      <c r="T727" s="4"/>
      <c r="U727" s="4"/>
      <c r="V727" s="4"/>
      <c r="W727" s="4"/>
      <c r="X727" s="4"/>
      <c r="Y727" s="4"/>
      <c r="Z727" s="4"/>
      <c r="AA727" s="4"/>
      <c r="AB727" s="4"/>
      <c r="AC727" s="4"/>
    </row>
    <row r="728" spans="1:29" ht="12.75" x14ac:dyDescent="0.2">
      <c r="A728" s="16"/>
      <c r="B728" s="6"/>
      <c r="C728" s="6"/>
      <c r="D728" s="6"/>
      <c r="E728" s="4"/>
      <c r="F728" s="6"/>
      <c r="G728" s="6"/>
      <c r="H728" s="6"/>
      <c r="I728" s="6"/>
      <c r="J728" s="6"/>
      <c r="K728" s="6"/>
      <c r="L728" s="6"/>
      <c r="M728" s="6"/>
      <c r="N728" s="6"/>
      <c r="O728" s="16"/>
      <c r="P728" s="6"/>
      <c r="Q728" s="4"/>
      <c r="R728" s="4"/>
      <c r="S728" s="4"/>
      <c r="T728" s="4"/>
      <c r="U728" s="4"/>
      <c r="V728" s="4"/>
      <c r="W728" s="4"/>
      <c r="X728" s="4"/>
      <c r="Y728" s="4"/>
      <c r="Z728" s="4"/>
      <c r="AA728" s="4"/>
      <c r="AB728" s="4"/>
      <c r="AC728" s="4"/>
    </row>
    <row r="729" spans="1:29" ht="12.75" x14ac:dyDescent="0.2">
      <c r="A729" s="16"/>
      <c r="B729" s="6"/>
      <c r="C729" s="6"/>
      <c r="D729" s="6"/>
      <c r="E729" s="4"/>
      <c r="F729" s="6"/>
      <c r="G729" s="6"/>
      <c r="H729" s="6"/>
      <c r="I729" s="6"/>
      <c r="J729" s="6"/>
      <c r="K729" s="6"/>
      <c r="L729" s="6"/>
      <c r="M729" s="6"/>
      <c r="N729" s="6"/>
      <c r="O729" s="16"/>
      <c r="P729" s="6"/>
      <c r="Q729" s="4"/>
      <c r="R729" s="4"/>
      <c r="S729" s="4"/>
      <c r="T729" s="4"/>
      <c r="U729" s="4"/>
      <c r="V729" s="4"/>
      <c r="W729" s="4"/>
      <c r="X729" s="4"/>
      <c r="Y729" s="4"/>
      <c r="Z729" s="4"/>
      <c r="AA729" s="4"/>
      <c r="AB729" s="4"/>
      <c r="AC729" s="4"/>
    </row>
    <row r="730" spans="1:29" ht="12.75" x14ac:dyDescent="0.2">
      <c r="A730" s="16"/>
      <c r="B730" s="6"/>
      <c r="C730" s="6"/>
      <c r="D730" s="6"/>
      <c r="E730" s="4"/>
      <c r="F730" s="6"/>
      <c r="G730" s="6"/>
      <c r="H730" s="6"/>
      <c r="I730" s="6"/>
      <c r="J730" s="6"/>
      <c r="K730" s="6"/>
      <c r="L730" s="6"/>
      <c r="M730" s="6"/>
      <c r="N730" s="6"/>
      <c r="O730" s="16"/>
      <c r="P730" s="6"/>
      <c r="Q730" s="4"/>
      <c r="R730" s="4"/>
      <c r="S730" s="4"/>
      <c r="T730" s="4"/>
      <c r="U730" s="4"/>
      <c r="V730" s="4"/>
      <c r="W730" s="4"/>
      <c r="X730" s="4"/>
      <c r="Y730" s="4"/>
      <c r="Z730" s="4"/>
      <c r="AA730" s="4"/>
      <c r="AB730" s="4"/>
      <c r="AC730" s="4"/>
    </row>
    <row r="731" spans="1:29" ht="12.75" x14ac:dyDescent="0.2">
      <c r="A731" s="16"/>
      <c r="B731" s="6"/>
      <c r="C731" s="6"/>
      <c r="D731" s="6"/>
      <c r="E731" s="4"/>
      <c r="F731" s="6"/>
      <c r="G731" s="6"/>
      <c r="H731" s="6"/>
      <c r="I731" s="6"/>
      <c r="J731" s="6"/>
      <c r="K731" s="6"/>
      <c r="L731" s="6"/>
      <c r="M731" s="6"/>
      <c r="N731" s="6"/>
      <c r="O731" s="16"/>
      <c r="P731" s="6"/>
      <c r="Q731" s="4"/>
      <c r="R731" s="4"/>
      <c r="S731" s="4"/>
      <c r="T731" s="4"/>
      <c r="U731" s="4"/>
      <c r="V731" s="4"/>
      <c r="W731" s="4"/>
      <c r="X731" s="4"/>
      <c r="Y731" s="4"/>
      <c r="Z731" s="4"/>
      <c r="AA731" s="4"/>
      <c r="AB731" s="4"/>
      <c r="AC731" s="4"/>
    </row>
    <row r="732" spans="1:29" ht="12.75" x14ac:dyDescent="0.2">
      <c r="A732" s="16"/>
      <c r="B732" s="6"/>
      <c r="C732" s="6"/>
      <c r="D732" s="6"/>
      <c r="E732" s="4"/>
      <c r="F732" s="6"/>
      <c r="G732" s="6"/>
      <c r="H732" s="6"/>
      <c r="I732" s="6"/>
      <c r="J732" s="6"/>
      <c r="K732" s="6"/>
      <c r="L732" s="6"/>
      <c r="M732" s="6"/>
      <c r="N732" s="6"/>
      <c r="O732" s="16"/>
      <c r="P732" s="6"/>
      <c r="Q732" s="4"/>
      <c r="R732" s="4"/>
      <c r="S732" s="4"/>
      <c r="T732" s="4"/>
      <c r="U732" s="4"/>
      <c r="V732" s="4"/>
      <c r="W732" s="4"/>
      <c r="X732" s="4"/>
      <c r="Y732" s="4"/>
      <c r="Z732" s="4"/>
      <c r="AA732" s="4"/>
      <c r="AB732" s="4"/>
      <c r="AC732" s="4"/>
    </row>
    <row r="733" spans="1:29" ht="12.75" x14ac:dyDescent="0.2">
      <c r="A733" s="16"/>
      <c r="B733" s="6"/>
      <c r="C733" s="6"/>
      <c r="D733" s="6"/>
      <c r="E733" s="4"/>
      <c r="F733" s="6"/>
      <c r="G733" s="6"/>
      <c r="H733" s="6"/>
      <c r="I733" s="6"/>
      <c r="J733" s="6"/>
      <c r="K733" s="6"/>
      <c r="L733" s="6"/>
      <c r="M733" s="6"/>
      <c r="N733" s="6"/>
      <c r="O733" s="16"/>
      <c r="P733" s="6"/>
      <c r="Q733" s="4"/>
      <c r="R733" s="4"/>
      <c r="S733" s="4"/>
      <c r="T733" s="4"/>
      <c r="U733" s="4"/>
      <c r="V733" s="4"/>
      <c r="W733" s="4"/>
      <c r="X733" s="4"/>
      <c r="Y733" s="4"/>
      <c r="Z733" s="4"/>
      <c r="AA733" s="4"/>
      <c r="AB733" s="4"/>
      <c r="AC733" s="4"/>
    </row>
    <row r="734" spans="1:29" ht="12.75" x14ac:dyDescent="0.2">
      <c r="A734" s="16"/>
      <c r="B734" s="6"/>
      <c r="C734" s="6"/>
      <c r="D734" s="6"/>
      <c r="E734" s="4"/>
      <c r="F734" s="6"/>
      <c r="G734" s="6"/>
      <c r="H734" s="6"/>
      <c r="I734" s="6"/>
      <c r="J734" s="6"/>
      <c r="K734" s="6"/>
      <c r="L734" s="6"/>
      <c r="M734" s="6"/>
      <c r="N734" s="6"/>
      <c r="O734" s="16"/>
      <c r="P734" s="6"/>
      <c r="Q734" s="4"/>
      <c r="R734" s="4"/>
      <c r="S734" s="4"/>
      <c r="T734" s="4"/>
      <c r="U734" s="4"/>
      <c r="V734" s="4"/>
      <c r="W734" s="4"/>
      <c r="X734" s="4"/>
      <c r="Y734" s="4"/>
      <c r="Z734" s="4"/>
      <c r="AA734" s="4"/>
      <c r="AB734" s="4"/>
      <c r="AC734" s="4"/>
    </row>
    <row r="735" spans="1:29" ht="12.75" x14ac:dyDescent="0.2">
      <c r="A735" s="16"/>
      <c r="B735" s="6"/>
      <c r="C735" s="6"/>
      <c r="D735" s="6"/>
      <c r="E735" s="4"/>
      <c r="F735" s="6"/>
      <c r="G735" s="6"/>
      <c r="H735" s="6"/>
      <c r="I735" s="6"/>
      <c r="J735" s="6"/>
      <c r="K735" s="6"/>
      <c r="L735" s="6"/>
      <c r="M735" s="6"/>
      <c r="N735" s="6"/>
      <c r="O735" s="16"/>
      <c r="P735" s="6"/>
      <c r="Q735" s="4"/>
      <c r="R735" s="4"/>
      <c r="S735" s="4"/>
      <c r="T735" s="4"/>
      <c r="U735" s="4"/>
      <c r="V735" s="4"/>
      <c r="W735" s="4"/>
      <c r="X735" s="4"/>
      <c r="Y735" s="4"/>
      <c r="Z735" s="4"/>
      <c r="AA735" s="4"/>
      <c r="AB735" s="4"/>
      <c r="AC735" s="4"/>
    </row>
    <row r="736" spans="1:29" ht="12.75" x14ac:dyDescent="0.2">
      <c r="A736" s="16"/>
      <c r="B736" s="6"/>
      <c r="C736" s="6"/>
      <c r="D736" s="6"/>
      <c r="E736" s="4"/>
      <c r="F736" s="6"/>
      <c r="G736" s="6"/>
      <c r="H736" s="6"/>
      <c r="I736" s="6"/>
      <c r="J736" s="6"/>
      <c r="K736" s="6"/>
      <c r="L736" s="6"/>
      <c r="M736" s="6"/>
      <c r="N736" s="6"/>
      <c r="O736" s="16"/>
      <c r="P736" s="6"/>
      <c r="Q736" s="4"/>
      <c r="R736" s="4"/>
      <c r="S736" s="4"/>
      <c r="T736" s="4"/>
      <c r="U736" s="4"/>
      <c r="V736" s="4"/>
      <c r="W736" s="4"/>
      <c r="X736" s="4"/>
      <c r="Y736" s="4"/>
      <c r="Z736" s="4"/>
      <c r="AA736" s="4"/>
      <c r="AB736" s="4"/>
      <c r="AC736" s="4"/>
    </row>
    <row r="737" spans="1:29" ht="12.75" x14ac:dyDescent="0.2">
      <c r="A737" s="16"/>
      <c r="B737" s="6"/>
      <c r="C737" s="6"/>
      <c r="D737" s="6"/>
      <c r="E737" s="4"/>
      <c r="F737" s="6"/>
      <c r="G737" s="6"/>
      <c r="H737" s="6"/>
      <c r="I737" s="6"/>
      <c r="J737" s="6"/>
      <c r="K737" s="6"/>
      <c r="L737" s="6"/>
      <c r="M737" s="6"/>
      <c r="N737" s="6"/>
      <c r="O737" s="16"/>
      <c r="P737" s="6"/>
      <c r="Q737" s="4"/>
      <c r="R737" s="4"/>
      <c r="S737" s="4"/>
      <c r="T737" s="4"/>
      <c r="U737" s="4"/>
      <c r="V737" s="4"/>
      <c r="W737" s="4"/>
      <c r="X737" s="4"/>
      <c r="Y737" s="4"/>
      <c r="Z737" s="4"/>
      <c r="AA737" s="4"/>
      <c r="AB737" s="4"/>
      <c r="AC737" s="4"/>
    </row>
    <row r="738" spans="1:29" ht="12.75" x14ac:dyDescent="0.2">
      <c r="A738" s="16"/>
      <c r="B738" s="6"/>
      <c r="C738" s="6"/>
      <c r="D738" s="6"/>
      <c r="E738" s="4"/>
      <c r="F738" s="6"/>
      <c r="G738" s="6"/>
      <c r="H738" s="6"/>
      <c r="I738" s="6"/>
      <c r="J738" s="6"/>
      <c r="K738" s="6"/>
      <c r="L738" s="6"/>
      <c r="M738" s="6"/>
      <c r="N738" s="6"/>
      <c r="O738" s="16"/>
      <c r="P738" s="6"/>
      <c r="Q738" s="4"/>
      <c r="R738" s="4"/>
      <c r="S738" s="4"/>
      <c r="T738" s="4"/>
      <c r="U738" s="4"/>
      <c r="V738" s="4"/>
      <c r="W738" s="4"/>
      <c r="X738" s="4"/>
      <c r="Y738" s="4"/>
      <c r="Z738" s="4"/>
      <c r="AA738" s="4"/>
      <c r="AB738" s="4"/>
      <c r="AC738" s="4"/>
    </row>
    <row r="739" spans="1:29" ht="12.75" x14ac:dyDescent="0.2">
      <c r="A739" s="16"/>
      <c r="B739" s="6"/>
      <c r="C739" s="6"/>
      <c r="D739" s="6"/>
      <c r="E739" s="4"/>
      <c r="F739" s="6"/>
      <c r="G739" s="6"/>
      <c r="H739" s="6"/>
      <c r="I739" s="6"/>
      <c r="J739" s="6"/>
      <c r="K739" s="6"/>
      <c r="L739" s="6"/>
      <c r="M739" s="6"/>
      <c r="N739" s="6"/>
      <c r="O739" s="16"/>
      <c r="P739" s="6"/>
      <c r="Q739" s="4"/>
      <c r="R739" s="4"/>
      <c r="S739" s="4"/>
      <c r="T739" s="4"/>
      <c r="U739" s="4"/>
      <c r="V739" s="4"/>
      <c r="W739" s="4"/>
      <c r="X739" s="4"/>
      <c r="Y739" s="4"/>
      <c r="Z739" s="4"/>
      <c r="AA739" s="4"/>
      <c r="AB739" s="4"/>
      <c r="AC739" s="4"/>
    </row>
    <row r="740" spans="1:29" ht="12.75" x14ac:dyDescent="0.2">
      <c r="A740" s="16"/>
      <c r="B740" s="6"/>
      <c r="C740" s="6"/>
      <c r="D740" s="6"/>
      <c r="E740" s="4"/>
      <c r="F740" s="6"/>
      <c r="G740" s="6"/>
      <c r="H740" s="6"/>
      <c r="I740" s="6"/>
      <c r="J740" s="6"/>
      <c r="K740" s="6"/>
      <c r="L740" s="6"/>
      <c r="M740" s="6"/>
      <c r="N740" s="6"/>
      <c r="O740" s="16"/>
      <c r="P740" s="6"/>
      <c r="Q740" s="4"/>
      <c r="R740" s="4"/>
      <c r="S740" s="4"/>
      <c r="T740" s="4"/>
      <c r="U740" s="4"/>
      <c r="V740" s="4"/>
      <c r="W740" s="4"/>
      <c r="X740" s="4"/>
      <c r="Y740" s="4"/>
      <c r="Z740" s="4"/>
      <c r="AA740" s="4"/>
      <c r="AB740" s="4"/>
      <c r="AC740" s="4"/>
    </row>
    <row r="741" spans="1:29" ht="12.75" x14ac:dyDescent="0.2">
      <c r="A741" s="16"/>
      <c r="B741" s="6"/>
      <c r="C741" s="6"/>
      <c r="D741" s="6"/>
      <c r="E741" s="4"/>
      <c r="F741" s="6"/>
      <c r="G741" s="6"/>
      <c r="H741" s="6"/>
      <c r="I741" s="6"/>
      <c r="J741" s="6"/>
      <c r="K741" s="6"/>
      <c r="L741" s="6"/>
      <c r="M741" s="6"/>
      <c r="N741" s="6"/>
      <c r="O741" s="16"/>
      <c r="P741" s="6"/>
      <c r="Q741" s="4"/>
      <c r="R741" s="4"/>
      <c r="S741" s="4"/>
      <c r="T741" s="4"/>
      <c r="U741" s="4"/>
      <c r="V741" s="4"/>
      <c r="W741" s="4"/>
      <c r="X741" s="4"/>
      <c r="Y741" s="4"/>
      <c r="Z741" s="4"/>
      <c r="AA741" s="4"/>
      <c r="AB741" s="4"/>
      <c r="AC741" s="4"/>
    </row>
    <row r="742" spans="1:29" ht="12.75" x14ac:dyDescent="0.2">
      <c r="A742" s="16"/>
      <c r="B742" s="6"/>
      <c r="C742" s="6"/>
      <c r="D742" s="6"/>
      <c r="E742" s="4"/>
      <c r="F742" s="6"/>
      <c r="G742" s="6"/>
      <c r="H742" s="6"/>
      <c r="I742" s="6"/>
      <c r="J742" s="6"/>
      <c r="K742" s="6"/>
      <c r="L742" s="6"/>
      <c r="M742" s="6"/>
      <c r="N742" s="6"/>
      <c r="O742" s="16"/>
      <c r="P742" s="6"/>
      <c r="Q742" s="4"/>
      <c r="R742" s="4"/>
      <c r="S742" s="4"/>
      <c r="T742" s="4"/>
      <c r="U742" s="4"/>
      <c r="V742" s="4"/>
      <c r="W742" s="4"/>
      <c r="X742" s="4"/>
      <c r="Y742" s="4"/>
      <c r="Z742" s="4"/>
      <c r="AA742" s="4"/>
      <c r="AB742" s="4"/>
      <c r="AC742" s="4"/>
    </row>
    <row r="743" spans="1:29" ht="12.75" x14ac:dyDescent="0.2">
      <c r="A743" s="16"/>
      <c r="B743" s="6"/>
      <c r="C743" s="6"/>
      <c r="D743" s="6"/>
      <c r="E743" s="4"/>
      <c r="F743" s="6"/>
      <c r="G743" s="6"/>
      <c r="H743" s="6"/>
      <c r="I743" s="6"/>
      <c r="J743" s="6"/>
      <c r="K743" s="6"/>
      <c r="L743" s="6"/>
      <c r="M743" s="6"/>
      <c r="N743" s="6"/>
      <c r="O743" s="16"/>
      <c r="P743" s="6"/>
      <c r="Q743" s="4"/>
      <c r="R743" s="4"/>
      <c r="S743" s="4"/>
      <c r="T743" s="4"/>
      <c r="U743" s="4"/>
      <c r="V743" s="4"/>
      <c r="W743" s="4"/>
      <c r="X743" s="4"/>
      <c r="Y743" s="4"/>
      <c r="Z743" s="4"/>
      <c r="AA743" s="4"/>
      <c r="AB743" s="4"/>
      <c r="AC743" s="4"/>
    </row>
    <row r="744" spans="1:29" ht="12.75" x14ac:dyDescent="0.2">
      <c r="A744" s="16"/>
      <c r="B744" s="6"/>
      <c r="C744" s="6"/>
      <c r="D744" s="6"/>
      <c r="E744" s="4"/>
      <c r="F744" s="6"/>
      <c r="G744" s="6"/>
      <c r="H744" s="6"/>
      <c r="I744" s="6"/>
      <c r="J744" s="6"/>
      <c r="K744" s="6"/>
      <c r="L744" s="6"/>
      <c r="M744" s="6"/>
      <c r="N744" s="6"/>
      <c r="O744" s="16"/>
      <c r="P744" s="6"/>
      <c r="Q744" s="4"/>
      <c r="R744" s="4"/>
      <c r="S744" s="4"/>
      <c r="T744" s="4"/>
      <c r="U744" s="4"/>
      <c r="V744" s="4"/>
      <c r="W744" s="4"/>
      <c r="X744" s="4"/>
      <c r="Y744" s="4"/>
      <c r="Z744" s="4"/>
      <c r="AA744" s="4"/>
      <c r="AB744" s="4"/>
      <c r="AC744" s="4"/>
    </row>
    <row r="745" spans="1:29" ht="12.75" x14ac:dyDescent="0.2">
      <c r="A745" s="16"/>
      <c r="B745" s="6"/>
      <c r="C745" s="6"/>
      <c r="D745" s="6"/>
      <c r="E745" s="4"/>
      <c r="F745" s="6"/>
      <c r="G745" s="6"/>
      <c r="H745" s="6"/>
      <c r="I745" s="6"/>
      <c r="J745" s="6"/>
      <c r="K745" s="6"/>
      <c r="L745" s="6"/>
      <c r="M745" s="6"/>
      <c r="N745" s="6"/>
      <c r="O745" s="16"/>
      <c r="P745" s="6"/>
      <c r="Q745" s="4"/>
      <c r="R745" s="4"/>
      <c r="S745" s="4"/>
      <c r="T745" s="4"/>
      <c r="U745" s="4"/>
      <c r="V745" s="4"/>
      <c r="W745" s="4"/>
      <c r="X745" s="4"/>
      <c r="Y745" s="4"/>
      <c r="Z745" s="4"/>
      <c r="AA745" s="4"/>
      <c r="AB745" s="4"/>
      <c r="AC745" s="4"/>
    </row>
    <row r="746" spans="1:29" ht="12.75" x14ac:dyDescent="0.2">
      <c r="A746" s="16"/>
      <c r="B746" s="6"/>
      <c r="C746" s="6"/>
      <c r="D746" s="6"/>
      <c r="E746" s="4"/>
      <c r="F746" s="6"/>
      <c r="G746" s="6"/>
      <c r="H746" s="6"/>
      <c r="I746" s="6"/>
      <c r="J746" s="6"/>
      <c r="K746" s="6"/>
      <c r="L746" s="6"/>
      <c r="M746" s="6"/>
      <c r="N746" s="6"/>
      <c r="O746" s="16"/>
      <c r="P746" s="6"/>
      <c r="Q746" s="4"/>
      <c r="R746" s="4"/>
      <c r="S746" s="4"/>
      <c r="T746" s="4"/>
      <c r="U746" s="4"/>
      <c r="V746" s="4"/>
      <c r="W746" s="4"/>
      <c r="X746" s="4"/>
      <c r="Y746" s="4"/>
      <c r="Z746" s="4"/>
      <c r="AA746" s="4"/>
      <c r="AB746" s="4"/>
      <c r="AC746" s="4"/>
    </row>
    <row r="747" spans="1:29" ht="12.75" x14ac:dyDescent="0.2">
      <c r="A747" s="16"/>
      <c r="B747" s="6"/>
      <c r="C747" s="6"/>
      <c r="D747" s="6"/>
      <c r="E747" s="4"/>
      <c r="F747" s="6"/>
      <c r="G747" s="6"/>
      <c r="H747" s="6"/>
      <c r="I747" s="6"/>
      <c r="J747" s="6"/>
      <c r="K747" s="6"/>
      <c r="L747" s="6"/>
      <c r="M747" s="6"/>
      <c r="N747" s="6"/>
      <c r="O747" s="16"/>
      <c r="P747" s="6"/>
      <c r="Q747" s="4"/>
      <c r="R747" s="4"/>
      <c r="S747" s="4"/>
      <c r="T747" s="4"/>
      <c r="U747" s="4"/>
      <c r="V747" s="4"/>
      <c r="W747" s="4"/>
      <c r="X747" s="4"/>
      <c r="Y747" s="4"/>
      <c r="Z747" s="4"/>
      <c r="AA747" s="4"/>
      <c r="AB747" s="4"/>
      <c r="AC747" s="4"/>
    </row>
    <row r="748" spans="1:29" ht="12.75" x14ac:dyDescent="0.2">
      <c r="A748" s="16"/>
      <c r="B748" s="6"/>
      <c r="C748" s="6"/>
      <c r="D748" s="6"/>
      <c r="E748" s="4"/>
      <c r="F748" s="6"/>
      <c r="G748" s="6"/>
      <c r="H748" s="6"/>
      <c r="I748" s="6"/>
      <c r="J748" s="6"/>
      <c r="K748" s="6"/>
      <c r="L748" s="6"/>
      <c r="M748" s="6"/>
      <c r="N748" s="6"/>
      <c r="O748" s="16"/>
      <c r="P748" s="6"/>
      <c r="Q748" s="4"/>
      <c r="R748" s="4"/>
      <c r="S748" s="4"/>
      <c r="T748" s="4"/>
      <c r="U748" s="4"/>
      <c r="V748" s="4"/>
      <c r="W748" s="4"/>
      <c r="X748" s="4"/>
      <c r="Y748" s="4"/>
      <c r="Z748" s="4"/>
      <c r="AA748" s="4"/>
      <c r="AB748" s="4"/>
      <c r="AC748" s="4"/>
    </row>
    <row r="749" spans="1:29" ht="12.75" x14ac:dyDescent="0.2">
      <c r="A749" s="16"/>
      <c r="B749" s="6"/>
      <c r="C749" s="6"/>
      <c r="D749" s="6"/>
      <c r="E749" s="4"/>
      <c r="F749" s="6"/>
      <c r="G749" s="6"/>
      <c r="H749" s="6"/>
      <c r="I749" s="6"/>
      <c r="J749" s="6"/>
      <c r="K749" s="6"/>
      <c r="L749" s="6"/>
      <c r="M749" s="6"/>
      <c r="N749" s="6"/>
      <c r="O749" s="16"/>
      <c r="P749" s="6"/>
      <c r="Q749" s="4"/>
      <c r="R749" s="4"/>
      <c r="S749" s="4"/>
      <c r="T749" s="4"/>
      <c r="U749" s="4"/>
      <c r="V749" s="4"/>
      <c r="W749" s="4"/>
      <c r="X749" s="4"/>
      <c r="Y749" s="4"/>
      <c r="Z749" s="4"/>
      <c r="AA749" s="4"/>
      <c r="AB749" s="4"/>
      <c r="AC749" s="4"/>
    </row>
    <row r="750" spans="1:29" ht="12.75" x14ac:dyDescent="0.2">
      <c r="A750" s="16"/>
      <c r="B750" s="6"/>
      <c r="C750" s="6"/>
      <c r="D750" s="6"/>
      <c r="E750" s="4"/>
      <c r="F750" s="6"/>
      <c r="G750" s="6"/>
      <c r="H750" s="6"/>
      <c r="I750" s="6"/>
      <c r="J750" s="6"/>
      <c r="K750" s="6"/>
      <c r="L750" s="6"/>
      <c r="M750" s="6"/>
      <c r="N750" s="6"/>
      <c r="O750" s="16"/>
      <c r="P750" s="6"/>
      <c r="Q750" s="4"/>
      <c r="R750" s="4"/>
      <c r="S750" s="4"/>
      <c r="T750" s="4"/>
      <c r="U750" s="4"/>
      <c r="V750" s="4"/>
      <c r="W750" s="4"/>
      <c r="X750" s="4"/>
      <c r="Y750" s="4"/>
      <c r="Z750" s="4"/>
      <c r="AA750" s="4"/>
      <c r="AB750" s="4"/>
      <c r="AC750" s="4"/>
    </row>
    <row r="751" spans="1:29" ht="12.75" x14ac:dyDescent="0.2">
      <c r="A751" s="16"/>
      <c r="B751" s="6"/>
      <c r="C751" s="6"/>
      <c r="D751" s="6"/>
      <c r="E751" s="4"/>
      <c r="F751" s="6"/>
      <c r="G751" s="6"/>
      <c r="H751" s="6"/>
      <c r="I751" s="6"/>
      <c r="J751" s="6"/>
      <c r="K751" s="6"/>
      <c r="L751" s="6"/>
      <c r="M751" s="6"/>
      <c r="N751" s="6"/>
      <c r="O751" s="16"/>
      <c r="P751" s="6"/>
      <c r="Q751" s="4"/>
      <c r="R751" s="4"/>
      <c r="S751" s="4"/>
      <c r="T751" s="4"/>
      <c r="U751" s="4"/>
      <c r="V751" s="4"/>
      <c r="W751" s="4"/>
      <c r="X751" s="4"/>
      <c r="Y751" s="4"/>
      <c r="Z751" s="4"/>
      <c r="AA751" s="4"/>
      <c r="AB751" s="4"/>
      <c r="AC751" s="4"/>
    </row>
    <row r="752" spans="1:29" ht="12.75" x14ac:dyDescent="0.2">
      <c r="A752" s="16"/>
      <c r="B752" s="6"/>
      <c r="C752" s="6"/>
      <c r="D752" s="6"/>
      <c r="E752" s="4"/>
      <c r="F752" s="6"/>
      <c r="G752" s="6"/>
      <c r="H752" s="6"/>
      <c r="I752" s="6"/>
      <c r="J752" s="6"/>
      <c r="K752" s="6"/>
      <c r="L752" s="6"/>
      <c r="M752" s="6"/>
      <c r="N752" s="6"/>
      <c r="O752" s="16"/>
      <c r="P752" s="6"/>
      <c r="Q752" s="4"/>
      <c r="R752" s="4"/>
      <c r="S752" s="4"/>
      <c r="T752" s="4"/>
      <c r="U752" s="4"/>
      <c r="V752" s="4"/>
      <c r="W752" s="4"/>
      <c r="X752" s="4"/>
      <c r="Y752" s="4"/>
      <c r="Z752" s="4"/>
      <c r="AA752" s="4"/>
      <c r="AB752" s="4"/>
      <c r="AC752" s="4"/>
    </row>
    <row r="753" spans="1:29" ht="12.75" x14ac:dyDescent="0.2">
      <c r="A753" s="16"/>
      <c r="B753" s="6"/>
      <c r="C753" s="6"/>
      <c r="D753" s="6"/>
      <c r="E753" s="4"/>
      <c r="F753" s="6"/>
      <c r="G753" s="6"/>
      <c r="H753" s="6"/>
      <c r="I753" s="6"/>
      <c r="J753" s="6"/>
      <c r="K753" s="6"/>
      <c r="L753" s="6"/>
      <c r="M753" s="6"/>
      <c r="N753" s="6"/>
      <c r="O753" s="16"/>
      <c r="P753" s="6"/>
      <c r="Q753" s="4"/>
      <c r="R753" s="4"/>
      <c r="S753" s="4"/>
      <c r="T753" s="4"/>
      <c r="U753" s="4"/>
      <c r="V753" s="4"/>
      <c r="W753" s="4"/>
      <c r="X753" s="4"/>
      <c r="Y753" s="4"/>
      <c r="Z753" s="4"/>
      <c r="AA753" s="4"/>
      <c r="AB753" s="4"/>
      <c r="AC753" s="4"/>
    </row>
    <row r="754" spans="1:29" ht="12.75" x14ac:dyDescent="0.2">
      <c r="A754" s="16"/>
      <c r="B754" s="6"/>
      <c r="C754" s="6"/>
      <c r="D754" s="6"/>
      <c r="E754" s="4"/>
      <c r="F754" s="6"/>
      <c r="G754" s="6"/>
      <c r="H754" s="6"/>
      <c r="I754" s="6"/>
      <c r="J754" s="6"/>
      <c r="K754" s="6"/>
      <c r="L754" s="6"/>
      <c r="M754" s="6"/>
      <c r="N754" s="6"/>
      <c r="O754" s="16"/>
      <c r="P754" s="6"/>
      <c r="Q754" s="4"/>
      <c r="R754" s="4"/>
      <c r="S754" s="4"/>
      <c r="T754" s="4"/>
      <c r="U754" s="4"/>
      <c r="V754" s="4"/>
      <c r="W754" s="4"/>
      <c r="X754" s="4"/>
      <c r="Y754" s="4"/>
      <c r="Z754" s="4"/>
      <c r="AA754" s="4"/>
      <c r="AB754" s="4"/>
      <c r="AC754" s="4"/>
    </row>
    <row r="755" spans="1:29" ht="12.75" x14ac:dyDescent="0.2">
      <c r="A755" s="16"/>
      <c r="B755" s="6"/>
      <c r="C755" s="6"/>
      <c r="D755" s="6"/>
      <c r="E755" s="4"/>
      <c r="F755" s="6"/>
      <c r="G755" s="6"/>
      <c r="H755" s="6"/>
      <c r="I755" s="6"/>
      <c r="J755" s="6"/>
      <c r="K755" s="6"/>
      <c r="L755" s="6"/>
      <c r="M755" s="6"/>
      <c r="N755" s="6"/>
      <c r="O755" s="16"/>
      <c r="P755" s="6"/>
      <c r="Q755" s="4"/>
      <c r="R755" s="4"/>
      <c r="S755" s="4"/>
      <c r="T755" s="4"/>
      <c r="U755" s="4"/>
      <c r="V755" s="4"/>
      <c r="W755" s="4"/>
      <c r="X755" s="4"/>
      <c r="Y755" s="4"/>
      <c r="Z755" s="4"/>
      <c r="AA755" s="4"/>
      <c r="AB755" s="4"/>
      <c r="AC755" s="4"/>
    </row>
    <row r="756" spans="1:29" ht="12.75" x14ac:dyDescent="0.2">
      <c r="A756" s="16"/>
      <c r="B756" s="6"/>
      <c r="C756" s="6"/>
      <c r="D756" s="6"/>
      <c r="E756" s="4"/>
      <c r="F756" s="6"/>
      <c r="G756" s="6"/>
      <c r="H756" s="6"/>
      <c r="I756" s="6"/>
      <c r="J756" s="6"/>
      <c r="K756" s="6"/>
      <c r="L756" s="6"/>
      <c r="M756" s="6"/>
      <c r="N756" s="6"/>
      <c r="O756" s="16"/>
      <c r="P756" s="6"/>
      <c r="Q756" s="4"/>
      <c r="R756" s="4"/>
      <c r="S756" s="4"/>
      <c r="T756" s="4"/>
      <c r="U756" s="4"/>
      <c r="V756" s="4"/>
      <c r="W756" s="4"/>
      <c r="X756" s="4"/>
      <c r="Y756" s="4"/>
      <c r="Z756" s="4"/>
      <c r="AA756" s="4"/>
      <c r="AB756" s="4"/>
      <c r="AC756" s="4"/>
    </row>
    <row r="757" spans="1:29" ht="12.75" x14ac:dyDescent="0.2">
      <c r="A757" s="16"/>
      <c r="B757" s="6"/>
      <c r="C757" s="6"/>
      <c r="D757" s="6"/>
      <c r="E757" s="4"/>
      <c r="F757" s="6"/>
      <c r="G757" s="6"/>
      <c r="H757" s="6"/>
      <c r="I757" s="6"/>
      <c r="J757" s="6"/>
      <c r="K757" s="6"/>
      <c r="L757" s="6"/>
      <c r="M757" s="6"/>
      <c r="N757" s="6"/>
      <c r="O757" s="16"/>
      <c r="P757" s="6"/>
      <c r="Q757" s="4"/>
      <c r="R757" s="4"/>
      <c r="S757" s="4"/>
      <c r="T757" s="4"/>
      <c r="U757" s="4"/>
      <c r="V757" s="4"/>
      <c r="W757" s="4"/>
      <c r="X757" s="4"/>
      <c r="Y757" s="4"/>
      <c r="Z757" s="4"/>
      <c r="AA757" s="4"/>
      <c r="AB757" s="4"/>
      <c r="AC757" s="4"/>
    </row>
    <row r="758" spans="1:29" ht="12.75" x14ac:dyDescent="0.2">
      <c r="A758" s="16"/>
      <c r="B758" s="6"/>
      <c r="C758" s="6"/>
      <c r="D758" s="6"/>
      <c r="E758" s="4"/>
      <c r="F758" s="6"/>
      <c r="G758" s="6"/>
      <c r="H758" s="6"/>
      <c r="I758" s="6"/>
      <c r="J758" s="6"/>
      <c r="K758" s="6"/>
      <c r="L758" s="6"/>
      <c r="M758" s="6"/>
      <c r="N758" s="6"/>
      <c r="O758" s="16"/>
      <c r="P758" s="6"/>
      <c r="Q758" s="4"/>
      <c r="R758" s="4"/>
      <c r="S758" s="4"/>
      <c r="T758" s="4"/>
      <c r="U758" s="4"/>
      <c r="V758" s="4"/>
      <c r="W758" s="4"/>
      <c r="X758" s="4"/>
      <c r="Y758" s="4"/>
      <c r="Z758" s="4"/>
      <c r="AA758" s="4"/>
      <c r="AB758" s="4"/>
      <c r="AC758" s="4"/>
    </row>
    <row r="759" spans="1:29" ht="12.75" x14ac:dyDescent="0.2">
      <c r="A759" s="16"/>
      <c r="B759" s="6"/>
      <c r="C759" s="6"/>
      <c r="D759" s="6"/>
      <c r="E759" s="4"/>
      <c r="F759" s="6"/>
      <c r="G759" s="6"/>
      <c r="H759" s="6"/>
      <c r="I759" s="6"/>
      <c r="J759" s="6"/>
      <c r="K759" s="6"/>
      <c r="L759" s="6"/>
      <c r="M759" s="6"/>
      <c r="N759" s="6"/>
      <c r="O759" s="16"/>
      <c r="P759" s="6"/>
      <c r="Q759" s="4"/>
      <c r="R759" s="4"/>
      <c r="S759" s="4"/>
      <c r="T759" s="4"/>
      <c r="U759" s="4"/>
      <c r="V759" s="4"/>
      <c r="W759" s="4"/>
      <c r="X759" s="4"/>
      <c r="Y759" s="4"/>
      <c r="Z759" s="4"/>
      <c r="AA759" s="4"/>
      <c r="AB759" s="4"/>
      <c r="AC759" s="4"/>
    </row>
    <row r="760" spans="1:29" ht="12.75" x14ac:dyDescent="0.2">
      <c r="A760" s="16"/>
      <c r="B760" s="6"/>
      <c r="C760" s="6"/>
      <c r="D760" s="6"/>
      <c r="E760" s="4"/>
      <c r="F760" s="6"/>
      <c r="G760" s="6"/>
      <c r="H760" s="6"/>
      <c r="I760" s="6"/>
      <c r="J760" s="6"/>
      <c r="K760" s="6"/>
      <c r="L760" s="6"/>
      <c r="M760" s="6"/>
      <c r="N760" s="6"/>
      <c r="O760" s="16"/>
      <c r="P760" s="6"/>
      <c r="Q760" s="4"/>
      <c r="R760" s="4"/>
      <c r="S760" s="4"/>
      <c r="T760" s="4"/>
      <c r="U760" s="4"/>
      <c r="V760" s="4"/>
      <c r="W760" s="4"/>
      <c r="X760" s="4"/>
      <c r="Y760" s="4"/>
      <c r="Z760" s="4"/>
      <c r="AA760" s="4"/>
      <c r="AB760" s="4"/>
      <c r="AC760" s="4"/>
    </row>
    <row r="761" spans="1:29" ht="12.75" x14ac:dyDescent="0.2">
      <c r="A761" s="16"/>
      <c r="B761" s="6"/>
      <c r="C761" s="6"/>
      <c r="D761" s="6"/>
      <c r="E761" s="4"/>
      <c r="F761" s="6"/>
      <c r="G761" s="6"/>
      <c r="H761" s="6"/>
      <c r="I761" s="6"/>
      <c r="J761" s="6"/>
      <c r="K761" s="6"/>
      <c r="L761" s="6"/>
      <c r="M761" s="6"/>
      <c r="N761" s="6"/>
      <c r="O761" s="16"/>
      <c r="P761" s="6"/>
      <c r="Q761" s="4"/>
      <c r="R761" s="4"/>
      <c r="S761" s="4"/>
      <c r="T761" s="4"/>
      <c r="U761" s="4"/>
      <c r="V761" s="4"/>
      <c r="W761" s="4"/>
      <c r="X761" s="4"/>
      <c r="Y761" s="4"/>
      <c r="Z761" s="4"/>
      <c r="AA761" s="4"/>
      <c r="AB761" s="4"/>
      <c r="AC761" s="4"/>
    </row>
    <row r="762" spans="1:29" ht="12.75" x14ac:dyDescent="0.2">
      <c r="A762" s="16"/>
      <c r="B762" s="6"/>
      <c r="C762" s="6"/>
      <c r="D762" s="6"/>
      <c r="E762" s="4"/>
      <c r="F762" s="6"/>
      <c r="G762" s="6"/>
      <c r="H762" s="6"/>
      <c r="I762" s="6"/>
      <c r="J762" s="6"/>
      <c r="K762" s="6"/>
      <c r="L762" s="6"/>
      <c r="M762" s="6"/>
      <c r="N762" s="6"/>
      <c r="O762" s="16"/>
      <c r="P762" s="6"/>
      <c r="Q762" s="4"/>
      <c r="R762" s="4"/>
      <c r="S762" s="4"/>
      <c r="T762" s="4"/>
      <c r="U762" s="4"/>
      <c r="V762" s="4"/>
      <c r="W762" s="4"/>
      <c r="X762" s="4"/>
      <c r="Y762" s="4"/>
      <c r="Z762" s="4"/>
      <c r="AA762" s="4"/>
      <c r="AB762" s="4"/>
      <c r="AC762" s="4"/>
    </row>
    <row r="763" spans="1:29" ht="12.75" x14ac:dyDescent="0.2">
      <c r="A763" s="16"/>
      <c r="B763" s="6"/>
      <c r="C763" s="6"/>
      <c r="D763" s="6"/>
      <c r="E763" s="4"/>
      <c r="F763" s="6"/>
      <c r="G763" s="6"/>
      <c r="H763" s="6"/>
      <c r="I763" s="6"/>
      <c r="J763" s="6"/>
      <c r="K763" s="6"/>
      <c r="L763" s="6"/>
      <c r="M763" s="6"/>
      <c r="N763" s="6"/>
      <c r="O763" s="16"/>
      <c r="P763" s="6"/>
      <c r="Q763" s="4"/>
      <c r="R763" s="4"/>
      <c r="S763" s="4"/>
      <c r="T763" s="4"/>
      <c r="U763" s="4"/>
      <c r="V763" s="4"/>
      <c r="W763" s="4"/>
      <c r="X763" s="4"/>
      <c r="Y763" s="4"/>
      <c r="Z763" s="4"/>
      <c r="AA763" s="4"/>
      <c r="AB763" s="4"/>
      <c r="AC763" s="4"/>
    </row>
    <row r="764" spans="1:29" ht="12.75" x14ac:dyDescent="0.2">
      <c r="A764" s="16"/>
      <c r="B764" s="6"/>
      <c r="C764" s="6"/>
      <c r="D764" s="6"/>
      <c r="E764" s="4"/>
      <c r="F764" s="6"/>
      <c r="G764" s="6"/>
      <c r="H764" s="6"/>
      <c r="I764" s="6"/>
      <c r="J764" s="6"/>
      <c r="K764" s="6"/>
      <c r="L764" s="6"/>
      <c r="M764" s="6"/>
      <c r="N764" s="6"/>
      <c r="O764" s="16"/>
      <c r="P764" s="6"/>
      <c r="Q764" s="4"/>
      <c r="R764" s="4"/>
      <c r="S764" s="4"/>
      <c r="T764" s="4"/>
      <c r="U764" s="4"/>
      <c r="V764" s="4"/>
      <c r="W764" s="4"/>
      <c r="X764" s="4"/>
      <c r="Y764" s="4"/>
      <c r="Z764" s="4"/>
      <c r="AA764" s="4"/>
      <c r="AB764" s="4"/>
      <c r="AC764" s="4"/>
    </row>
    <row r="765" spans="1:29" ht="12.75" x14ac:dyDescent="0.2">
      <c r="A765" s="16"/>
      <c r="B765" s="6"/>
      <c r="C765" s="6"/>
      <c r="D765" s="6"/>
      <c r="E765" s="4"/>
      <c r="F765" s="6"/>
      <c r="G765" s="6"/>
      <c r="H765" s="6"/>
      <c r="I765" s="6"/>
      <c r="J765" s="6"/>
      <c r="K765" s="6"/>
      <c r="L765" s="6"/>
      <c r="M765" s="6"/>
      <c r="N765" s="6"/>
      <c r="O765" s="16"/>
      <c r="P765" s="6"/>
      <c r="Q765" s="4"/>
      <c r="R765" s="4"/>
      <c r="S765" s="4"/>
      <c r="T765" s="4"/>
      <c r="U765" s="4"/>
      <c r="V765" s="4"/>
      <c r="W765" s="4"/>
      <c r="X765" s="4"/>
      <c r="Y765" s="4"/>
      <c r="Z765" s="4"/>
      <c r="AA765" s="4"/>
      <c r="AB765" s="4"/>
      <c r="AC765" s="4"/>
    </row>
    <row r="766" spans="1:29" ht="12.75" x14ac:dyDescent="0.2">
      <c r="A766" s="16"/>
      <c r="B766" s="6"/>
      <c r="C766" s="6"/>
      <c r="D766" s="6"/>
      <c r="E766" s="4"/>
      <c r="F766" s="6"/>
      <c r="G766" s="6"/>
      <c r="H766" s="6"/>
      <c r="I766" s="6"/>
      <c r="J766" s="6"/>
      <c r="K766" s="6"/>
      <c r="L766" s="6"/>
      <c r="M766" s="6"/>
      <c r="N766" s="6"/>
      <c r="O766" s="16"/>
      <c r="P766" s="6"/>
      <c r="Q766" s="4"/>
      <c r="R766" s="4"/>
      <c r="S766" s="4"/>
      <c r="T766" s="4"/>
      <c r="U766" s="4"/>
      <c r="V766" s="4"/>
      <c r="W766" s="4"/>
      <c r="X766" s="4"/>
      <c r="Y766" s="4"/>
      <c r="Z766" s="4"/>
      <c r="AA766" s="4"/>
      <c r="AB766" s="4"/>
      <c r="AC766" s="4"/>
    </row>
    <row r="767" spans="1:29" ht="12.75" x14ac:dyDescent="0.2">
      <c r="A767" s="16"/>
      <c r="B767" s="6"/>
      <c r="C767" s="6"/>
      <c r="D767" s="6"/>
      <c r="E767" s="4"/>
      <c r="F767" s="6"/>
      <c r="G767" s="6"/>
      <c r="H767" s="6"/>
      <c r="I767" s="6"/>
      <c r="J767" s="6"/>
      <c r="K767" s="6"/>
      <c r="L767" s="6"/>
      <c r="M767" s="6"/>
      <c r="N767" s="6"/>
      <c r="O767" s="16"/>
      <c r="P767" s="6"/>
      <c r="Q767" s="4"/>
      <c r="R767" s="4"/>
      <c r="S767" s="4"/>
      <c r="T767" s="4"/>
      <c r="U767" s="4"/>
      <c r="V767" s="4"/>
      <c r="W767" s="4"/>
      <c r="X767" s="4"/>
      <c r="Y767" s="4"/>
      <c r="Z767" s="4"/>
      <c r="AA767" s="4"/>
      <c r="AB767" s="4"/>
      <c r="AC767" s="4"/>
    </row>
    <row r="768" spans="1:29" ht="12.75" x14ac:dyDescent="0.2">
      <c r="A768" s="16"/>
      <c r="B768" s="6"/>
      <c r="C768" s="6"/>
      <c r="D768" s="6"/>
      <c r="E768" s="4"/>
      <c r="F768" s="6"/>
      <c r="G768" s="6"/>
      <c r="H768" s="6"/>
      <c r="I768" s="6"/>
      <c r="J768" s="6"/>
      <c r="K768" s="6"/>
      <c r="L768" s="6"/>
      <c r="M768" s="6"/>
      <c r="N768" s="6"/>
      <c r="O768" s="16"/>
      <c r="P768" s="6"/>
      <c r="Q768" s="4"/>
      <c r="R768" s="4"/>
      <c r="S768" s="4"/>
      <c r="T768" s="4"/>
      <c r="U768" s="4"/>
      <c r="V768" s="4"/>
      <c r="W768" s="4"/>
      <c r="X768" s="4"/>
      <c r="Y768" s="4"/>
      <c r="Z768" s="4"/>
      <c r="AA768" s="4"/>
      <c r="AB768" s="4"/>
      <c r="AC768" s="4"/>
    </row>
    <row r="769" spans="1:29" ht="12.75" x14ac:dyDescent="0.2">
      <c r="A769" s="16"/>
      <c r="B769" s="6"/>
      <c r="C769" s="6"/>
      <c r="D769" s="6"/>
      <c r="E769" s="4"/>
      <c r="F769" s="6"/>
      <c r="G769" s="6"/>
      <c r="H769" s="6"/>
      <c r="I769" s="6"/>
      <c r="J769" s="6"/>
      <c r="K769" s="6"/>
      <c r="L769" s="6"/>
      <c r="M769" s="6"/>
      <c r="N769" s="6"/>
      <c r="O769" s="16"/>
      <c r="P769" s="6"/>
      <c r="Q769" s="4"/>
      <c r="R769" s="4"/>
      <c r="S769" s="4"/>
      <c r="T769" s="4"/>
      <c r="U769" s="4"/>
      <c r="V769" s="4"/>
      <c r="W769" s="4"/>
      <c r="X769" s="4"/>
      <c r="Y769" s="4"/>
      <c r="Z769" s="4"/>
      <c r="AA769" s="4"/>
      <c r="AB769" s="4"/>
      <c r="AC769" s="4"/>
    </row>
    <row r="770" spans="1:29" ht="12.75" x14ac:dyDescent="0.2">
      <c r="A770" s="16"/>
      <c r="B770" s="6"/>
      <c r="C770" s="6"/>
      <c r="D770" s="6"/>
      <c r="E770" s="4"/>
      <c r="F770" s="6"/>
      <c r="G770" s="6"/>
      <c r="H770" s="6"/>
      <c r="I770" s="6"/>
      <c r="J770" s="6"/>
      <c r="K770" s="6"/>
      <c r="L770" s="6"/>
      <c r="M770" s="6"/>
      <c r="N770" s="6"/>
      <c r="O770" s="16"/>
      <c r="P770" s="6"/>
      <c r="Q770" s="4"/>
      <c r="R770" s="4"/>
      <c r="S770" s="4"/>
      <c r="T770" s="4"/>
      <c r="U770" s="4"/>
      <c r="V770" s="4"/>
      <c r="W770" s="4"/>
      <c r="X770" s="4"/>
      <c r="Y770" s="4"/>
      <c r="Z770" s="4"/>
      <c r="AA770" s="4"/>
      <c r="AB770" s="4"/>
      <c r="AC770" s="4"/>
    </row>
    <row r="771" spans="1:29" ht="12.75" x14ac:dyDescent="0.2">
      <c r="A771" s="16"/>
      <c r="B771" s="6"/>
      <c r="C771" s="6"/>
      <c r="D771" s="6"/>
      <c r="E771" s="4"/>
      <c r="F771" s="6"/>
      <c r="G771" s="6"/>
      <c r="H771" s="6"/>
      <c r="I771" s="6"/>
      <c r="J771" s="6"/>
      <c r="K771" s="6"/>
      <c r="L771" s="6"/>
      <c r="M771" s="6"/>
      <c r="N771" s="6"/>
      <c r="O771" s="16"/>
      <c r="P771" s="6"/>
      <c r="Q771" s="4"/>
      <c r="R771" s="4"/>
      <c r="S771" s="4"/>
      <c r="T771" s="4"/>
      <c r="U771" s="4"/>
      <c r="V771" s="4"/>
      <c r="W771" s="4"/>
      <c r="X771" s="4"/>
      <c r="Y771" s="4"/>
      <c r="Z771" s="4"/>
      <c r="AA771" s="4"/>
      <c r="AB771" s="4"/>
      <c r="AC771" s="4"/>
    </row>
    <row r="772" spans="1:29" ht="12.75" x14ac:dyDescent="0.2">
      <c r="A772" s="16"/>
      <c r="B772" s="6"/>
      <c r="C772" s="6"/>
      <c r="D772" s="6"/>
      <c r="E772" s="4"/>
      <c r="F772" s="6"/>
      <c r="G772" s="6"/>
      <c r="H772" s="6"/>
      <c r="I772" s="6"/>
      <c r="J772" s="6"/>
      <c r="K772" s="6"/>
      <c r="L772" s="6"/>
      <c r="M772" s="6"/>
      <c r="N772" s="6"/>
      <c r="O772" s="16"/>
      <c r="P772" s="6"/>
      <c r="Q772" s="4"/>
      <c r="R772" s="4"/>
      <c r="S772" s="4"/>
      <c r="T772" s="4"/>
      <c r="U772" s="4"/>
      <c r="V772" s="4"/>
      <c r="W772" s="4"/>
      <c r="X772" s="4"/>
      <c r="Y772" s="4"/>
      <c r="Z772" s="4"/>
      <c r="AA772" s="4"/>
      <c r="AB772" s="4"/>
      <c r="AC772" s="4"/>
    </row>
    <row r="773" spans="1:29" ht="12.75" x14ac:dyDescent="0.2">
      <c r="A773" s="16"/>
      <c r="B773" s="6"/>
      <c r="C773" s="6"/>
      <c r="D773" s="6"/>
      <c r="E773" s="4"/>
      <c r="F773" s="6"/>
      <c r="G773" s="6"/>
      <c r="H773" s="6"/>
      <c r="I773" s="6"/>
      <c r="J773" s="6"/>
      <c r="K773" s="6"/>
      <c r="L773" s="6"/>
      <c r="M773" s="6"/>
      <c r="N773" s="6"/>
      <c r="O773" s="16"/>
      <c r="P773" s="6"/>
      <c r="Q773" s="4"/>
      <c r="R773" s="4"/>
      <c r="S773" s="4"/>
      <c r="T773" s="4"/>
      <c r="U773" s="4"/>
      <c r="V773" s="4"/>
      <c r="W773" s="4"/>
      <c r="X773" s="4"/>
      <c r="Y773" s="4"/>
      <c r="Z773" s="4"/>
      <c r="AA773" s="4"/>
      <c r="AB773" s="4"/>
      <c r="AC773" s="4"/>
    </row>
    <row r="774" spans="1:29" ht="12.75" x14ac:dyDescent="0.2">
      <c r="A774" s="16"/>
      <c r="B774" s="6"/>
      <c r="C774" s="6"/>
      <c r="D774" s="6"/>
      <c r="E774" s="4"/>
      <c r="F774" s="6"/>
      <c r="G774" s="6"/>
      <c r="H774" s="6"/>
      <c r="I774" s="6"/>
      <c r="J774" s="6"/>
      <c r="K774" s="6"/>
      <c r="L774" s="6"/>
      <c r="M774" s="6"/>
      <c r="N774" s="6"/>
      <c r="O774" s="16"/>
      <c r="P774" s="6"/>
      <c r="Q774" s="4"/>
      <c r="R774" s="4"/>
      <c r="S774" s="4"/>
      <c r="T774" s="4"/>
      <c r="U774" s="4"/>
      <c r="V774" s="4"/>
      <c r="W774" s="4"/>
      <c r="X774" s="4"/>
      <c r="Y774" s="4"/>
      <c r="Z774" s="4"/>
      <c r="AA774" s="4"/>
      <c r="AB774" s="4"/>
      <c r="AC774" s="4"/>
    </row>
    <row r="775" spans="1:29" ht="12.75" x14ac:dyDescent="0.2">
      <c r="A775" s="16"/>
      <c r="B775" s="6"/>
      <c r="C775" s="6"/>
      <c r="D775" s="6"/>
      <c r="E775" s="4"/>
      <c r="F775" s="6"/>
      <c r="G775" s="6"/>
      <c r="H775" s="6"/>
      <c r="I775" s="6"/>
      <c r="J775" s="6"/>
      <c r="K775" s="6"/>
      <c r="L775" s="6"/>
      <c r="M775" s="6"/>
      <c r="N775" s="6"/>
      <c r="O775" s="16"/>
      <c r="P775" s="6"/>
      <c r="Q775" s="4"/>
      <c r="R775" s="4"/>
      <c r="S775" s="4"/>
      <c r="T775" s="4"/>
      <c r="U775" s="4"/>
      <c r="V775" s="4"/>
      <c r="W775" s="4"/>
      <c r="X775" s="4"/>
      <c r="Y775" s="4"/>
      <c r="Z775" s="4"/>
      <c r="AA775" s="4"/>
      <c r="AB775" s="4"/>
      <c r="AC775" s="4"/>
    </row>
    <row r="776" spans="1:29" ht="12.75" x14ac:dyDescent="0.2">
      <c r="A776" s="16"/>
      <c r="B776" s="6"/>
      <c r="C776" s="6"/>
      <c r="D776" s="6"/>
      <c r="E776" s="4"/>
      <c r="F776" s="6"/>
      <c r="G776" s="6"/>
      <c r="H776" s="6"/>
      <c r="I776" s="6"/>
      <c r="J776" s="6"/>
      <c r="K776" s="6"/>
      <c r="L776" s="6"/>
      <c r="M776" s="6"/>
      <c r="N776" s="6"/>
      <c r="O776" s="16"/>
      <c r="P776" s="6"/>
      <c r="Q776" s="4"/>
      <c r="R776" s="4"/>
      <c r="S776" s="4"/>
      <c r="T776" s="4"/>
      <c r="U776" s="4"/>
      <c r="V776" s="4"/>
      <c r="W776" s="4"/>
      <c r="X776" s="4"/>
      <c r="Y776" s="4"/>
      <c r="Z776" s="4"/>
      <c r="AA776" s="4"/>
      <c r="AB776" s="4"/>
      <c r="AC776" s="4"/>
    </row>
    <row r="777" spans="1:29" ht="12.75" x14ac:dyDescent="0.2">
      <c r="A777" s="16"/>
      <c r="B777" s="6"/>
      <c r="C777" s="6"/>
      <c r="D777" s="6"/>
      <c r="E777" s="4"/>
      <c r="F777" s="6"/>
      <c r="G777" s="6"/>
      <c r="H777" s="6"/>
      <c r="I777" s="6"/>
      <c r="J777" s="6"/>
      <c r="K777" s="6"/>
      <c r="L777" s="6"/>
      <c r="M777" s="6"/>
      <c r="N777" s="6"/>
      <c r="O777" s="16"/>
      <c r="P777" s="6"/>
      <c r="Q777" s="4"/>
      <c r="R777" s="4"/>
      <c r="S777" s="4"/>
      <c r="T777" s="4"/>
      <c r="U777" s="4"/>
      <c r="V777" s="4"/>
      <c r="W777" s="4"/>
      <c r="X777" s="4"/>
      <c r="Y777" s="4"/>
      <c r="Z777" s="4"/>
      <c r="AA777" s="4"/>
      <c r="AB777" s="4"/>
      <c r="AC777" s="4"/>
    </row>
    <row r="778" spans="1:29" ht="12.75" x14ac:dyDescent="0.2">
      <c r="A778" s="16"/>
      <c r="B778" s="6"/>
      <c r="C778" s="6"/>
      <c r="D778" s="6"/>
      <c r="E778" s="4"/>
      <c r="F778" s="6"/>
      <c r="G778" s="6"/>
      <c r="H778" s="6"/>
      <c r="I778" s="6"/>
      <c r="J778" s="6"/>
      <c r="K778" s="6"/>
      <c r="L778" s="6"/>
      <c r="M778" s="6"/>
      <c r="N778" s="6"/>
      <c r="O778" s="16"/>
      <c r="P778" s="6"/>
      <c r="Q778" s="4"/>
      <c r="R778" s="4"/>
      <c r="S778" s="4"/>
      <c r="T778" s="4"/>
      <c r="U778" s="4"/>
      <c r="V778" s="4"/>
      <c r="W778" s="4"/>
      <c r="X778" s="4"/>
      <c r="Y778" s="4"/>
      <c r="Z778" s="4"/>
      <c r="AA778" s="4"/>
      <c r="AB778" s="4"/>
      <c r="AC778" s="4"/>
    </row>
    <row r="779" spans="1:29" ht="12.75" x14ac:dyDescent="0.2">
      <c r="A779" s="16"/>
      <c r="B779" s="6"/>
      <c r="C779" s="6"/>
      <c r="D779" s="6"/>
      <c r="E779" s="4"/>
      <c r="F779" s="6"/>
      <c r="G779" s="6"/>
      <c r="H779" s="6"/>
      <c r="I779" s="6"/>
      <c r="J779" s="6"/>
      <c r="K779" s="6"/>
      <c r="L779" s="6"/>
      <c r="M779" s="6"/>
      <c r="N779" s="6"/>
      <c r="O779" s="16"/>
      <c r="P779" s="6"/>
      <c r="Q779" s="4"/>
      <c r="R779" s="4"/>
      <c r="S779" s="4"/>
      <c r="T779" s="4"/>
      <c r="U779" s="4"/>
      <c r="V779" s="4"/>
      <c r="W779" s="4"/>
      <c r="X779" s="4"/>
      <c r="Y779" s="4"/>
      <c r="Z779" s="4"/>
      <c r="AA779" s="4"/>
      <c r="AB779" s="4"/>
      <c r="AC779" s="4"/>
    </row>
    <row r="780" spans="1:29" ht="12.75" x14ac:dyDescent="0.2">
      <c r="A780" s="16"/>
      <c r="B780" s="6"/>
      <c r="C780" s="6"/>
      <c r="D780" s="6"/>
      <c r="E780" s="4"/>
      <c r="F780" s="6"/>
      <c r="G780" s="6"/>
      <c r="H780" s="6"/>
      <c r="I780" s="6"/>
      <c r="J780" s="6"/>
      <c r="K780" s="6"/>
      <c r="L780" s="6"/>
      <c r="M780" s="6"/>
      <c r="N780" s="6"/>
      <c r="O780" s="16"/>
      <c r="P780" s="6"/>
      <c r="Q780" s="4"/>
      <c r="R780" s="4"/>
      <c r="S780" s="4"/>
      <c r="T780" s="4"/>
      <c r="U780" s="4"/>
      <c r="V780" s="4"/>
      <c r="W780" s="4"/>
      <c r="X780" s="4"/>
      <c r="Y780" s="4"/>
      <c r="Z780" s="4"/>
      <c r="AA780" s="4"/>
      <c r="AB780" s="4"/>
      <c r="AC780" s="4"/>
    </row>
    <row r="781" spans="1:29" ht="12.75" x14ac:dyDescent="0.2">
      <c r="A781" s="16"/>
      <c r="B781" s="6"/>
      <c r="C781" s="6"/>
      <c r="D781" s="6"/>
      <c r="E781" s="4"/>
      <c r="F781" s="6"/>
      <c r="G781" s="6"/>
      <c r="H781" s="6"/>
      <c r="I781" s="6"/>
      <c r="J781" s="6"/>
      <c r="K781" s="6"/>
      <c r="L781" s="6"/>
      <c r="M781" s="6"/>
      <c r="N781" s="6"/>
      <c r="O781" s="16"/>
      <c r="P781" s="6"/>
      <c r="Q781" s="4"/>
      <c r="R781" s="4"/>
      <c r="S781" s="4"/>
      <c r="T781" s="4"/>
      <c r="U781" s="4"/>
      <c r="V781" s="4"/>
      <c r="W781" s="4"/>
      <c r="X781" s="4"/>
      <c r="Y781" s="4"/>
      <c r="Z781" s="4"/>
      <c r="AA781" s="4"/>
      <c r="AB781" s="4"/>
      <c r="AC781" s="4"/>
    </row>
    <row r="782" spans="1:29" ht="12.75" x14ac:dyDescent="0.2">
      <c r="A782" s="16"/>
      <c r="B782" s="6"/>
      <c r="C782" s="6"/>
      <c r="D782" s="6"/>
      <c r="E782" s="4"/>
      <c r="F782" s="6"/>
      <c r="G782" s="6"/>
      <c r="H782" s="6"/>
      <c r="I782" s="6"/>
      <c r="J782" s="6"/>
      <c r="K782" s="6"/>
      <c r="L782" s="6"/>
      <c r="M782" s="6"/>
      <c r="N782" s="6"/>
      <c r="O782" s="16"/>
      <c r="P782" s="6"/>
      <c r="Q782" s="4"/>
      <c r="R782" s="4"/>
      <c r="S782" s="4"/>
      <c r="T782" s="4"/>
      <c r="U782" s="4"/>
      <c r="V782" s="4"/>
      <c r="W782" s="4"/>
      <c r="X782" s="4"/>
      <c r="Y782" s="4"/>
      <c r="Z782" s="4"/>
      <c r="AA782" s="4"/>
      <c r="AB782" s="4"/>
      <c r="AC782" s="4"/>
    </row>
    <row r="783" spans="1:29" ht="12.75" x14ac:dyDescent="0.2">
      <c r="A783" s="16"/>
      <c r="B783" s="6"/>
      <c r="C783" s="6"/>
      <c r="D783" s="6"/>
      <c r="E783" s="4"/>
      <c r="F783" s="6"/>
      <c r="G783" s="6"/>
      <c r="H783" s="6"/>
      <c r="I783" s="6"/>
      <c r="J783" s="6"/>
      <c r="K783" s="6"/>
      <c r="L783" s="6"/>
      <c r="M783" s="6"/>
      <c r="N783" s="6"/>
      <c r="O783" s="16"/>
      <c r="P783" s="6"/>
      <c r="Q783" s="4"/>
      <c r="R783" s="4"/>
      <c r="S783" s="4"/>
      <c r="T783" s="4"/>
      <c r="U783" s="4"/>
      <c r="V783" s="4"/>
      <c r="W783" s="4"/>
      <c r="X783" s="4"/>
      <c r="Y783" s="4"/>
      <c r="Z783" s="4"/>
      <c r="AA783" s="4"/>
      <c r="AB783" s="4"/>
      <c r="AC783" s="4"/>
    </row>
    <row r="784" spans="1:29" ht="12.75" x14ac:dyDescent="0.2">
      <c r="A784" s="16"/>
      <c r="B784" s="6"/>
      <c r="C784" s="6"/>
      <c r="D784" s="6"/>
      <c r="E784" s="4"/>
      <c r="F784" s="6"/>
      <c r="G784" s="6"/>
      <c r="H784" s="6"/>
      <c r="I784" s="6"/>
      <c r="J784" s="6"/>
      <c r="K784" s="6"/>
      <c r="L784" s="6"/>
      <c r="M784" s="6"/>
      <c r="N784" s="6"/>
      <c r="O784" s="16"/>
      <c r="P784" s="6"/>
      <c r="Q784" s="4"/>
      <c r="R784" s="4"/>
      <c r="S784" s="4"/>
      <c r="T784" s="4"/>
      <c r="U784" s="4"/>
      <c r="V784" s="4"/>
      <c r="W784" s="4"/>
      <c r="X784" s="4"/>
      <c r="Y784" s="4"/>
      <c r="Z784" s="4"/>
      <c r="AA784" s="4"/>
      <c r="AB784" s="4"/>
      <c r="AC784" s="4"/>
    </row>
    <row r="785" spans="1:29" ht="12.75" x14ac:dyDescent="0.2">
      <c r="A785" s="16"/>
      <c r="B785" s="6"/>
      <c r="C785" s="6"/>
      <c r="D785" s="6"/>
      <c r="E785" s="4"/>
      <c r="F785" s="6"/>
      <c r="G785" s="6"/>
      <c r="H785" s="6"/>
      <c r="I785" s="6"/>
      <c r="J785" s="6"/>
      <c r="K785" s="6"/>
      <c r="L785" s="6"/>
      <c r="M785" s="6"/>
      <c r="N785" s="6"/>
      <c r="O785" s="16"/>
      <c r="P785" s="6"/>
      <c r="Q785" s="4"/>
      <c r="R785" s="4"/>
      <c r="S785" s="4"/>
      <c r="T785" s="4"/>
      <c r="U785" s="4"/>
      <c r="V785" s="4"/>
      <c r="W785" s="4"/>
      <c r="X785" s="4"/>
      <c r="Y785" s="4"/>
      <c r="Z785" s="4"/>
      <c r="AA785" s="4"/>
      <c r="AB785" s="4"/>
      <c r="AC785" s="4"/>
    </row>
    <row r="786" spans="1:29" ht="12.75" x14ac:dyDescent="0.2">
      <c r="A786" s="16"/>
      <c r="B786" s="6"/>
      <c r="C786" s="6"/>
      <c r="D786" s="6"/>
      <c r="E786" s="4"/>
      <c r="F786" s="6"/>
      <c r="G786" s="6"/>
      <c r="H786" s="6"/>
      <c r="I786" s="6"/>
      <c r="J786" s="6"/>
      <c r="K786" s="6"/>
      <c r="L786" s="6"/>
      <c r="M786" s="6"/>
      <c r="N786" s="6"/>
      <c r="O786" s="16"/>
      <c r="P786" s="6"/>
      <c r="Q786" s="4"/>
      <c r="R786" s="4"/>
      <c r="S786" s="4"/>
      <c r="T786" s="4"/>
      <c r="U786" s="4"/>
      <c r="V786" s="4"/>
      <c r="W786" s="4"/>
      <c r="X786" s="4"/>
      <c r="Y786" s="4"/>
      <c r="Z786" s="4"/>
      <c r="AA786" s="4"/>
      <c r="AB786" s="4"/>
      <c r="AC786" s="4"/>
    </row>
    <row r="787" spans="1:29" ht="12.75" x14ac:dyDescent="0.2">
      <c r="A787" s="16"/>
      <c r="B787" s="6"/>
      <c r="C787" s="6"/>
      <c r="D787" s="6"/>
      <c r="E787" s="4"/>
      <c r="F787" s="6"/>
      <c r="G787" s="6"/>
      <c r="H787" s="6"/>
      <c r="I787" s="6"/>
      <c r="J787" s="6"/>
      <c r="K787" s="6"/>
      <c r="L787" s="6"/>
      <c r="M787" s="6"/>
      <c r="N787" s="6"/>
      <c r="O787" s="16"/>
      <c r="P787" s="6"/>
      <c r="Q787" s="4"/>
      <c r="R787" s="4"/>
      <c r="S787" s="4"/>
      <c r="T787" s="4"/>
      <c r="U787" s="4"/>
      <c r="V787" s="4"/>
      <c r="W787" s="4"/>
      <c r="X787" s="4"/>
      <c r="Y787" s="4"/>
      <c r="Z787" s="4"/>
      <c r="AA787" s="4"/>
      <c r="AB787" s="4"/>
      <c r="AC787" s="4"/>
    </row>
    <row r="788" spans="1:29" ht="12.75" x14ac:dyDescent="0.2">
      <c r="A788" s="16"/>
      <c r="B788" s="6"/>
      <c r="C788" s="6"/>
      <c r="D788" s="6"/>
      <c r="E788" s="4"/>
      <c r="F788" s="6"/>
      <c r="G788" s="6"/>
      <c r="H788" s="6"/>
      <c r="I788" s="6"/>
      <c r="J788" s="6"/>
      <c r="K788" s="6"/>
      <c r="L788" s="6"/>
      <c r="M788" s="6"/>
      <c r="N788" s="6"/>
      <c r="O788" s="16"/>
      <c r="P788" s="6"/>
      <c r="Q788" s="4"/>
      <c r="R788" s="4"/>
      <c r="S788" s="4"/>
      <c r="T788" s="4"/>
      <c r="U788" s="4"/>
      <c r="V788" s="4"/>
      <c r="W788" s="4"/>
      <c r="X788" s="4"/>
      <c r="Y788" s="4"/>
      <c r="Z788" s="4"/>
      <c r="AA788" s="4"/>
      <c r="AB788" s="4"/>
      <c r="AC788" s="4"/>
    </row>
    <row r="789" spans="1:29" ht="12.75" x14ac:dyDescent="0.2">
      <c r="A789" s="16"/>
      <c r="B789" s="6"/>
      <c r="C789" s="6"/>
      <c r="D789" s="6"/>
      <c r="E789" s="4"/>
      <c r="F789" s="6"/>
      <c r="G789" s="6"/>
      <c r="H789" s="6"/>
      <c r="I789" s="6"/>
      <c r="J789" s="6"/>
      <c r="K789" s="6"/>
      <c r="L789" s="6"/>
      <c r="M789" s="6"/>
      <c r="N789" s="6"/>
      <c r="O789" s="16"/>
      <c r="P789" s="6"/>
      <c r="Q789" s="4"/>
      <c r="R789" s="4"/>
      <c r="S789" s="4"/>
      <c r="T789" s="4"/>
      <c r="U789" s="4"/>
      <c r="V789" s="4"/>
      <c r="W789" s="4"/>
      <c r="X789" s="4"/>
      <c r="Y789" s="4"/>
      <c r="Z789" s="4"/>
      <c r="AA789" s="4"/>
      <c r="AB789" s="4"/>
      <c r="AC789" s="4"/>
    </row>
    <row r="790" spans="1:29" ht="12.75" x14ac:dyDescent="0.2">
      <c r="A790" s="16"/>
      <c r="B790" s="6"/>
      <c r="C790" s="6"/>
      <c r="D790" s="6"/>
      <c r="E790" s="4"/>
      <c r="F790" s="6"/>
      <c r="G790" s="6"/>
      <c r="H790" s="6"/>
      <c r="I790" s="6"/>
      <c r="J790" s="6"/>
      <c r="K790" s="6"/>
      <c r="L790" s="6"/>
      <c r="M790" s="6"/>
      <c r="N790" s="6"/>
      <c r="O790" s="16"/>
      <c r="P790" s="6"/>
      <c r="Q790" s="4"/>
      <c r="R790" s="4"/>
      <c r="S790" s="4"/>
      <c r="T790" s="4"/>
      <c r="U790" s="4"/>
      <c r="V790" s="4"/>
      <c r="W790" s="4"/>
      <c r="X790" s="4"/>
      <c r="Y790" s="4"/>
      <c r="Z790" s="4"/>
      <c r="AA790" s="4"/>
      <c r="AB790" s="4"/>
      <c r="AC790" s="4"/>
    </row>
    <row r="791" spans="1:29" ht="12.75" x14ac:dyDescent="0.2">
      <c r="A791" s="16"/>
      <c r="B791" s="6"/>
      <c r="C791" s="6"/>
      <c r="D791" s="6"/>
      <c r="E791" s="4"/>
      <c r="F791" s="6"/>
      <c r="G791" s="6"/>
      <c r="H791" s="6"/>
      <c r="I791" s="6"/>
      <c r="J791" s="6"/>
      <c r="K791" s="6"/>
      <c r="L791" s="6"/>
      <c r="M791" s="6"/>
      <c r="N791" s="6"/>
      <c r="O791" s="16"/>
      <c r="P791" s="6"/>
      <c r="Q791" s="4"/>
      <c r="R791" s="4"/>
      <c r="S791" s="4"/>
      <c r="T791" s="4"/>
      <c r="U791" s="4"/>
      <c r="V791" s="4"/>
      <c r="W791" s="4"/>
      <c r="X791" s="4"/>
      <c r="Y791" s="4"/>
      <c r="Z791" s="4"/>
      <c r="AA791" s="4"/>
      <c r="AB791" s="4"/>
      <c r="AC791" s="4"/>
    </row>
    <row r="792" spans="1:29" ht="12.75" x14ac:dyDescent="0.2">
      <c r="A792" s="16"/>
      <c r="B792" s="6"/>
      <c r="C792" s="6"/>
      <c r="D792" s="6"/>
      <c r="E792" s="4"/>
      <c r="F792" s="6"/>
      <c r="G792" s="6"/>
      <c r="H792" s="6"/>
      <c r="I792" s="6"/>
      <c r="J792" s="6"/>
      <c r="K792" s="6"/>
      <c r="L792" s="6"/>
      <c r="M792" s="6"/>
      <c r="N792" s="6"/>
      <c r="O792" s="16"/>
      <c r="P792" s="6"/>
      <c r="Q792" s="4"/>
      <c r="R792" s="4"/>
      <c r="S792" s="4"/>
      <c r="T792" s="4"/>
      <c r="U792" s="4"/>
      <c r="V792" s="4"/>
      <c r="W792" s="4"/>
      <c r="X792" s="4"/>
      <c r="Y792" s="4"/>
      <c r="Z792" s="4"/>
      <c r="AA792" s="4"/>
      <c r="AB792" s="4"/>
      <c r="AC792" s="4"/>
    </row>
    <row r="793" spans="1:29" ht="12.75" x14ac:dyDescent="0.2">
      <c r="A793" s="16"/>
      <c r="B793" s="6"/>
      <c r="C793" s="6"/>
      <c r="D793" s="6"/>
      <c r="E793" s="4"/>
      <c r="F793" s="6"/>
      <c r="G793" s="6"/>
      <c r="H793" s="6"/>
      <c r="I793" s="6"/>
      <c r="J793" s="6"/>
      <c r="K793" s="6"/>
      <c r="L793" s="6"/>
      <c r="M793" s="6"/>
      <c r="N793" s="6"/>
      <c r="O793" s="16"/>
      <c r="P793" s="6"/>
      <c r="Q793" s="4"/>
      <c r="R793" s="4"/>
      <c r="S793" s="4"/>
      <c r="T793" s="4"/>
      <c r="U793" s="4"/>
      <c r="V793" s="4"/>
      <c r="W793" s="4"/>
      <c r="X793" s="4"/>
      <c r="Y793" s="4"/>
      <c r="Z793" s="4"/>
      <c r="AA793" s="4"/>
      <c r="AB793" s="4"/>
      <c r="AC793" s="4"/>
    </row>
    <row r="794" spans="1:29" ht="12.75" x14ac:dyDescent="0.2">
      <c r="A794" s="16"/>
      <c r="B794" s="6"/>
      <c r="C794" s="6"/>
      <c r="D794" s="6"/>
      <c r="E794" s="4"/>
      <c r="F794" s="6"/>
      <c r="G794" s="6"/>
      <c r="H794" s="6"/>
      <c r="I794" s="6"/>
      <c r="J794" s="6"/>
      <c r="K794" s="6"/>
      <c r="L794" s="6"/>
      <c r="M794" s="6"/>
      <c r="N794" s="6"/>
      <c r="O794" s="16"/>
      <c r="P794" s="6"/>
      <c r="Q794" s="4"/>
      <c r="R794" s="4"/>
      <c r="S794" s="4"/>
      <c r="T794" s="4"/>
      <c r="U794" s="4"/>
      <c r="V794" s="4"/>
      <c r="W794" s="4"/>
      <c r="X794" s="4"/>
      <c r="Y794" s="4"/>
      <c r="Z794" s="4"/>
      <c r="AA794" s="4"/>
      <c r="AB794" s="4"/>
      <c r="AC794" s="4"/>
    </row>
    <row r="795" spans="1:29" ht="12.75" x14ac:dyDescent="0.2">
      <c r="A795" s="16"/>
      <c r="B795" s="6"/>
      <c r="C795" s="6"/>
      <c r="D795" s="6"/>
      <c r="E795" s="4"/>
      <c r="F795" s="6"/>
      <c r="G795" s="6"/>
      <c r="H795" s="6"/>
      <c r="I795" s="6"/>
      <c r="J795" s="6"/>
      <c r="K795" s="6"/>
      <c r="L795" s="6"/>
      <c r="M795" s="6"/>
      <c r="N795" s="6"/>
      <c r="O795" s="16"/>
      <c r="P795" s="6"/>
      <c r="Q795" s="4"/>
      <c r="R795" s="4"/>
      <c r="S795" s="4"/>
      <c r="T795" s="4"/>
      <c r="U795" s="4"/>
      <c r="V795" s="4"/>
      <c r="W795" s="4"/>
      <c r="X795" s="4"/>
      <c r="Y795" s="4"/>
      <c r="Z795" s="4"/>
      <c r="AA795" s="4"/>
      <c r="AB795" s="4"/>
      <c r="AC795" s="4"/>
    </row>
    <row r="796" spans="1:29" ht="12.75" x14ac:dyDescent="0.2">
      <c r="A796" s="16"/>
      <c r="B796" s="6"/>
      <c r="C796" s="6"/>
      <c r="D796" s="6"/>
      <c r="E796" s="4"/>
      <c r="F796" s="6"/>
      <c r="G796" s="6"/>
      <c r="H796" s="6"/>
      <c r="I796" s="6"/>
      <c r="J796" s="6"/>
      <c r="K796" s="6"/>
      <c r="L796" s="6"/>
      <c r="M796" s="6"/>
      <c r="N796" s="6"/>
      <c r="O796" s="16"/>
      <c r="P796" s="6"/>
      <c r="Q796" s="4"/>
      <c r="R796" s="4"/>
      <c r="S796" s="4"/>
      <c r="T796" s="4"/>
      <c r="U796" s="4"/>
      <c r="V796" s="4"/>
      <c r="W796" s="4"/>
      <c r="X796" s="4"/>
      <c r="Y796" s="4"/>
      <c r="Z796" s="4"/>
      <c r="AA796" s="4"/>
      <c r="AB796" s="4"/>
      <c r="AC796" s="4"/>
    </row>
    <row r="797" spans="1:29" ht="12.75" x14ac:dyDescent="0.2">
      <c r="A797" s="16"/>
      <c r="B797" s="6"/>
      <c r="C797" s="6"/>
      <c r="D797" s="6"/>
      <c r="E797" s="4"/>
      <c r="F797" s="6"/>
      <c r="G797" s="6"/>
      <c r="H797" s="6"/>
      <c r="I797" s="6"/>
      <c r="J797" s="6"/>
      <c r="K797" s="6"/>
      <c r="L797" s="6"/>
      <c r="M797" s="6"/>
      <c r="N797" s="6"/>
      <c r="O797" s="16"/>
      <c r="P797" s="6"/>
      <c r="Q797" s="4"/>
      <c r="R797" s="4"/>
      <c r="S797" s="4"/>
      <c r="T797" s="4"/>
      <c r="U797" s="4"/>
      <c r="V797" s="4"/>
      <c r="W797" s="4"/>
      <c r="X797" s="4"/>
      <c r="Y797" s="4"/>
      <c r="Z797" s="4"/>
      <c r="AA797" s="4"/>
      <c r="AB797" s="4"/>
      <c r="AC797" s="4"/>
    </row>
    <row r="798" spans="1:29" ht="12.75" x14ac:dyDescent="0.2">
      <c r="A798" s="16"/>
      <c r="B798" s="6"/>
      <c r="C798" s="6"/>
      <c r="D798" s="6"/>
      <c r="E798" s="4"/>
      <c r="F798" s="6"/>
      <c r="G798" s="6"/>
      <c r="H798" s="6"/>
      <c r="I798" s="6"/>
      <c r="J798" s="6"/>
      <c r="K798" s="6"/>
      <c r="L798" s="6"/>
      <c r="M798" s="6"/>
      <c r="N798" s="6"/>
      <c r="O798" s="16"/>
      <c r="P798" s="6"/>
      <c r="Q798" s="4"/>
      <c r="R798" s="4"/>
      <c r="S798" s="4"/>
      <c r="T798" s="4"/>
      <c r="U798" s="4"/>
      <c r="V798" s="4"/>
      <c r="W798" s="4"/>
      <c r="X798" s="4"/>
      <c r="Y798" s="4"/>
      <c r="Z798" s="4"/>
      <c r="AA798" s="4"/>
      <c r="AB798" s="4"/>
      <c r="AC798" s="4"/>
    </row>
    <row r="799" spans="1:29" ht="12.75" x14ac:dyDescent="0.2">
      <c r="A799" s="16"/>
      <c r="B799" s="6"/>
      <c r="C799" s="6"/>
      <c r="D799" s="6"/>
      <c r="E799" s="4"/>
      <c r="F799" s="6"/>
      <c r="G799" s="6"/>
      <c r="H799" s="6"/>
      <c r="I799" s="6"/>
      <c r="J799" s="6"/>
      <c r="K799" s="6"/>
      <c r="L799" s="6"/>
      <c r="M799" s="6"/>
      <c r="N799" s="6"/>
      <c r="O799" s="16"/>
      <c r="P799" s="6"/>
      <c r="Q799" s="4"/>
      <c r="R799" s="4"/>
      <c r="S799" s="4"/>
      <c r="T799" s="4"/>
      <c r="U799" s="4"/>
      <c r="V799" s="4"/>
      <c r="W799" s="4"/>
      <c r="X799" s="4"/>
      <c r="Y799" s="4"/>
      <c r="Z799" s="4"/>
      <c r="AA799" s="4"/>
      <c r="AB799" s="4"/>
      <c r="AC799" s="4"/>
    </row>
    <row r="800" spans="1:29" ht="12.75" x14ac:dyDescent="0.2">
      <c r="A800" s="16"/>
      <c r="B800" s="6"/>
      <c r="C800" s="6"/>
      <c r="D800" s="6"/>
      <c r="E800" s="4"/>
      <c r="F800" s="6"/>
      <c r="G800" s="6"/>
      <c r="H800" s="6"/>
      <c r="I800" s="6"/>
      <c r="J800" s="6"/>
      <c r="K800" s="6"/>
      <c r="L800" s="6"/>
      <c r="M800" s="6"/>
      <c r="N800" s="6"/>
      <c r="O800" s="16"/>
      <c r="P800" s="6"/>
      <c r="Q800" s="4"/>
      <c r="R800" s="4"/>
      <c r="S800" s="4"/>
      <c r="T800" s="4"/>
      <c r="U800" s="4"/>
      <c r="V800" s="4"/>
      <c r="W800" s="4"/>
      <c r="X800" s="4"/>
      <c r="Y800" s="4"/>
      <c r="Z800" s="4"/>
      <c r="AA800" s="4"/>
      <c r="AB800" s="4"/>
      <c r="AC800" s="4"/>
    </row>
    <row r="801" spans="1:29" ht="12.75" x14ac:dyDescent="0.2">
      <c r="A801" s="16"/>
      <c r="B801" s="6"/>
      <c r="C801" s="6"/>
      <c r="D801" s="6"/>
      <c r="E801" s="4"/>
      <c r="F801" s="6"/>
      <c r="G801" s="6"/>
      <c r="H801" s="6"/>
      <c r="I801" s="6"/>
      <c r="J801" s="6"/>
      <c r="K801" s="6"/>
      <c r="L801" s="6"/>
      <c r="M801" s="6"/>
      <c r="N801" s="6"/>
      <c r="O801" s="16"/>
      <c r="P801" s="6"/>
      <c r="Q801" s="4"/>
      <c r="R801" s="4"/>
      <c r="S801" s="4"/>
      <c r="T801" s="4"/>
      <c r="U801" s="4"/>
      <c r="V801" s="4"/>
      <c r="W801" s="4"/>
      <c r="X801" s="4"/>
      <c r="Y801" s="4"/>
      <c r="Z801" s="4"/>
      <c r="AA801" s="4"/>
      <c r="AB801" s="4"/>
      <c r="AC801" s="4"/>
    </row>
    <row r="802" spans="1:29" ht="12.75" x14ac:dyDescent="0.2">
      <c r="A802" s="16"/>
      <c r="B802" s="6"/>
      <c r="C802" s="6"/>
      <c r="D802" s="6"/>
      <c r="E802" s="4"/>
      <c r="F802" s="6"/>
      <c r="G802" s="6"/>
      <c r="H802" s="6"/>
      <c r="I802" s="6"/>
      <c r="J802" s="6"/>
      <c r="K802" s="6"/>
      <c r="L802" s="6"/>
      <c r="M802" s="6"/>
      <c r="N802" s="6"/>
      <c r="O802" s="16"/>
      <c r="P802" s="6"/>
      <c r="Q802" s="4"/>
      <c r="R802" s="4"/>
      <c r="S802" s="4"/>
      <c r="T802" s="4"/>
      <c r="U802" s="4"/>
      <c r="V802" s="4"/>
      <c r="W802" s="4"/>
      <c r="X802" s="4"/>
      <c r="Y802" s="4"/>
      <c r="Z802" s="4"/>
      <c r="AA802" s="4"/>
      <c r="AB802" s="4"/>
      <c r="AC802" s="4"/>
    </row>
    <row r="803" spans="1:29" ht="12.75" x14ac:dyDescent="0.2">
      <c r="A803" s="16"/>
      <c r="B803" s="6"/>
      <c r="C803" s="6"/>
      <c r="D803" s="6"/>
      <c r="E803" s="4"/>
      <c r="F803" s="6"/>
      <c r="G803" s="6"/>
      <c r="H803" s="6"/>
      <c r="I803" s="6"/>
      <c r="J803" s="6"/>
      <c r="K803" s="6"/>
      <c r="L803" s="6"/>
      <c r="M803" s="6"/>
      <c r="N803" s="6"/>
      <c r="O803" s="16"/>
      <c r="P803" s="6"/>
      <c r="Q803" s="4"/>
      <c r="R803" s="4"/>
      <c r="S803" s="4"/>
      <c r="T803" s="4"/>
      <c r="U803" s="4"/>
      <c r="V803" s="4"/>
      <c r="W803" s="4"/>
      <c r="X803" s="4"/>
      <c r="Y803" s="4"/>
      <c r="Z803" s="4"/>
      <c r="AA803" s="4"/>
      <c r="AB803" s="4"/>
      <c r="AC803" s="4"/>
    </row>
    <row r="804" spans="1:29" ht="12.75" x14ac:dyDescent="0.2">
      <c r="A804" s="16"/>
      <c r="B804" s="6"/>
      <c r="C804" s="6"/>
      <c r="D804" s="6"/>
      <c r="E804" s="4"/>
      <c r="F804" s="6"/>
      <c r="G804" s="6"/>
      <c r="H804" s="6"/>
      <c r="I804" s="6"/>
      <c r="J804" s="6"/>
      <c r="K804" s="6"/>
      <c r="L804" s="6"/>
      <c r="M804" s="6"/>
      <c r="N804" s="6"/>
      <c r="O804" s="16"/>
      <c r="P804" s="6"/>
      <c r="Q804" s="4"/>
      <c r="R804" s="4"/>
      <c r="S804" s="4"/>
      <c r="T804" s="4"/>
      <c r="U804" s="4"/>
      <c r="V804" s="4"/>
      <c r="W804" s="4"/>
      <c r="X804" s="4"/>
      <c r="Y804" s="4"/>
      <c r="Z804" s="4"/>
      <c r="AA804" s="4"/>
      <c r="AB804" s="4"/>
      <c r="AC804" s="4"/>
    </row>
    <row r="805" spans="1:29" ht="12.75" x14ac:dyDescent="0.2">
      <c r="A805" s="16"/>
      <c r="B805" s="6"/>
      <c r="C805" s="6"/>
      <c r="D805" s="6"/>
      <c r="E805" s="4"/>
      <c r="F805" s="6"/>
      <c r="G805" s="6"/>
      <c r="H805" s="6"/>
      <c r="I805" s="6"/>
      <c r="J805" s="6"/>
      <c r="K805" s="6"/>
      <c r="L805" s="6"/>
      <c r="M805" s="6"/>
      <c r="N805" s="6"/>
      <c r="O805" s="16"/>
      <c r="P805" s="6"/>
      <c r="Q805" s="4"/>
      <c r="R805" s="4"/>
      <c r="S805" s="4"/>
      <c r="T805" s="4"/>
      <c r="U805" s="4"/>
      <c r="V805" s="4"/>
      <c r="W805" s="4"/>
      <c r="X805" s="4"/>
      <c r="Y805" s="4"/>
      <c r="Z805" s="4"/>
      <c r="AA805" s="4"/>
      <c r="AB805" s="4"/>
      <c r="AC805" s="4"/>
    </row>
    <row r="806" spans="1:29" ht="12.75" x14ac:dyDescent="0.2">
      <c r="A806" s="16"/>
      <c r="B806" s="6"/>
      <c r="C806" s="6"/>
      <c r="D806" s="6"/>
      <c r="E806" s="4"/>
      <c r="F806" s="6"/>
      <c r="G806" s="6"/>
      <c r="H806" s="6"/>
      <c r="I806" s="6"/>
      <c r="J806" s="6"/>
      <c r="K806" s="6"/>
      <c r="L806" s="6"/>
      <c r="M806" s="6"/>
      <c r="N806" s="6"/>
      <c r="O806" s="16"/>
      <c r="P806" s="6"/>
      <c r="Q806" s="4"/>
      <c r="R806" s="4"/>
      <c r="S806" s="4"/>
      <c r="T806" s="4"/>
      <c r="U806" s="4"/>
      <c r="V806" s="4"/>
      <c r="W806" s="4"/>
      <c r="X806" s="4"/>
      <c r="Y806" s="4"/>
      <c r="Z806" s="4"/>
      <c r="AA806" s="4"/>
      <c r="AB806" s="4"/>
      <c r="AC806" s="4"/>
    </row>
    <row r="807" spans="1:29" ht="12.75" x14ac:dyDescent="0.2">
      <c r="A807" s="16"/>
      <c r="B807" s="6"/>
      <c r="C807" s="6"/>
      <c r="D807" s="6"/>
      <c r="E807" s="4"/>
      <c r="F807" s="6"/>
      <c r="G807" s="6"/>
      <c r="H807" s="6"/>
      <c r="I807" s="6"/>
      <c r="J807" s="6"/>
      <c r="K807" s="6"/>
      <c r="L807" s="6"/>
      <c r="M807" s="6"/>
      <c r="N807" s="6"/>
      <c r="O807" s="16"/>
      <c r="P807" s="6"/>
      <c r="Q807" s="4"/>
      <c r="R807" s="4"/>
      <c r="S807" s="4"/>
      <c r="T807" s="4"/>
      <c r="U807" s="4"/>
      <c r="V807" s="4"/>
      <c r="W807" s="4"/>
      <c r="X807" s="4"/>
      <c r="Y807" s="4"/>
      <c r="Z807" s="4"/>
      <c r="AA807" s="4"/>
      <c r="AB807" s="4"/>
      <c r="AC807" s="4"/>
    </row>
    <row r="808" spans="1:29" ht="12.75" x14ac:dyDescent="0.2">
      <c r="A808" s="16"/>
      <c r="B808" s="6"/>
      <c r="C808" s="6"/>
      <c r="D808" s="6"/>
      <c r="E808" s="4"/>
      <c r="F808" s="6"/>
      <c r="G808" s="6"/>
      <c r="H808" s="6"/>
      <c r="I808" s="6"/>
      <c r="J808" s="6"/>
      <c r="K808" s="6"/>
      <c r="L808" s="6"/>
      <c r="M808" s="6"/>
      <c r="N808" s="6"/>
      <c r="O808" s="16"/>
      <c r="P808" s="6"/>
      <c r="Q808" s="4"/>
      <c r="R808" s="4"/>
      <c r="S808" s="4"/>
      <c r="T808" s="4"/>
      <c r="U808" s="4"/>
      <c r="V808" s="4"/>
      <c r="W808" s="4"/>
      <c r="X808" s="4"/>
      <c r="Y808" s="4"/>
      <c r="Z808" s="4"/>
      <c r="AA808" s="4"/>
      <c r="AB808" s="4"/>
      <c r="AC808" s="4"/>
    </row>
    <row r="809" spans="1:29" ht="12.75" x14ac:dyDescent="0.2">
      <c r="A809" s="16"/>
      <c r="B809" s="6"/>
      <c r="C809" s="6"/>
      <c r="D809" s="6"/>
      <c r="E809" s="4"/>
      <c r="F809" s="6"/>
      <c r="G809" s="6"/>
      <c r="H809" s="6"/>
      <c r="I809" s="6"/>
      <c r="J809" s="6"/>
      <c r="K809" s="6"/>
      <c r="L809" s="6"/>
      <c r="M809" s="6"/>
      <c r="N809" s="6"/>
      <c r="O809" s="16"/>
      <c r="P809" s="6"/>
      <c r="Q809" s="4"/>
      <c r="R809" s="4"/>
      <c r="S809" s="4"/>
      <c r="T809" s="4"/>
      <c r="U809" s="4"/>
      <c r="V809" s="4"/>
      <c r="W809" s="4"/>
      <c r="X809" s="4"/>
      <c r="Y809" s="4"/>
      <c r="Z809" s="4"/>
      <c r="AA809" s="4"/>
      <c r="AB809" s="4"/>
      <c r="AC809" s="4"/>
    </row>
    <row r="810" spans="1:29" ht="12.75" x14ac:dyDescent="0.2">
      <c r="A810" s="16"/>
      <c r="B810" s="6"/>
      <c r="C810" s="6"/>
      <c r="D810" s="6"/>
      <c r="E810" s="4"/>
      <c r="F810" s="6"/>
      <c r="G810" s="6"/>
      <c r="H810" s="6"/>
      <c r="I810" s="6"/>
      <c r="J810" s="6"/>
      <c r="K810" s="6"/>
      <c r="L810" s="6"/>
      <c r="M810" s="6"/>
      <c r="N810" s="6"/>
      <c r="O810" s="16"/>
      <c r="P810" s="6"/>
      <c r="Q810" s="4"/>
      <c r="R810" s="4"/>
      <c r="S810" s="4"/>
      <c r="T810" s="4"/>
      <c r="U810" s="4"/>
      <c r="V810" s="4"/>
      <c r="W810" s="4"/>
      <c r="X810" s="4"/>
      <c r="Y810" s="4"/>
      <c r="Z810" s="4"/>
      <c r="AA810" s="4"/>
      <c r="AB810" s="4"/>
      <c r="AC810" s="4"/>
    </row>
    <row r="811" spans="1:29" ht="12.75" x14ac:dyDescent="0.2">
      <c r="A811" s="16"/>
      <c r="B811" s="6"/>
      <c r="C811" s="6"/>
      <c r="D811" s="6"/>
      <c r="E811" s="4"/>
      <c r="F811" s="6"/>
      <c r="G811" s="6"/>
      <c r="H811" s="6"/>
      <c r="I811" s="6"/>
      <c r="J811" s="6"/>
      <c r="K811" s="6"/>
      <c r="L811" s="6"/>
      <c r="M811" s="6"/>
      <c r="N811" s="6"/>
      <c r="O811" s="16"/>
      <c r="P811" s="6"/>
      <c r="Q811" s="4"/>
      <c r="R811" s="4"/>
      <c r="S811" s="4"/>
      <c r="T811" s="4"/>
      <c r="U811" s="4"/>
      <c r="V811" s="4"/>
      <c r="W811" s="4"/>
      <c r="X811" s="4"/>
      <c r="Y811" s="4"/>
      <c r="Z811" s="4"/>
      <c r="AA811" s="4"/>
      <c r="AB811" s="4"/>
      <c r="AC811" s="4"/>
    </row>
    <row r="812" spans="1:29" ht="12.75" x14ac:dyDescent="0.2">
      <c r="A812" s="16"/>
      <c r="B812" s="6"/>
      <c r="C812" s="6"/>
      <c r="D812" s="6"/>
      <c r="E812" s="4"/>
      <c r="F812" s="6"/>
      <c r="G812" s="6"/>
      <c r="H812" s="6"/>
      <c r="I812" s="6"/>
      <c r="J812" s="6"/>
      <c r="K812" s="6"/>
      <c r="L812" s="6"/>
      <c r="M812" s="6"/>
      <c r="N812" s="6"/>
      <c r="O812" s="16"/>
      <c r="P812" s="6"/>
      <c r="Q812" s="4"/>
      <c r="R812" s="4"/>
      <c r="S812" s="4"/>
      <c r="T812" s="4"/>
      <c r="U812" s="4"/>
      <c r="V812" s="4"/>
      <c r="W812" s="4"/>
      <c r="X812" s="4"/>
      <c r="Y812" s="4"/>
      <c r="Z812" s="4"/>
      <c r="AA812" s="4"/>
      <c r="AB812" s="4"/>
      <c r="AC812" s="4"/>
    </row>
    <row r="813" spans="1:29" ht="12.75" x14ac:dyDescent="0.2">
      <c r="A813" s="16"/>
      <c r="B813" s="6"/>
      <c r="C813" s="6"/>
      <c r="D813" s="6"/>
      <c r="E813" s="4"/>
      <c r="F813" s="6"/>
      <c r="G813" s="6"/>
      <c r="H813" s="6"/>
      <c r="I813" s="6"/>
      <c r="J813" s="6"/>
      <c r="K813" s="6"/>
      <c r="L813" s="6"/>
      <c r="M813" s="6"/>
      <c r="N813" s="6"/>
      <c r="O813" s="16"/>
      <c r="P813" s="6"/>
      <c r="Q813" s="4"/>
      <c r="R813" s="4"/>
      <c r="S813" s="4"/>
      <c r="T813" s="4"/>
      <c r="U813" s="4"/>
      <c r="V813" s="4"/>
      <c r="W813" s="4"/>
      <c r="X813" s="4"/>
      <c r="Y813" s="4"/>
      <c r="Z813" s="4"/>
      <c r="AA813" s="4"/>
      <c r="AB813" s="4"/>
      <c r="AC813" s="4"/>
    </row>
    <row r="814" spans="1:29" ht="12.75" x14ac:dyDescent="0.2">
      <c r="A814" s="16"/>
      <c r="B814" s="6"/>
      <c r="C814" s="6"/>
      <c r="D814" s="6"/>
      <c r="E814" s="4"/>
      <c r="F814" s="6"/>
      <c r="G814" s="6"/>
      <c r="H814" s="6"/>
      <c r="I814" s="6"/>
      <c r="J814" s="6"/>
      <c r="K814" s="6"/>
      <c r="L814" s="6"/>
      <c r="M814" s="6"/>
      <c r="N814" s="6"/>
      <c r="O814" s="16"/>
      <c r="P814" s="6"/>
      <c r="Q814" s="4"/>
      <c r="R814" s="4"/>
      <c r="S814" s="4"/>
      <c r="T814" s="4"/>
      <c r="U814" s="4"/>
      <c r="V814" s="4"/>
      <c r="W814" s="4"/>
      <c r="X814" s="4"/>
      <c r="Y814" s="4"/>
      <c r="Z814" s="4"/>
      <c r="AA814" s="4"/>
      <c r="AB814" s="4"/>
      <c r="AC814" s="4"/>
    </row>
    <row r="815" spans="1:29" ht="12.75" x14ac:dyDescent="0.2">
      <c r="A815" s="16"/>
      <c r="B815" s="6"/>
      <c r="C815" s="6"/>
      <c r="D815" s="6"/>
      <c r="E815" s="4"/>
      <c r="F815" s="6"/>
      <c r="G815" s="6"/>
      <c r="H815" s="6"/>
      <c r="I815" s="6"/>
      <c r="J815" s="6"/>
      <c r="K815" s="6"/>
      <c r="L815" s="6"/>
      <c r="M815" s="6"/>
      <c r="N815" s="6"/>
      <c r="O815" s="16"/>
      <c r="P815" s="6"/>
      <c r="Q815" s="4"/>
      <c r="R815" s="4"/>
      <c r="S815" s="4"/>
      <c r="T815" s="4"/>
      <c r="U815" s="4"/>
      <c r="V815" s="4"/>
      <c r="W815" s="4"/>
      <c r="X815" s="4"/>
      <c r="Y815" s="4"/>
      <c r="Z815" s="4"/>
      <c r="AA815" s="4"/>
      <c r="AB815" s="4"/>
      <c r="AC815" s="4"/>
    </row>
    <row r="816" spans="1:29" ht="12.75" x14ac:dyDescent="0.2">
      <c r="A816" s="16"/>
      <c r="B816" s="6"/>
      <c r="C816" s="6"/>
      <c r="D816" s="6"/>
      <c r="E816" s="4"/>
      <c r="F816" s="6"/>
      <c r="G816" s="6"/>
      <c r="H816" s="6"/>
      <c r="I816" s="6"/>
      <c r="J816" s="6"/>
      <c r="K816" s="6"/>
      <c r="L816" s="6"/>
      <c r="M816" s="6"/>
      <c r="N816" s="6"/>
      <c r="O816" s="16"/>
      <c r="P816" s="6"/>
      <c r="Q816" s="4"/>
      <c r="R816" s="4"/>
      <c r="S816" s="4"/>
      <c r="T816" s="4"/>
      <c r="U816" s="4"/>
      <c r="V816" s="4"/>
      <c r="W816" s="4"/>
      <c r="X816" s="4"/>
      <c r="Y816" s="4"/>
      <c r="Z816" s="4"/>
      <c r="AA816" s="4"/>
      <c r="AB816" s="4"/>
      <c r="AC816" s="4"/>
    </row>
    <row r="817" spans="1:29" ht="12.75" x14ac:dyDescent="0.2">
      <c r="A817" s="16"/>
      <c r="B817" s="6"/>
      <c r="C817" s="6"/>
      <c r="D817" s="6"/>
      <c r="E817" s="4"/>
      <c r="F817" s="6"/>
      <c r="G817" s="6"/>
      <c r="H817" s="6"/>
      <c r="I817" s="6"/>
      <c r="J817" s="6"/>
      <c r="K817" s="6"/>
      <c r="L817" s="6"/>
      <c r="M817" s="6"/>
      <c r="N817" s="6"/>
      <c r="O817" s="16"/>
      <c r="P817" s="6"/>
      <c r="Q817" s="4"/>
      <c r="R817" s="4"/>
      <c r="S817" s="4"/>
      <c r="T817" s="4"/>
      <c r="U817" s="4"/>
      <c r="V817" s="4"/>
      <c r="W817" s="4"/>
      <c r="X817" s="4"/>
      <c r="Y817" s="4"/>
      <c r="Z817" s="4"/>
      <c r="AA817" s="4"/>
      <c r="AB817" s="4"/>
      <c r="AC817" s="4"/>
    </row>
    <row r="818" spans="1:29" ht="12.75" x14ac:dyDescent="0.2">
      <c r="A818" s="16"/>
      <c r="B818" s="6"/>
      <c r="C818" s="6"/>
      <c r="D818" s="6"/>
      <c r="E818" s="4"/>
      <c r="F818" s="6"/>
      <c r="G818" s="6"/>
      <c r="H818" s="6"/>
      <c r="I818" s="6"/>
      <c r="J818" s="6"/>
      <c r="K818" s="6"/>
      <c r="L818" s="6"/>
      <c r="M818" s="6"/>
      <c r="N818" s="6"/>
      <c r="O818" s="16"/>
      <c r="P818" s="6"/>
      <c r="Q818" s="4"/>
      <c r="R818" s="4"/>
      <c r="S818" s="4"/>
      <c r="T818" s="4"/>
      <c r="U818" s="4"/>
      <c r="V818" s="4"/>
      <c r="W818" s="4"/>
      <c r="X818" s="4"/>
      <c r="Y818" s="4"/>
      <c r="Z818" s="4"/>
      <c r="AA818" s="4"/>
      <c r="AB818" s="4"/>
      <c r="AC818" s="4"/>
    </row>
    <row r="819" spans="1:29" ht="12.75" x14ac:dyDescent="0.2">
      <c r="A819" s="16"/>
      <c r="B819" s="6"/>
      <c r="C819" s="6"/>
      <c r="D819" s="6"/>
      <c r="E819" s="4"/>
      <c r="F819" s="6"/>
      <c r="G819" s="6"/>
      <c r="H819" s="6"/>
      <c r="I819" s="6"/>
      <c r="J819" s="6"/>
      <c r="K819" s="6"/>
      <c r="L819" s="6"/>
      <c r="M819" s="6"/>
      <c r="N819" s="6"/>
      <c r="O819" s="16"/>
      <c r="P819" s="6"/>
      <c r="Q819" s="4"/>
      <c r="R819" s="4"/>
      <c r="S819" s="4"/>
      <c r="T819" s="4"/>
      <c r="U819" s="4"/>
      <c r="V819" s="4"/>
      <c r="W819" s="4"/>
      <c r="X819" s="4"/>
      <c r="Y819" s="4"/>
      <c r="Z819" s="4"/>
      <c r="AA819" s="4"/>
      <c r="AB819" s="4"/>
      <c r="AC819" s="4"/>
    </row>
    <row r="820" spans="1:29" ht="12.75" x14ac:dyDescent="0.2">
      <c r="A820" s="16"/>
      <c r="B820" s="6"/>
      <c r="C820" s="6"/>
      <c r="D820" s="6"/>
      <c r="E820" s="4"/>
      <c r="F820" s="6"/>
      <c r="G820" s="6"/>
      <c r="H820" s="6"/>
      <c r="I820" s="6"/>
      <c r="J820" s="6"/>
      <c r="K820" s="6"/>
      <c r="L820" s="6"/>
      <c r="M820" s="6"/>
      <c r="N820" s="6"/>
      <c r="O820" s="16"/>
      <c r="P820" s="6"/>
      <c r="Q820" s="4"/>
      <c r="R820" s="4"/>
      <c r="S820" s="4"/>
      <c r="T820" s="4"/>
      <c r="U820" s="4"/>
      <c r="V820" s="4"/>
      <c r="W820" s="4"/>
      <c r="X820" s="4"/>
      <c r="Y820" s="4"/>
      <c r="Z820" s="4"/>
      <c r="AA820" s="4"/>
      <c r="AB820" s="4"/>
      <c r="AC820" s="4"/>
    </row>
    <row r="821" spans="1:29" ht="12.75" x14ac:dyDescent="0.2">
      <c r="A821" s="16"/>
      <c r="B821" s="6"/>
      <c r="C821" s="6"/>
      <c r="D821" s="6"/>
      <c r="E821" s="4"/>
      <c r="F821" s="6"/>
      <c r="G821" s="6"/>
      <c r="H821" s="6"/>
      <c r="I821" s="6"/>
      <c r="J821" s="6"/>
      <c r="K821" s="6"/>
      <c r="L821" s="6"/>
      <c r="M821" s="6"/>
      <c r="N821" s="6"/>
      <c r="O821" s="16"/>
      <c r="P821" s="6"/>
      <c r="Q821" s="4"/>
      <c r="R821" s="4"/>
      <c r="S821" s="4"/>
      <c r="T821" s="4"/>
      <c r="U821" s="4"/>
      <c r="V821" s="4"/>
      <c r="W821" s="4"/>
      <c r="X821" s="4"/>
      <c r="Y821" s="4"/>
      <c r="Z821" s="4"/>
      <c r="AA821" s="4"/>
      <c r="AB821" s="4"/>
      <c r="AC821" s="4"/>
    </row>
    <row r="822" spans="1:29" ht="12.75" x14ac:dyDescent="0.2">
      <c r="A822" s="16"/>
      <c r="B822" s="6"/>
      <c r="C822" s="6"/>
      <c r="D822" s="6"/>
      <c r="E822" s="4"/>
      <c r="F822" s="6"/>
      <c r="G822" s="6"/>
      <c r="H822" s="6"/>
      <c r="I822" s="6"/>
      <c r="J822" s="6"/>
      <c r="K822" s="6"/>
      <c r="L822" s="6"/>
      <c r="M822" s="6"/>
      <c r="N822" s="6"/>
      <c r="O822" s="16"/>
      <c r="P822" s="6"/>
      <c r="Q822" s="4"/>
      <c r="R822" s="4"/>
      <c r="S822" s="4"/>
      <c r="T822" s="4"/>
      <c r="U822" s="4"/>
      <c r="V822" s="4"/>
      <c r="W822" s="4"/>
      <c r="X822" s="4"/>
      <c r="Y822" s="4"/>
      <c r="Z822" s="4"/>
      <c r="AA822" s="4"/>
      <c r="AB822" s="4"/>
      <c r="AC822" s="4"/>
    </row>
    <row r="823" spans="1:29" ht="12.75" x14ac:dyDescent="0.2">
      <c r="A823" s="16"/>
      <c r="B823" s="6"/>
      <c r="C823" s="6"/>
      <c r="D823" s="6"/>
      <c r="E823" s="4"/>
      <c r="F823" s="6"/>
      <c r="G823" s="6"/>
      <c r="H823" s="6"/>
      <c r="I823" s="6"/>
      <c r="J823" s="6"/>
      <c r="K823" s="6"/>
      <c r="L823" s="6"/>
      <c r="M823" s="6"/>
      <c r="N823" s="6"/>
      <c r="O823" s="16"/>
      <c r="P823" s="6"/>
      <c r="Q823" s="4"/>
      <c r="R823" s="4"/>
      <c r="S823" s="4"/>
      <c r="T823" s="4"/>
      <c r="U823" s="4"/>
      <c r="V823" s="4"/>
      <c r="W823" s="4"/>
      <c r="X823" s="4"/>
      <c r="Y823" s="4"/>
      <c r="Z823" s="4"/>
      <c r="AA823" s="4"/>
      <c r="AB823" s="4"/>
      <c r="AC823" s="4"/>
    </row>
    <row r="824" spans="1:29" ht="12.75" x14ac:dyDescent="0.2">
      <c r="A824" s="16"/>
      <c r="B824" s="6"/>
      <c r="C824" s="6"/>
      <c r="D824" s="6"/>
      <c r="E824" s="4"/>
      <c r="F824" s="6"/>
      <c r="G824" s="6"/>
      <c r="H824" s="6"/>
      <c r="I824" s="6"/>
      <c r="J824" s="6"/>
      <c r="K824" s="6"/>
      <c r="L824" s="6"/>
      <c r="M824" s="6"/>
      <c r="N824" s="6"/>
      <c r="O824" s="16"/>
      <c r="P824" s="6"/>
      <c r="Q824" s="4"/>
      <c r="R824" s="4"/>
      <c r="S824" s="4"/>
      <c r="T824" s="4"/>
      <c r="U824" s="4"/>
      <c r="V824" s="4"/>
      <c r="W824" s="4"/>
      <c r="X824" s="4"/>
      <c r="Y824" s="4"/>
      <c r="Z824" s="4"/>
      <c r="AA824" s="4"/>
      <c r="AB824" s="4"/>
      <c r="AC824" s="4"/>
    </row>
    <row r="825" spans="1:29" ht="12.75" x14ac:dyDescent="0.2">
      <c r="A825" s="16"/>
      <c r="B825" s="6"/>
      <c r="C825" s="6"/>
      <c r="D825" s="6"/>
      <c r="E825" s="4"/>
      <c r="F825" s="6"/>
      <c r="G825" s="6"/>
      <c r="H825" s="6"/>
      <c r="I825" s="6"/>
      <c r="J825" s="6"/>
      <c r="K825" s="6"/>
      <c r="L825" s="6"/>
      <c r="M825" s="6"/>
      <c r="N825" s="6"/>
      <c r="O825" s="16"/>
      <c r="P825" s="6"/>
      <c r="Q825" s="4"/>
      <c r="R825" s="4"/>
      <c r="S825" s="4"/>
      <c r="T825" s="4"/>
      <c r="U825" s="4"/>
      <c r="V825" s="4"/>
      <c r="W825" s="4"/>
      <c r="X825" s="4"/>
      <c r="Y825" s="4"/>
      <c r="Z825" s="4"/>
      <c r="AA825" s="4"/>
      <c r="AB825" s="4"/>
      <c r="AC825" s="4"/>
    </row>
    <row r="826" spans="1:29" ht="12.75" x14ac:dyDescent="0.2">
      <c r="A826" s="16"/>
      <c r="B826" s="6"/>
      <c r="C826" s="6"/>
      <c r="D826" s="6"/>
      <c r="E826" s="4"/>
      <c r="F826" s="6"/>
      <c r="G826" s="6"/>
      <c r="H826" s="6"/>
      <c r="I826" s="6"/>
      <c r="J826" s="6"/>
      <c r="K826" s="6"/>
      <c r="L826" s="6"/>
      <c r="M826" s="6"/>
      <c r="N826" s="6"/>
      <c r="O826" s="16"/>
      <c r="P826" s="6"/>
      <c r="Q826" s="4"/>
      <c r="R826" s="4"/>
      <c r="S826" s="4"/>
      <c r="T826" s="4"/>
      <c r="U826" s="4"/>
      <c r="V826" s="4"/>
      <c r="W826" s="4"/>
      <c r="X826" s="4"/>
      <c r="Y826" s="4"/>
      <c r="Z826" s="4"/>
      <c r="AA826" s="4"/>
      <c r="AB826" s="4"/>
      <c r="AC826" s="4"/>
    </row>
    <row r="827" spans="1:29" ht="12.75" x14ac:dyDescent="0.2">
      <c r="A827" s="16"/>
      <c r="B827" s="6"/>
      <c r="C827" s="6"/>
      <c r="D827" s="6"/>
      <c r="E827" s="4"/>
      <c r="F827" s="6"/>
      <c r="G827" s="6"/>
      <c r="H827" s="6"/>
      <c r="I827" s="6"/>
      <c r="J827" s="6"/>
      <c r="K827" s="6"/>
      <c r="L827" s="6"/>
      <c r="M827" s="6"/>
      <c r="N827" s="6"/>
      <c r="O827" s="16"/>
      <c r="P827" s="6"/>
      <c r="Q827" s="4"/>
      <c r="R827" s="4"/>
      <c r="S827" s="4"/>
      <c r="T827" s="4"/>
      <c r="U827" s="4"/>
      <c r="V827" s="4"/>
      <c r="W827" s="4"/>
      <c r="X827" s="4"/>
      <c r="Y827" s="4"/>
      <c r="Z827" s="4"/>
      <c r="AA827" s="4"/>
      <c r="AB827" s="4"/>
      <c r="AC827" s="4"/>
    </row>
    <row r="828" spans="1:29" ht="12.75" x14ac:dyDescent="0.2">
      <c r="A828" s="16"/>
      <c r="B828" s="6"/>
      <c r="C828" s="6"/>
      <c r="D828" s="6"/>
      <c r="E828" s="4"/>
      <c r="F828" s="6"/>
      <c r="G828" s="6"/>
      <c r="H828" s="6"/>
      <c r="I828" s="6"/>
      <c r="J828" s="6"/>
      <c r="K828" s="6"/>
      <c r="L828" s="6"/>
      <c r="M828" s="6"/>
      <c r="N828" s="6"/>
      <c r="O828" s="16"/>
      <c r="P828" s="6"/>
      <c r="Q828" s="4"/>
      <c r="R828" s="4"/>
      <c r="S828" s="4"/>
      <c r="T828" s="4"/>
      <c r="U828" s="4"/>
      <c r="V828" s="4"/>
      <c r="W828" s="4"/>
      <c r="X828" s="4"/>
      <c r="Y828" s="4"/>
      <c r="Z828" s="4"/>
      <c r="AA828" s="4"/>
      <c r="AB828" s="4"/>
      <c r="AC828" s="4"/>
    </row>
    <row r="829" spans="1:29" ht="12.75" x14ac:dyDescent="0.2">
      <c r="A829" s="16"/>
      <c r="B829" s="6"/>
      <c r="C829" s="6"/>
      <c r="D829" s="6"/>
      <c r="E829" s="4"/>
      <c r="F829" s="6"/>
      <c r="G829" s="6"/>
      <c r="H829" s="6"/>
      <c r="I829" s="6"/>
      <c r="J829" s="6"/>
      <c r="K829" s="6"/>
      <c r="L829" s="6"/>
      <c r="M829" s="6"/>
      <c r="N829" s="6"/>
      <c r="O829" s="16"/>
      <c r="P829" s="6"/>
      <c r="Q829" s="4"/>
      <c r="R829" s="4"/>
      <c r="S829" s="4"/>
      <c r="T829" s="4"/>
      <c r="U829" s="4"/>
      <c r="V829" s="4"/>
      <c r="W829" s="4"/>
      <c r="X829" s="4"/>
      <c r="Y829" s="4"/>
      <c r="Z829" s="4"/>
      <c r="AA829" s="4"/>
      <c r="AB829" s="4"/>
      <c r="AC829" s="4"/>
    </row>
    <row r="830" spans="1:29" ht="12.75" x14ac:dyDescent="0.2">
      <c r="A830" s="16"/>
      <c r="B830" s="6"/>
      <c r="C830" s="6"/>
      <c r="D830" s="6"/>
      <c r="E830" s="4"/>
      <c r="F830" s="6"/>
      <c r="G830" s="6"/>
      <c r="H830" s="6"/>
      <c r="I830" s="6"/>
      <c r="J830" s="6"/>
      <c r="K830" s="6"/>
      <c r="L830" s="6"/>
      <c r="M830" s="6"/>
      <c r="N830" s="6"/>
      <c r="O830" s="16"/>
      <c r="P830" s="6"/>
      <c r="Q830" s="4"/>
      <c r="R830" s="4"/>
      <c r="S830" s="4"/>
      <c r="T830" s="4"/>
      <c r="U830" s="4"/>
      <c r="V830" s="4"/>
      <c r="W830" s="4"/>
      <c r="X830" s="4"/>
      <c r="Y830" s="4"/>
      <c r="Z830" s="4"/>
      <c r="AA830" s="4"/>
      <c r="AB830" s="4"/>
      <c r="AC830" s="4"/>
    </row>
    <row r="831" spans="1:29" ht="12.75" x14ac:dyDescent="0.2">
      <c r="A831" s="16"/>
      <c r="B831" s="6"/>
      <c r="C831" s="6"/>
      <c r="D831" s="6"/>
      <c r="E831" s="4"/>
      <c r="F831" s="6"/>
      <c r="G831" s="6"/>
      <c r="H831" s="6"/>
      <c r="I831" s="6"/>
      <c r="J831" s="6"/>
      <c r="K831" s="6"/>
      <c r="L831" s="6"/>
      <c r="M831" s="6"/>
      <c r="N831" s="6"/>
      <c r="O831" s="16"/>
      <c r="P831" s="6"/>
      <c r="Q831" s="4"/>
      <c r="R831" s="4"/>
      <c r="S831" s="4"/>
      <c r="T831" s="4"/>
      <c r="U831" s="4"/>
      <c r="V831" s="4"/>
      <c r="W831" s="4"/>
      <c r="X831" s="4"/>
      <c r="Y831" s="4"/>
      <c r="Z831" s="4"/>
      <c r="AA831" s="4"/>
      <c r="AB831" s="4"/>
      <c r="AC831" s="4"/>
    </row>
    <row r="832" spans="1:29" ht="12.75" x14ac:dyDescent="0.2">
      <c r="A832" s="16"/>
      <c r="B832" s="6"/>
      <c r="C832" s="6"/>
      <c r="D832" s="6"/>
      <c r="E832" s="4"/>
      <c r="F832" s="6"/>
      <c r="G832" s="6"/>
      <c r="H832" s="6"/>
      <c r="I832" s="6"/>
      <c r="J832" s="6"/>
      <c r="K832" s="6"/>
      <c r="L832" s="6"/>
      <c r="M832" s="6"/>
      <c r="N832" s="6"/>
      <c r="O832" s="16"/>
      <c r="P832" s="6"/>
      <c r="Q832" s="4"/>
      <c r="R832" s="4"/>
      <c r="S832" s="4"/>
      <c r="T832" s="4"/>
      <c r="U832" s="4"/>
      <c r="V832" s="4"/>
      <c r="W832" s="4"/>
      <c r="X832" s="4"/>
      <c r="Y832" s="4"/>
      <c r="Z832" s="4"/>
      <c r="AA832" s="4"/>
      <c r="AB832" s="4"/>
      <c r="AC832" s="4"/>
    </row>
    <row r="833" spans="1:29" ht="12.75" x14ac:dyDescent="0.2">
      <c r="A833" s="16"/>
      <c r="B833" s="6"/>
      <c r="C833" s="6"/>
      <c r="D833" s="6"/>
      <c r="E833" s="4"/>
      <c r="F833" s="6"/>
      <c r="G833" s="6"/>
      <c r="H833" s="6"/>
      <c r="I833" s="6"/>
      <c r="J833" s="6"/>
      <c r="K833" s="6"/>
      <c r="L833" s="6"/>
      <c r="M833" s="6"/>
      <c r="N833" s="6"/>
      <c r="O833" s="16"/>
      <c r="P833" s="6"/>
      <c r="Q833" s="4"/>
      <c r="R833" s="4"/>
      <c r="S833" s="4"/>
      <c r="T833" s="4"/>
      <c r="U833" s="4"/>
      <c r="V833" s="4"/>
      <c r="W833" s="4"/>
      <c r="X833" s="4"/>
      <c r="Y833" s="4"/>
      <c r="Z833" s="4"/>
      <c r="AA833" s="4"/>
      <c r="AB833" s="4"/>
      <c r="AC833" s="4"/>
    </row>
    <row r="834" spans="1:29" ht="12.75" x14ac:dyDescent="0.2">
      <c r="A834" s="16"/>
      <c r="B834" s="6"/>
      <c r="C834" s="6"/>
      <c r="D834" s="6"/>
      <c r="E834" s="4"/>
      <c r="F834" s="6"/>
      <c r="G834" s="6"/>
      <c r="H834" s="6"/>
      <c r="I834" s="6"/>
      <c r="J834" s="6"/>
      <c r="K834" s="6"/>
      <c r="L834" s="6"/>
      <c r="M834" s="6"/>
      <c r="N834" s="6"/>
      <c r="O834" s="16"/>
      <c r="P834" s="6"/>
      <c r="Q834" s="4"/>
      <c r="R834" s="4"/>
      <c r="S834" s="4"/>
      <c r="T834" s="4"/>
      <c r="U834" s="4"/>
      <c r="V834" s="4"/>
      <c r="W834" s="4"/>
      <c r="X834" s="4"/>
      <c r="Y834" s="4"/>
      <c r="Z834" s="4"/>
      <c r="AA834" s="4"/>
      <c r="AB834" s="4"/>
      <c r="AC834" s="4"/>
    </row>
    <row r="835" spans="1:29" ht="12.75" x14ac:dyDescent="0.2">
      <c r="A835" s="16"/>
      <c r="B835" s="6"/>
      <c r="C835" s="6"/>
      <c r="D835" s="6"/>
      <c r="E835" s="4"/>
      <c r="F835" s="6"/>
      <c r="G835" s="6"/>
      <c r="H835" s="6"/>
      <c r="I835" s="6"/>
      <c r="J835" s="6"/>
      <c r="K835" s="6"/>
      <c r="L835" s="6"/>
      <c r="M835" s="6"/>
      <c r="N835" s="6"/>
      <c r="O835" s="16"/>
      <c r="P835" s="6"/>
      <c r="Q835" s="4"/>
      <c r="R835" s="4"/>
      <c r="S835" s="4"/>
      <c r="T835" s="4"/>
      <c r="U835" s="4"/>
      <c r="V835" s="4"/>
      <c r="W835" s="4"/>
      <c r="X835" s="4"/>
      <c r="Y835" s="4"/>
      <c r="Z835" s="4"/>
      <c r="AA835" s="4"/>
      <c r="AB835" s="4"/>
      <c r="AC835" s="4"/>
    </row>
    <row r="836" spans="1:29" ht="12.75" x14ac:dyDescent="0.2">
      <c r="A836" s="16"/>
      <c r="B836" s="6"/>
      <c r="C836" s="6"/>
      <c r="D836" s="6"/>
      <c r="E836" s="4"/>
      <c r="F836" s="6"/>
      <c r="G836" s="6"/>
      <c r="H836" s="6"/>
      <c r="I836" s="6"/>
      <c r="J836" s="6"/>
      <c r="K836" s="6"/>
      <c r="L836" s="6"/>
      <c r="M836" s="6"/>
      <c r="N836" s="6"/>
      <c r="O836" s="16"/>
      <c r="P836" s="6"/>
      <c r="Q836" s="4"/>
      <c r="R836" s="4"/>
      <c r="S836" s="4"/>
      <c r="T836" s="4"/>
      <c r="U836" s="4"/>
      <c r="V836" s="4"/>
      <c r="W836" s="4"/>
      <c r="X836" s="4"/>
      <c r="Y836" s="4"/>
      <c r="Z836" s="4"/>
      <c r="AA836" s="4"/>
      <c r="AB836" s="4"/>
      <c r="AC836" s="4"/>
    </row>
    <row r="837" spans="1:29" ht="12.75" x14ac:dyDescent="0.2">
      <c r="A837" s="16"/>
      <c r="B837" s="6"/>
      <c r="C837" s="6"/>
      <c r="D837" s="6"/>
      <c r="E837" s="4"/>
      <c r="F837" s="6"/>
      <c r="G837" s="6"/>
      <c r="H837" s="6"/>
      <c r="I837" s="6"/>
      <c r="J837" s="6"/>
      <c r="K837" s="6"/>
      <c r="L837" s="6"/>
      <c r="M837" s="6"/>
      <c r="N837" s="6"/>
      <c r="O837" s="16"/>
      <c r="P837" s="6"/>
      <c r="Q837" s="4"/>
      <c r="R837" s="4"/>
      <c r="S837" s="4"/>
      <c r="T837" s="4"/>
      <c r="U837" s="4"/>
      <c r="V837" s="4"/>
      <c r="W837" s="4"/>
      <c r="X837" s="4"/>
      <c r="Y837" s="4"/>
      <c r="Z837" s="4"/>
      <c r="AA837" s="4"/>
      <c r="AB837" s="4"/>
      <c r="AC837" s="4"/>
    </row>
    <row r="838" spans="1:29" ht="12.75" x14ac:dyDescent="0.2">
      <c r="A838" s="16"/>
      <c r="B838" s="6"/>
      <c r="C838" s="6"/>
      <c r="D838" s="6"/>
      <c r="E838" s="4"/>
      <c r="F838" s="6"/>
      <c r="G838" s="6"/>
      <c r="H838" s="6"/>
      <c r="I838" s="6"/>
      <c r="J838" s="6"/>
      <c r="K838" s="6"/>
      <c r="L838" s="6"/>
      <c r="M838" s="6"/>
      <c r="N838" s="6"/>
      <c r="O838" s="16"/>
      <c r="P838" s="6"/>
      <c r="Q838" s="4"/>
      <c r="R838" s="4"/>
      <c r="S838" s="4"/>
      <c r="T838" s="4"/>
      <c r="U838" s="4"/>
      <c r="V838" s="4"/>
      <c r="W838" s="4"/>
      <c r="X838" s="4"/>
      <c r="Y838" s="4"/>
      <c r="Z838" s="4"/>
      <c r="AA838" s="4"/>
      <c r="AB838" s="4"/>
      <c r="AC838" s="4"/>
    </row>
    <row r="839" spans="1:29" ht="12.75" x14ac:dyDescent="0.2">
      <c r="A839" s="16"/>
      <c r="B839" s="6"/>
      <c r="C839" s="6"/>
      <c r="D839" s="6"/>
      <c r="E839" s="4"/>
      <c r="F839" s="6"/>
      <c r="G839" s="6"/>
      <c r="H839" s="6"/>
      <c r="I839" s="6"/>
      <c r="J839" s="6"/>
      <c r="K839" s="6"/>
      <c r="L839" s="6"/>
      <c r="M839" s="6"/>
      <c r="N839" s="6"/>
      <c r="O839" s="16"/>
      <c r="P839" s="6"/>
      <c r="Q839" s="4"/>
      <c r="R839" s="4"/>
      <c r="S839" s="4"/>
      <c r="T839" s="4"/>
      <c r="U839" s="4"/>
      <c r="V839" s="4"/>
      <c r="W839" s="4"/>
      <c r="X839" s="4"/>
      <c r="Y839" s="4"/>
      <c r="Z839" s="4"/>
      <c r="AA839" s="4"/>
      <c r="AB839" s="4"/>
      <c r="AC839" s="4"/>
    </row>
    <row r="840" spans="1:29" ht="12.75" x14ac:dyDescent="0.2">
      <c r="A840" s="16"/>
      <c r="B840" s="6"/>
      <c r="C840" s="6"/>
      <c r="D840" s="6"/>
      <c r="E840" s="4"/>
      <c r="F840" s="6"/>
      <c r="G840" s="6"/>
      <c r="H840" s="6"/>
      <c r="I840" s="6"/>
      <c r="J840" s="6"/>
      <c r="K840" s="6"/>
      <c r="L840" s="6"/>
      <c r="M840" s="6"/>
      <c r="N840" s="6"/>
      <c r="O840" s="16"/>
      <c r="P840" s="6"/>
      <c r="Q840" s="4"/>
      <c r="R840" s="4"/>
      <c r="S840" s="4"/>
      <c r="T840" s="4"/>
      <c r="U840" s="4"/>
      <c r="V840" s="4"/>
      <c r="W840" s="4"/>
      <c r="X840" s="4"/>
      <c r="Y840" s="4"/>
      <c r="Z840" s="4"/>
      <c r="AA840" s="4"/>
      <c r="AB840" s="4"/>
      <c r="AC840" s="4"/>
    </row>
    <row r="841" spans="1:29" ht="12.75" x14ac:dyDescent="0.2">
      <c r="A841" s="16"/>
      <c r="B841" s="6"/>
      <c r="C841" s="6"/>
      <c r="D841" s="6"/>
      <c r="E841" s="4"/>
      <c r="F841" s="6"/>
      <c r="G841" s="6"/>
      <c r="H841" s="6"/>
      <c r="I841" s="6"/>
      <c r="J841" s="6"/>
      <c r="K841" s="6"/>
      <c r="L841" s="6"/>
      <c r="M841" s="6"/>
      <c r="N841" s="6"/>
      <c r="O841" s="16"/>
      <c r="P841" s="6"/>
      <c r="Q841" s="4"/>
      <c r="R841" s="4"/>
      <c r="S841" s="4"/>
      <c r="T841" s="4"/>
      <c r="U841" s="4"/>
      <c r="V841" s="4"/>
      <c r="W841" s="4"/>
      <c r="X841" s="4"/>
      <c r="Y841" s="4"/>
      <c r="Z841" s="4"/>
      <c r="AA841" s="4"/>
      <c r="AB841" s="4"/>
      <c r="AC841" s="4"/>
    </row>
    <row r="842" spans="1:29" ht="12.75" x14ac:dyDescent="0.2">
      <c r="A842" s="16"/>
      <c r="B842" s="6"/>
      <c r="C842" s="6"/>
      <c r="D842" s="6"/>
      <c r="E842" s="4"/>
      <c r="F842" s="6"/>
      <c r="G842" s="6"/>
      <c r="H842" s="6"/>
      <c r="I842" s="6"/>
      <c r="J842" s="6"/>
      <c r="K842" s="6"/>
      <c r="L842" s="6"/>
      <c r="M842" s="6"/>
      <c r="N842" s="6"/>
      <c r="O842" s="16"/>
      <c r="P842" s="6"/>
      <c r="Q842" s="4"/>
      <c r="R842" s="4"/>
      <c r="S842" s="4"/>
      <c r="T842" s="4"/>
      <c r="U842" s="4"/>
      <c r="V842" s="4"/>
      <c r="W842" s="4"/>
      <c r="X842" s="4"/>
      <c r="Y842" s="4"/>
      <c r="Z842" s="4"/>
      <c r="AA842" s="4"/>
      <c r="AB842" s="4"/>
      <c r="AC842" s="4"/>
    </row>
    <row r="843" spans="1:29" ht="12.75" x14ac:dyDescent="0.2">
      <c r="A843" s="16"/>
      <c r="B843" s="6"/>
      <c r="C843" s="6"/>
      <c r="D843" s="6"/>
      <c r="E843" s="4"/>
      <c r="F843" s="6"/>
      <c r="G843" s="6"/>
      <c r="H843" s="6"/>
      <c r="I843" s="6"/>
      <c r="J843" s="6"/>
      <c r="K843" s="6"/>
      <c r="L843" s="6"/>
      <c r="M843" s="6"/>
      <c r="N843" s="6"/>
      <c r="O843" s="16"/>
      <c r="P843" s="6"/>
      <c r="Q843" s="4"/>
      <c r="R843" s="4"/>
      <c r="S843" s="4"/>
      <c r="T843" s="4"/>
      <c r="U843" s="4"/>
      <c r="V843" s="4"/>
      <c r="W843" s="4"/>
      <c r="X843" s="4"/>
      <c r="Y843" s="4"/>
      <c r="Z843" s="4"/>
      <c r="AA843" s="4"/>
      <c r="AB843" s="4"/>
      <c r="AC843" s="4"/>
    </row>
    <row r="844" spans="1:29" ht="12.75" x14ac:dyDescent="0.2">
      <c r="A844" s="16"/>
      <c r="B844" s="6"/>
      <c r="C844" s="6"/>
      <c r="D844" s="6"/>
      <c r="E844" s="4"/>
      <c r="F844" s="6"/>
      <c r="G844" s="6"/>
      <c r="H844" s="6"/>
      <c r="I844" s="6"/>
      <c r="J844" s="6"/>
      <c r="K844" s="6"/>
      <c r="L844" s="6"/>
      <c r="M844" s="6"/>
      <c r="N844" s="6"/>
      <c r="O844" s="16"/>
      <c r="P844" s="6"/>
      <c r="Q844" s="4"/>
      <c r="R844" s="4"/>
      <c r="S844" s="4"/>
      <c r="T844" s="4"/>
      <c r="U844" s="4"/>
      <c r="V844" s="4"/>
      <c r="W844" s="4"/>
      <c r="X844" s="4"/>
      <c r="Y844" s="4"/>
      <c r="Z844" s="4"/>
      <c r="AA844" s="4"/>
      <c r="AB844" s="4"/>
      <c r="AC844" s="4"/>
    </row>
    <row r="845" spans="1:29" ht="12.75" x14ac:dyDescent="0.2">
      <c r="A845" s="16"/>
      <c r="B845" s="6"/>
      <c r="C845" s="6"/>
      <c r="D845" s="6"/>
      <c r="E845" s="4"/>
      <c r="F845" s="6"/>
      <c r="G845" s="6"/>
      <c r="H845" s="6"/>
      <c r="I845" s="6"/>
      <c r="J845" s="6"/>
      <c r="K845" s="6"/>
      <c r="L845" s="6"/>
      <c r="M845" s="6"/>
      <c r="N845" s="6"/>
      <c r="O845" s="16"/>
      <c r="P845" s="6"/>
      <c r="Q845" s="4"/>
      <c r="R845" s="4"/>
      <c r="S845" s="4"/>
      <c r="T845" s="4"/>
      <c r="U845" s="4"/>
      <c r="V845" s="4"/>
      <c r="W845" s="4"/>
      <c r="X845" s="4"/>
      <c r="Y845" s="4"/>
      <c r="Z845" s="4"/>
      <c r="AA845" s="4"/>
      <c r="AB845" s="4"/>
      <c r="AC845" s="4"/>
    </row>
    <row r="846" spans="1:29" ht="12.75" x14ac:dyDescent="0.2">
      <c r="A846" s="16"/>
      <c r="B846" s="6"/>
      <c r="C846" s="6"/>
      <c r="D846" s="6"/>
      <c r="E846" s="4"/>
      <c r="F846" s="6"/>
      <c r="G846" s="6"/>
      <c r="H846" s="6"/>
      <c r="I846" s="6"/>
      <c r="J846" s="6"/>
      <c r="K846" s="6"/>
      <c r="L846" s="6"/>
      <c r="M846" s="6"/>
      <c r="N846" s="6"/>
      <c r="O846" s="16"/>
      <c r="P846" s="6"/>
      <c r="Q846" s="4"/>
      <c r="R846" s="4"/>
      <c r="S846" s="4"/>
      <c r="T846" s="4"/>
      <c r="U846" s="4"/>
      <c r="V846" s="4"/>
      <c r="W846" s="4"/>
      <c r="X846" s="4"/>
      <c r="Y846" s="4"/>
      <c r="Z846" s="4"/>
      <c r="AA846" s="4"/>
      <c r="AB846" s="4"/>
      <c r="AC846" s="4"/>
    </row>
    <row r="847" spans="1:29" ht="12.75" x14ac:dyDescent="0.2">
      <c r="A847" s="16"/>
      <c r="B847" s="6"/>
      <c r="C847" s="6"/>
      <c r="D847" s="6"/>
      <c r="E847" s="4"/>
      <c r="F847" s="6"/>
      <c r="G847" s="6"/>
      <c r="H847" s="6"/>
      <c r="I847" s="6"/>
      <c r="J847" s="6"/>
      <c r="K847" s="6"/>
      <c r="L847" s="6"/>
      <c r="M847" s="6"/>
      <c r="N847" s="6"/>
      <c r="O847" s="16"/>
      <c r="P847" s="6"/>
      <c r="Q847" s="4"/>
      <c r="R847" s="4"/>
      <c r="S847" s="4"/>
      <c r="T847" s="4"/>
      <c r="U847" s="4"/>
      <c r="V847" s="4"/>
      <c r="W847" s="4"/>
      <c r="X847" s="4"/>
      <c r="Y847" s="4"/>
      <c r="Z847" s="4"/>
      <c r="AA847" s="4"/>
      <c r="AB847" s="4"/>
      <c r="AC847" s="4"/>
    </row>
    <row r="848" spans="1:29" ht="12.75" x14ac:dyDescent="0.2">
      <c r="A848" s="16"/>
      <c r="B848" s="6"/>
      <c r="C848" s="6"/>
      <c r="D848" s="6"/>
      <c r="E848" s="4"/>
      <c r="F848" s="6"/>
      <c r="G848" s="6"/>
      <c r="H848" s="6"/>
      <c r="I848" s="6"/>
      <c r="J848" s="6"/>
      <c r="K848" s="6"/>
      <c r="L848" s="6"/>
      <c r="M848" s="6"/>
      <c r="N848" s="6"/>
      <c r="O848" s="16"/>
      <c r="P848" s="6"/>
      <c r="Q848" s="4"/>
      <c r="R848" s="4"/>
      <c r="S848" s="4"/>
      <c r="T848" s="4"/>
      <c r="U848" s="4"/>
      <c r="V848" s="4"/>
      <c r="W848" s="4"/>
      <c r="X848" s="4"/>
      <c r="Y848" s="4"/>
      <c r="Z848" s="4"/>
      <c r="AA848" s="4"/>
      <c r="AB848" s="4"/>
      <c r="AC848" s="4"/>
    </row>
    <row r="849" spans="1:29" ht="12.75" x14ac:dyDescent="0.2">
      <c r="A849" s="16"/>
      <c r="B849" s="6"/>
      <c r="C849" s="6"/>
      <c r="D849" s="6"/>
      <c r="E849" s="4"/>
      <c r="F849" s="6"/>
      <c r="G849" s="6"/>
      <c r="H849" s="6"/>
      <c r="I849" s="6"/>
      <c r="J849" s="6"/>
      <c r="K849" s="6"/>
      <c r="L849" s="6"/>
      <c r="M849" s="6"/>
      <c r="N849" s="6"/>
      <c r="O849" s="16"/>
      <c r="P849" s="6"/>
      <c r="Q849" s="4"/>
      <c r="R849" s="4"/>
      <c r="S849" s="4"/>
      <c r="T849" s="4"/>
      <c r="U849" s="4"/>
      <c r="V849" s="4"/>
      <c r="W849" s="4"/>
      <c r="X849" s="4"/>
      <c r="Y849" s="4"/>
      <c r="Z849" s="4"/>
      <c r="AA849" s="4"/>
      <c r="AB849" s="4"/>
      <c r="AC849" s="4"/>
    </row>
    <row r="850" spans="1:29" ht="12.75" x14ac:dyDescent="0.2">
      <c r="A850" s="16"/>
      <c r="B850" s="6"/>
      <c r="C850" s="6"/>
      <c r="D850" s="6"/>
      <c r="E850" s="4"/>
      <c r="F850" s="6"/>
      <c r="G850" s="6"/>
      <c r="H850" s="6"/>
      <c r="I850" s="6"/>
      <c r="J850" s="6"/>
      <c r="K850" s="6"/>
      <c r="L850" s="6"/>
      <c r="M850" s="6"/>
      <c r="N850" s="6"/>
      <c r="O850" s="16"/>
      <c r="P850" s="6"/>
      <c r="Q850" s="4"/>
      <c r="R850" s="4"/>
      <c r="S850" s="4"/>
      <c r="T850" s="4"/>
      <c r="U850" s="4"/>
      <c r="V850" s="4"/>
      <c r="W850" s="4"/>
      <c r="X850" s="4"/>
      <c r="Y850" s="4"/>
      <c r="Z850" s="4"/>
      <c r="AA850" s="4"/>
      <c r="AB850" s="4"/>
      <c r="AC850" s="4"/>
    </row>
    <row r="851" spans="1:29" ht="12.75" x14ac:dyDescent="0.2">
      <c r="A851" s="16"/>
      <c r="B851" s="6"/>
      <c r="C851" s="6"/>
      <c r="D851" s="6"/>
      <c r="E851" s="4"/>
      <c r="F851" s="6"/>
      <c r="G851" s="6"/>
      <c r="H851" s="6"/>
      <c r="I851" s="6"/>
      <c r="J851" s="6"/>
      <c r="K851" s="6"/>
      <c r="L851" s="6"/>
      <c r="M851" s="6"/>
      <c r="N851" s="6"/>
      <c r="O851" s="16"/>
      <c r="P851" s="6"/>
      <c r="Q851" s="4"/>
      <c r="R851" s="4"/>
      <c r="S851" s="4"/>
      <c r="T851" s="4"/>
      <c r="U851" s="4"/>
      <c r="V851" s="4"/>
      <c r="W851" s="4"/>
      <c r="X851" s="4"/>
      <c r="Y851" s="4"/>
      <c r="Z851" s="4"/>
      <c r="AA851" s="4"/>
      <c r="AB851" s="4"/>
      <c r="AC851" s="4"/>
    </row>
    <row r="852" spans="1:29" ht="12.75" x14ac:dyDescent="0.2">
      <c r="A852" s="16"/>
      <c r="B852" s="6"/>
      <c r="C852" s="6"/>
      <c r="D852" s="6"/>
      <c r="E852" s="4"/>
      <c r="F852" s="6"/>
      <c r="G852" s="6"/>
      <c r="H852" s="6"/>
      <c r="I852" s="6"/>
      <c r="J852" s="6"/>
      <c r="K852" s="6"/>
      <c r="L852" s="6"/>
      <c r="M852" s="6"/>
      <c r="N852" s="6"/>
      <c r="O852" s="16"/>
      <c r="P852" s="6"/>
      <c r="Q852" s="4"/>
      <c r="R852" s="4"/>
      <c r="S852" s="4"/>
      <c r="T852" s="4"/>
      <c r="U852" s="4"/>
      <c r="V852" s="4"/>
      <c r="W852" s="4"/>
      <c r="X852" s="4"/>
      <c r="Y852" s="4"/>
      <c r="Z852" s="4"/>
      <c r="AA852" s="4"/>
      <c r="AB852" s="4"/>
      <c r="AC852" s="4"/>
    </row>
    <row r="853" spans="1:29" ht="12.75" x14ac:dyDescent="0.2">
      <c r="A853" s="16"/>
      <c r="B853" s="6"/>
      <c r="C853" s="6"/>
      <c r="D853" s="6"/>
      <c r="E853" s="4"/>
      <c r="F853" s="6"/>
      <c r="G853" s="6"/>
      <c r="H853" s="6"/>
      <c r="I853" s="6"/>
      <c r="J853" s="6"/>
      <c r="K853" s="6"/>
      <c r="L853" s="6"/>
      <c r="M853" s="6"/>
      <c r="N853" s="6"/>
      <c r="O853" s="16"/>
      <c r="P853" s="6"/>
      <c r="Q853" s="4"/>
      <c r="R853" s="4"/>
      <c r="S853" s="4"/>
      <c r="T853" s="4"/>
      <c r="U853" s="4"/>
      <c r="V853" s="4"/>
      <c r="W853" s="4"/>
      <c r="X853" s="4"/>
      <c r="Y853" s="4"/>
      <c r="Z853" s="4"/>
      <c r="AA853" s="4"/>
      <c r="AB853" s="4"/>
      <c r="AC853" s="4"/>
    </row>
    <row r="854" spans="1:29" ht="12.75" x14ac:dyDescent="0.2">
      <c r="A854" s="16"/>
      <c r="B854" s="6"/>
      <c r="C854" s="6"/>
      <c r="D854" s="6"/>
      <c r="E854" s="4"/>
      <c r="F854" s="6"/>
      <c r="G854" s="6"/>
      <c r="H854" s="6"/>
      <c r="I854" s="6"/>
      <c r="J854" s="6"/>
      <c r="K854" s="6"/>
      <c r="L854" s="6"/>
      <c r="M854" s="6"/>
      <c r="N854" s="6"/>
      <c r="O854" s="16"/>
      <c r="P854" s="6"/>
      <c r="Q854" s="4"/>
      <c r="R854" s="4"/>
      <c r="S854" s="4"/>
      <c r="T854" s="4"/>
      <c r="U854" s="4"/>
      <c r="V854" s="4"/>
      <c r="W854" s="4"/>
      <c r="X854" s="4"/>
      <c r="Y854" s="4"/>
      <c r="Z854" s="4"/>
      <c r="AA854" s="4"/>
      <c r="AB854" s="4"/>
      <c r="AC854" s="4"/>
    </row>
    <row r="855" spans="1:29" ht="12.75" x14ac:dyDescent="0.2">
      <c r="A855" s="16"/>
      <c r="B855" s="6"/>
      <c r="C855" s="6"/>
      <c r="D855" s="6"/>
      <c r="E855" s="4"/>
      <c r="F855" s="6"/>
      <c r="G855" s="6"/>
      <c r="H855" s="6"/>
      <c r="I855" s="6"/>
      <c r="J855" s="6"/>
      <c r="K855" s="6"/>
      <c r="L855" s="6"/>
      <c r="M855" s="6"/>
      <c r="N855" s="6"/>
      <c r="O855" s="16"/>
      <c r="P855" s="6"/>
      <c r="Q855" s="4"/>
      <c r="R855" s="4"/>
      <c r="S855" s="4"/>
      <c r="T855" s="4"/>
      <c r="U855" s="4"/>
      <c r="V855" s="4"/>
      <c r="W855" s="4"/>
      <c r="X855" s="4"/>
      <c r="Y855" s="4"/>
      <c r="Z855" s="4"/>
      <c r="AA855" s="4"/>
      <c r="AB855" s="4"/>
      <c r="AC855" s="4"/>
    </row>
    <row r="856" spans="1:29" ht="12.75" x14ac:dyDescent="0.2">
      <c r="A856" s="16"/>
      <c r="B856" s="6"/>
      <c r="C856" s="6"/>
      <c r="D856" s="6"/>
      <c r="E856" s="4"/>
      <c r="F856" s="6"/>
      <c r="G856" s="6"/>
      <c r="H856" s="6"/>
      <c r="I856" s="6"/>
      <c r="J856" s="6"/>
      <c r="K856" s="6"/>
      <c r="L856" s="6"/>
      <c r="M856" s="6"/>
      <c r="N856" s="6"/>
      <c r="O856" s="16"/>
      <c r="P856" s="6"/>
      <c r="Q856" s="4"/>
      <c r="R856" s="4"/>
      <c r="S856" s="4"/>
      <c r="T856" s="4"/>
      <c r="U856" s="4"/>
      <c r="V856" s="4"/>
      <c r="W856" s="4"/>
      <c r="X856" s="4"/>
      <c r="Y856" s="4"/>
      <c r="Z856" s="4"/>
      <c r="AA856" s="4"/>
      <c r="AB856" s="4"/>
      <c r="AC856" s="4"/>
    </row>
    <row r="857" spans="1:29" ht="12.75" x14ac:dyDescent="0.2">
      <c r="A857" s="16"/>
      <c r="B857" s="6"/>
      <c r="C857" s="6"/>
      <c r="D857" s="6"/>
      <c r="E857" s="4"/>
      <c r="F857" s="6"/>
      <c r="G857" s="6"/>
      <c r="H857" s="6"/>
      <c r="I857" s="6"/>
      <c r="J857" s="6"/>
      <c r="K857" s="6"/>
      <c r="L857" s="6"/>
      <c r="M857" s="6"/>
      <c r="N857" s="6"/>
      <c r="O857" s="16"/>
      <c r="P857" s="6"/>
      <c r="Q857" s="4"/>
      <c r="R857" s="4"/>
      <c r="S857" s="4"/>
      <c r="T857" s="4"/>
      <c r="U857" s="4"/>
      <c r="V857" s="4"/>
      <c r="W857" s="4"/>
      <c r="X857" s="4"/>
      <c r="Y857" s="4"/>
      <c r="Z857" s="4"/>
      <c r="AA857" s="4"/>
      <c r="AB857" s="4"/>
      <c r="AC857" s="4"/>
    </row>
    <row r="858" spans="1:29" ht="12.75" x14ac:dyDescent="0.2">
      <c r="A858" s="16"/>
      <c r="B858" s="6"/>
      <c r="C858" s="6"/>
      <c r="D858" s="6"/>
      <c r="E858" s="4"/>
      <c r="F858" s="6"/>
      <c r="G858" s="6"/>
      <c r="H858" s="6"/>
      <c r="I858" s="6"/>
      <c r="J858" s="6"/>
      <c r="K858" s="6"/>
      <c r="L858" s="6"/>
      <c r="M858" s="6"/>
      <c r="N858" s="6"/>
      <c r="O858" s="16"/>
      <c r="P858" s="6"/>
      <c r="Q858" s="4"/>
      <c r="R858" s="4"/>
      <c r="S858" s="4"/>
      <c r="T858" s="4"/>
      <c r="U858" s="4"/>
      <c r="V858" s="4"/>
      <c r="W858" s="4"/>
      <c r="X858" s="4"/>
      <c r="Y858" s="4"/>
      <c r="Z858" s="4"/>
      <c r="AA858" s="4"/>
      <c r="AB858" s="4"/>
      <c r="AC858" s="4"/>
    </row>
    <row r="859" spans="1:29" ht="12.75" x14ac:dyDescent="0.2">
      <c r="A859" s="16"/>
      <c r="B859" s="6"/>
      <c r="C859" s="6"/>
      <c r="D859" s="6"/>
      <c r="E859" s="4"/>
      <c r="F859" s="6"/>
      <c r="G859" s="6"/>
      <c r="H859" s="6"/>
      <c r="I859" s="6"/>
      <c r="J859" s="6"/>
      <c r="K859" s="6"/>
      <c r="L859" s="6"/>
      <c r="M859" s="6"/>
      <c r="N859" s="6"/>
      <c r="O859" s="16"/>
      <c r="P859" s="6"/>
      <c r="Q859" s="4"/>
      <c r="R859" s="4"/>
      <c r="S859" s="4"/>
      <c r="T859" s="4"/>
      <c r="U859" s="4"/>
      <c r="V859" s="4"/>
      <c r="W859" s="4"/>
      <c r="X859" s="4"/>
      <c r="Y859" s="4"/>
      <c r="Z859" s="4"/>
      <c r="AA859" s="4"/>
      <c r="AB859" s="4"/>
      <c r="AC859" s="4"/>
    </row>
    <row r="860" spans="1:29" ht="12.75" x14ac:dyDescent="0.2">
      <c r="A860" s="16"/>
      <c r="B860" s="6"/>
      <c r="C860" s="6"/>
      <c r="D860" s="6"/>
      <c r="E860" s="4"/>
      <c r="F860" s="6"/>
      <c r="G860" s="6"/>
      <c r="H860" s="6"/>
      <c r="I860" s="6"/>
      <c r="J860" s="6"/>
      <c r="K860" s="6"/>
      <c r="L860" s="6"/>
      <c r="M860" s="6"/>
      <c r="N860" s="6"/>
      <c r="O860" s="16"/>
      <c r="P860" s="6"/>
      <c r="Q860" s="4"/>
      <c r="R860" s="4"/>
      <c r="S860" s="4"/>
      <c r="T860" s="4"/>
      <c r="U860" s="4"/>
      <c r="V860" s="4"/>
      <c r="W860" s="4"/>
      <c r="X860" s="4"/>
      <c r="Y860" s="4"/>
      <c r="Z860" s="4"/>
      <c r="AA860" s="4"/>
      <c r="AB860" s="4"/>
      <c r="AC860" s="4"/>
    </row>
    <row r="861" spans="1:29" ht="12.75" x14ac:dyDescent="0.2">
      <c r="A861" s="16"/>
      <c r="B861" s="6"/>
      <c r="C861" s="6"/>
      <c r="D861" s="6"/>
      <c r="E861" s="4"/>
      <c r="F861" s="6"/>
      <c r="G861" s="6"/>
      <c r="H861" s="6"/>
      <c r="I861" s="6"/>
      <c r="J861" s="6"/>
      <c r="K861" s="6"/>
      <c r="L861" s="6"/>
      <c r="M861" s="6"/>
      <c r="N861" s="6"/>
      <c r="O861" s="16"/>
      <c r="P861" s="6"/>
      <c r="Q861" s="4"/>
      <c r="R861" s="4"/>
      <c r="S861" s="4"/>
      <c r="T861" s="4"/>
      <c r="U861" s="4"/>
      <c r="V861" s="4"/>
      <c r="W861" s="4"/>
      <c r="X861" s="4"/>
      <c r="Y861" s="4"/>
      <c r="Z861" s="4"/>
      <c r="AA861" s="4"/>
      <c r="AB861" s="4"/>
      <c r="AC861" s="4"/>
    </row>
    <row r="862" spans="1:29" ht="12.75" x14ac:dyDescent="0.2">
      <c r="A862" s="16"/>
      <c r="B862" s="6"/>
      <c r="C862" s="6"/>
      <c r="D862" s="6"/>
      <c r="E862" s="4"/>
      <c r="F862" s="6"/>
      <c r="G862" s="6"/>
      <c r="H862" s="6"/>
      <c r="I862" s="6"/>
      <c r="J862" s="6"/>
      <c r="K862" s="6"/>
      <c r="L862" s="6"/>
      <c r="M862" s="6"/>
      <c r="N862" s="6"/>
      <c r="O862" s="16"/>
      <c r="P862" s="6"/>
      <c r="Q862" s="4"/>
      <c r="R862" s="4"/>
      <c r="S862" s="4"/>
      <c r="T862" s="4"/>
      <c r="U862" s="4"/>
      <c r="V862" s="4"/>
      <c r="W862" s="4"/>
      <c r="X862" s="4"/>
      <c r="Y862" s="4"/>
      <c r="Z862" s="4"/>
      <c r="AA862" s="4"/>
      <c r="AB862" s="4"/>
      <c r="AC862" s="4"/>
    </row>
    <row r="863" spans="1:29" ht="12.75" x14ac:dyDescent="0.2">
      <c r="A863" s="16"/>
      <c r="B863" s="6"/>
      <c r="C863" s="6"/>
      <c r="D863" s="6"/>
      <c r="E863" s="4"/>
      <c r="F863" s="6"/>
      <c r="G863" s="6"/>
      <c r="H863" s="6"/>
      <c r="I863" s="6"/>
      <c r="J863" s="6"/>
      <c r="K863" s="6"/>
      <c r="L863" s="6"/>
      <c r="M863" s="6"/>
      <c r="N863" s="6"/>
      <c r="O863" s="16"/>
      <c r="P863" s="6"/>
      <c r="Q863" s="4"/>
      <c r="R863" s="4"/>
      <c r="S863" s="4"/>
      <c r="T863" s="4"/>
      <c r="U863" s="4"/>
      <c r="V863" s="4"/>
      <c r="W863" s="4"/>
      <c r="X863" s="4"/>
      <c r="Y863" s="4"/>
      <c r="Z863" s="4"/>
      <c r="AA863" s="4"/>
      <c r="AB863" s="4"/>
      <c r="AC863" s="4"/>
    </row>
    <row r="864" spans="1:29" ht="12.75" x14ac:dyDescent="0.2">
      <c r="A864" s="16"/>
      <c r="B864" s="6"/>
      <c r="C864" s="6"/>
      <c r="D864" s="6"/>
      <c r="E864" s="4"/>
      <c r="F864" s="6"/>
      <c r="G864" s="6"/>
      <c r="H864" s="6"/>
      <c r="I864" s="6"/>
      <c r="J864" s="6"/>
      <c r="K864" s="6"/>
      <c r="L864" s="6"/>
      <c r="M864" s="6"/>
      <c r="N864" s="6"/>
      <c r="O864" s="16"/>
      <c r="P864" s="6"/>
      <c r="Q864" s="4"/>
      <c r="R864" s="4"/>
      <c r="S864" s="4"/>
      <c r="T864" s="4"/>
      <c r="U864" s="4"/>
      <c r="V864" s="4"/>
      <c r="W864" s="4"/>
      <c r="X864" s="4"/>
      <c r="Y864" s="4"/>
      <c r="Z864" s="4"/>
      <c r="AA864" s="4"/>
      <c r="AB864" s="4"/>
      <c r="AC864" s="4"/>
    </row>
    <row r="865" spans="1:29" ht="12.75" x14ac:dyDescent="0.2">
      <c r="A865" s="16"/>
      <c r="B865" s="6"/>
      <c r="C865" s="6"/>
      <c r="D865" s="6"/>
      <c r="E865" s="4"/>
      <c r="F865" s="6"/>
      <c r="G865" s="6"/>
      <c r="H865" s="6"/>
      <c r="I865" s="6"/>
      <c r="J865" s="6"/>
      <c r="K865" s="6"/>
      <c r="L865" s="6"/>
      <c r="M865" s="6"/>
      <c r="N865" s="6"/>
      <c r="O865" s="16"/>
      <c r="P865" s="6"/>
      <c r="Q865" s="4"/>
      <c r="R865" s="4"/>
      <c r="S865" s="4"/>
      <c r="T865" s="4"/>
      <c r="U865" s="4"/>
      <c r="V865" s="4"/>
      <c r="W865" s="4"/>
      <c r="X865" s="4"/>
      <c r="Y865" s="4"/>
      <c r="Z865" s="4"/>
      <c r="AA865" s="4"/>
      <c r="AB865" s="4"/>
      <c r="AC865" s="4"/>
    </row>
    <row r="866" spans="1:29" ht="12.75" x14ac:dyDescent="0.2">
      <c r="A866" s="16"/>
      <c r="B866" s="6"/>
      <c r="C866" s="6"/>
      <c r="D866" s="6"/>
      <c r="E866" s="4"/>
      <c r="F866" s="6"/>
      <c r="G866" s="6"/>
      <c r="H866" s="6"/>
      <c r="I866" s="6"/>
      <c r="J866" s="6"/>
      <c r="K866" s="6"/>
      <c r="L866" s="6"/>
      <c r="M866" s="6"/>
      <c r="N866" s="6"/>
      <c r="O866" s="16"/>
      <c r="P866" s="6"/>
      <c r="Q866" s="4"/>
      <c r="R866" s="4"/>
      <c r="S866" s="4"/>
      <c r="T866" s="4"/>
      <c r="U866" s="4"/>
      <c r="V866" s="4"/>
      <c r="W866" s="4"/>
      <c r="X866" s="4"/>
      <c r="Y866" s="4"/>
      <c r="Z866" s="4"/>
      <c r="AA866" s="4"/>
      <c r="AB866" s="4"/>
      <c r="AC866" s="4"/>
    </row>
    <row r="867" spans="1:29" ht="12.75" x14ac:dyDescent="0.2">
      <c r="A867" s="16"/>
      <c r="B867" s="6"/>
      <c r="C867" s="6"/>
      <c r="D867" s="6"/>
      <c r="E867" s="4"/>
      <c r="F867" s="6"/>
      <c r="G867" s="6"/>
      <c r="H867" s="6"/>
      <c r="I867" s="6"/>
      <c r="J867" s="6"/>
      <c r="K867" s="6"/>
      <c r="L867" s="6"/>
      <c r="M867" s="6"/>
      <c r="N867" s="6"/>
      <c r="O867" s="16"/>
      <c r="P867" s="6"/>
      <c r="Q867" s="4"/>
      <c r="R867" s="4"/>
      <c r="S867" s="4"/>
      <c r="T867" s="4"/>
      <c r="U867" s="4"/>
      <c r="V867" s="4"/>
      <c r="W867" s="4"/>
      <c r="X867" s="4"/>
      <c r="Y867" s="4"/>
      <c r="Z867" s="4"/>
      <c r="AA867" s="4"/>
      <c r="AB867" s="4"/>
      <c r="AC867" s="4"/>
    </row>
    <row r="868" spans="1:29" ht="12.75" x14ac:dyDescent="0.2">
      <c r="A868" s="16"/>
      <c r="B868" s="6"/>
      <c r="C868" s="6"/>
      <c r="D868" s="6"/>
      <c r="E868" s="4"/>
      <c r="F868" s="6"/>
      <c r="G868" s="6"/>
      <c r="H868" s="6"/>
      <c r="I868" s="6"/>
      <c r="J868" s="6"/>
      <c r="K868" s="6"/>
      <c r="L868" s="6"/>
      <c r="M868" s="6"/>
      <c r="N868" s="6"/>
      <c r="O868" s="16"/>
      <c r="P868" s="6"/>
      <c r="Q868" s="4"/>
      <c r="R868" s="4"/>
      <c r="S868" s="4"/>
      <c r="T868" s="4"/>
      <c r="U868" s="4"/>
      <c r="V868" s="4"/>
      <c r="W868" s="4"/>
      <c r="X868" s="4"/>
      <c r="Y868" s="4"/>
      <c r="Z868" s="4"/>
      <c r="AA868" s="4"/>
      <c r="AB868" s="4"/>
      <c r="AC868" s="4"/>
    </row>
    <row r="869" spans="1:29" ht="12.75" x14ac:dyDescent="0.2">
      <c r="A869" s="16"/>
      <c r="B869" s="6"/>
      <c r="C869" s="6"/>
      <c r="D869" s="6"/>
      <c r="E869" s="4"/>
      <c r="F869" s="6"/>
      <c r="G869" s="6"/>
      <c r="H869" s="6"/>
      <c r="I869" s="6"/>
      <c r="J869" s="6"/>
      <c r="K869" s="6"/>
      <c r="L869" s="6"/>
      <c r="M869" s="6"/>
      <c r="N869" s="6"/>
      <c r="O869" s="16"/>
      <c r="P869" s="6"/>
      <c r="Q869" s="4"/>
      <c r="R869" s="4"/>
      <c r="S869" s="4"/>
      <c r="T869" s="4"/>
      <c r="U869" s="4"/>
      <c r="V869" s="4"/>
      <c r="W869" s="4"/>
      <c r="X869" s="4"/>
      <c r="Y869" s="4"/>
      <c r="Z869" s="4"/>
      <c r="AA869" s="4"/>
      <c r="AB869" s="4"/>
      <c r="AC869" s="4"/>
    </row>
    <row r="870" spans="1:29" ht="12.75" x14ac:dyDescent="0.2">
      <c r="A870" s="16"/>
      <c r="B870" s="6"/>
      <c r="C870" s="6"/>
      <c r="D870" s="6"/>
      <c r="E870" s="4"/>
      <c r="F870" s="6"/>
      <c r="G870" s="6"/>
      <c r="H870" s="6"/>
      <c r="I870" s="6"/>
      <c r="J870" s="6"/>
      <c r="K870" s="6"/>
      <c r="L870" s="6"/>
      <c r="M870" s="6"/>
      <c r="N870" s="6"/>
      <c r="O870" s="16"/>
      <c r="P870" s="6"/>
      <c r="Q870" s="4"/>
      <c r="R870" s="4"/>
      <c r="S870" s="4"/>
      <c r="T870" s="4"/>
      <c r="U870" s="4"/>
      <c r="V870" s="4"/>
      <c r="W870" s="4"/>
      <c r="X870" s="4"/>
      <c r="Y870" s="4"/>
      <c r="Z870" s="4"/>
      <c r="AA870" s="4"/>
      <c r="AB870" s="4"/>
      <c r="AC870" s="4"/>
    </row>
    <row r="871" spans="1:29" ht="12.75" x14ac:dyDescent="0.2">
      <c r="A871" s="16"/>
      <c r="B871" s="6"/>
      <c r="C871" s="6"/>
      <c r="D871" s="6"/>
      <c r="E871" s="4"/>
      <c r="F871" s="6"/>
      <c r="G871" s="6"/>
      <c r="H871" s="6"/>
      <c r="I871" s="6"/>
      <c r="J871" s="6"/>
      <c r="K871" s="6"/>
      <c r="L871" s="6"/>
      <c r="M871" s="6"/>
      <c r="N871" s="6"/>
      <c r="O871" s="16"/>
      <c r="P871" s="6"/>
      <c r="Q871" s="4"/>
      <c r="R871" s="4"/>
      <c r="S871" s="4"/>
      <c r="T871" s="4"/>
      <c r="U871" s="4"/>
      <c r="V871" s="4"/>
      <c r="W871" s="4"/>
      <c r="X871" s="4"/>
      <c r="Y871" s="4"/>
      <c r="Z871" s="4"/>
      <c r="AA871" s="4"/>
      <c r="AB871" s="4"/>
      <c r="AC871" s="4"/>
    </row>
    <row r="872" spans="1:29" ht="12.75" x14ac:dyDescent="0.2">
      <c r="A872" s="16"/>
      <c r="B872" s="6"/>
      <c r="C872" s="6"/>
      <c r="D872" s="6"/>
      <c r="E872" s="4"/>
      <c r="F872" s="6"/>
      <c r="G872" s="6"/>
      <c r="H872" s="6"/>
      <c r="I872" s="6"/>
      <c r="J872" s="6"/>
      <c r="K872" s="6"/>
      <c r="L872" s="6"/>
      <c r="M872" s="6"/>
      <c r="N872" s="6"/>
      <c r="O872" s="16"/>
      <c r="P872" s="6"/>
      <c r="Q872" s="4"/>
      <c r="R872" s="4"/>
      <c r="S872" s="4"/>
      <c r="T872" s="4"/>
      <c r="U872" s="4"/>
      <c r="V872" s="4"/>
      <c r="W872" s="4"/>
      <c r="X872" s="4"/>
      <c r="Y872" s="4"/>
      <c r="Z872" s="4"/>
      <c r="AA872" s="4"/>
      <c r="AB872" s="4"/>
      <c r="AC872" s="4"/>
    </row>
    <row r="873" spans="1:29" ht="12.75" x14ac:dyDescent="0.2">
      <c r="A873" s="16"/>
      <c r="B873" s="6"/>
      <c r="C873" s="6"/>
      <c r="D873" s="6"/>
      <c r="E873" s="4"/>
      <c r="F873" s="6"/>
      <c r="G873" s="6"/>
      <c r="H873" s="6"/>
      <c r="I873" s="6"/>
      <c r="J873" s="6"/>
      <c r="K873" s="6"/>
      <c r="L873" s="6"/>
      <c r="M873" s="6"/>
      <c r="N873" s="6"/>
      <c r="O873" s="16"/>
      <c r="P873" s="6"/>
      <c r="Q873" s="4"/>
      <c r="R873" s="4"/>
      <c r="S873" s="4"/>
      <c r="T873" s="4"/>
      <c r="U873" s="4"/>
      <c r="V873" s="4"/>
      <c r="W873" s="4"/>
      <c r="X873" s="4"/>
      <c r="Y873" s="4"/>
      <c r="Z873" s="4"/>
      <c r="AA873" s="4"/>
      <c r="AB873" s="4"/>
      <c r="AC873" s="4"/>
    </row>
    <row r="874" spans="1:29" ht="12.75" x14ac:dyDescent="0.2">
      <c r="A874" s="16"/>
      <c r="B874" s="6"/>
      <c r="C874" s="6"/>
      <c r="D874" s="6"/>
      <c r="E874" s="4"/>
      <c r="F874" s="6"/>
      <c r="G874" s="6"/>
      <c r="H874" s="6"/>
      <c r="I874" s="6"/>
      <c r="J874" s="6"/>
      <c r="K874" s="6"/>
      <c r="L874" s="6"/>
      <c r="M874" s="6"/>
      <c r="N874" s="6"/>
      <c r="O874" s="16"/>
      <c r="P874" s="6"/>
      <c r="Q874" s="4"/>
      <c r="R874" s="4"/>
      <c r="S874" s="4"/>
      <c r="T874" s="4"/>
      <c r="U874" s="4"/>
      <c r="V874" s="4"/>
      <c r="W874" s="4"/>
      <c r="X874" s="4"/>
      <c r="Y874" s="4"/>
      <c r="Z874" s="4"/>
      <c r="AA874" s="4"/>
      <c r="AB874" s="4"/>
      <c r="AC874" s="4"/>
    </row>
    <row r="875" spans="1:29" ht="12.75" x14ac:dyDescent="0.2">
      <c r="A875" s="16"/>
      <c r="B875" s="6"/>
      <c r="C875" s="6"/>
      <c r="D875" s="6"/>
      <c r="E875" s="4"/>
      <c r="F875" s="6"/>
      <c r="G875" s="6"/>
      <c r="H875" s="6"/>
      <c r="I875" s="6"/>
      <c r="J875" s="6"/>
      <c r="K875" s="6"/>
      <c r="L875" s="6"/>
      <c r="M875" s="6"/>
      <c r="N875" s="6"/>
      <c r="O875" s="16"/>
      <c r="P875" s="6"/>
      <c r="Q875" s="4"/>
      <c r="R875" s="4"/>
      <c r="S875" s="4"/>
      <c r="T875" s="4"/>
      <c r="U875" s="4"/>
      <c r="V875" s="4"/>
      <c r="W875" s="4"/>
      <c r="X875" s="4"/>
      <c r="Y875" s="4"/>
      <c r="Z875" s="4"/>
      <c r="AA875" s="4"/>
      <c r="AB875" s="4"/>
      <c r="AC875" s="4"/>
    </row>
    <row r="876" spans="1:29" ht="12.75" x14ac:dyDescent="0.2">
      <c r="A876" s="16"/>
      <c r="B876" s="6"/>
      <c r="C876" s="6"/>
      <c r="D876" s="6"/>
      <c r="E876" s="4"/>
      <c r="F876" s="6"/>
      <c r="G876" s="6"/>
      <c r="H876" s="6"/>
      <c r="I876" s="6"/>
      <c r="J876" s="6"/>
      <c r="K876" s="6"/>
      <c r="L876" s="6"/>
      <c r="M876" s="6"/>
      <c r="N876" s="6"/>
      <c r="O876" s="16"/>
      <c r="P876" s="6"/>
      <c r="Q876" s="4"/>
      <c r="R876" s="4"/>
      <c r="S876" s="4"/>
      <c r="T876" s="4"/>
      <c r="U876" s="4"/>
      <c r="V876" s="4"/>
      <c r="W876" s="4"/>
      <c r="X876" s="4"/>
      <c r="Y876" s="4"/>
      <c r="Z876" s="4"/>
      <c r="AA876" s="4"/>
      <c r="AB876" s="4"/>
      <c r="AC876" s="4"/>
    </row>
    <row r="877" spans="1:29" ht="12.75" x14ac:dyDescent="0.2">
      <c r="A877" s="16"/>
      <c r="B877" s="6"/>
      <c r="C877" s="6"/>
      <c r="D877" s="6"/>
      <c r="E877" s="4"/>
      <c r="F877" s="6"/>
      <c r="G877" s="6"/>
      <c r="H877" s="6"/>
      <c r="I877" s="6"/>
      <c r="J877" s="6"/>
      <c r="K877" s="6"/>
      <c r="L877" s="6"/>
      <c r="M877" s="6"/>
      <c r="N877" s="6"/>
      <c r="O877" s="16"/>
      <c r="P877" s="6"/>
      <c r="Q877" s="4"/>
      <c r="R877" s="4"/>
      <c r="S877" s="4"/>
      <c r="T877" s="4"/>
      <c r="U877" s="4"/>
      <c r="V877" s="4"/>
      <c r="W877" s="4"/>
      <c r="X877" s="4"/>
      <c r="Y877" s="4"/>
      <c r="Z877" s="4"/>
      <c r="AA877" s="4"/>
      <c r="AB877" s="4"/>
      <c r="AC877" s="4"/>
    </row>
    <row r="878" spans="1:29" ht="12.75" x14ac:dyDescent="0.2">
      <c r="A878" s="16"/>
      <c r="B878" s="6"/>
      <c r="C878" s="6"/>
      <c r="D878" s="6"/>
      <c r="E878" s="4"/>
      <c r="F878" s="6"/>
      <c r="G878" s="6"/>
      <c r="H878" s="6"/>
      <c r="I878" s="6"/>
      <c r="J878" s="6"/>
      <c r="K878" s="6"/>
      <c r="L878" s="6"/>
      <c r="M878" s="6"/>
      <c r="N878" s="6"/>
      <c r="O878" s="16"/>
      <c r="P878" s="6"/>
      <c r="Q878" s="4"/>
      <c r="R878" s="4"/>
      <c r="S878" s="4"/>
      <c r="T878" s="4"/>
      <c r="U878" s="4"/>
      <c r="V878" s="4"/>
      <c r="W878" s="4"/>
      <c r="X878" s="4"/>
      <c r="Y878" s="4"/>
      <c r="Z878" s="4"/>
      <c r="AA878" s="4"/>
      <c r="AB878" s="4"/>
      <c r="AC878" s="4"/>
    </row>
    <row r="879" spans="1:29" ht="12.75" x14ac:dyDescent="0.2">
      <c r="A879" s="16"/>
      <c r="B879" s="6"/>
      <c r="C879" s="6"/>
      <c r="D879" s="6"/>
      <c r="E879" s="4"/>
      <c r="F879" s="6"/>
      <c r="G879" s="6"/>
      <c r="H879" s="6"/>
      <c r="I879" s="6"/>
      <c r="J879" s="6"/>
      <c r="K879" s="6"/>
      <c r="L879" s="6"/>
      <c r="M879" s="6"/>
      <c r="N879" s="6"/>
      <c r="O879" s="16"/>
      <c r="P879" s="6"/>
      <c r="Q879" s="4"/>
      <c r="R879" s="4"/>
      <c r="S879" s="4"/>
      <c r="T879" s="4"/>
      <c r="U879" s="4"/>
      <c r="V879" s="4"/>
      <c r="W879" s="4"/>
      <c r="X879" s="4"/>
      <c r="Y879" s="4"/>
      <c r="Z879" s="4"/>
      <c r="AA879" s="4"/>
      <c r="AB879" s="4"/>
      <c r="AC879" s="4"/>
    </row>
    <row r="880" spans="1:29" ht="12.75" x14ac:dyDescent="0.2">
      <c r="A880" s="16"/>
      <c r="B880" s="6"/>
      <c r="C880" s="6"/>
      <c r="D880" s="6"/>
      <c r="E880" s="4"/>
      <c r="F880" s="6"/>
      <c r="G880" s="6"/>
      <c r="H880" s="6"/>
      <c r="I880" s="6"/>
      <c r="J880" s="6"/>
      <c r="K880" s="6"/>
      <c r="L880" s="6"/>
      <c r="M880" s="6"/>
      <c r="N880" s="6"/>
      <c r="O880" s="16"/>
      <c r="P880" s="6"/>
      <c r="Q880" s="4"/>
      <c r="R880" s="4"/>
      <c r="S880" s="4"/>
      <c r="T880" s="4"/>
      <c r="U880" s="4"/>
      <c r="V880" s="4"/>
      <c r="W880" s="4"/>
      <c r="X880" s="4"/>
      <c r="Y880" s="4"/>
      <c r="Z880" s="4"/>
      <c r="AA880" s="4"/>
      <c r="AB880" s="4"/>
      <c r="AC880" s="4"/>
    </row>
    <row r="881" spans="1:29" ht="12.75" x14ac:dyDescent="0.2">
      <c r="A881" s="16"/>
      <c r="B881" s="6"/>
      <c r="C881" s="6"/>
      <c r="D881" s="6"/>
      <c r="E881" s="4"/>
      <c r="F881" s="6"/>
      <c r="G881" s="6"/>
      <c r="H881" s="6"/>
      <c r="I881" s="6"/>
      <c r="J881" s="6"/>
      <c r="K881" s="6"/>
      <c r="L881" s="6"/>
      <c r="M881" s="6"/>
      <c r="N881" s="6"/>
      <c r="O881" s="16"/>
      <c r="P881" s="6"/>
      <c r="Q881" s="4"/>
      <c r="R881" s="4"/>
      <c r="S881" s="4"/>
      <c r="T881" s="4"/>
      <c r="U881" s="4"/>
      <c r="V881" s="4"/>
      <c r="W881" s="4"/>
      <c r="X881" s="4"/>
      <c r="Y881" s="4"/>
      <c r="Z881" s="4"/>
      <c r="AA881" s="4"/>
      <c r="AB881" s="4"/>
      <c r="AC881" s="4"/>
    </row>
    <row r="882" spans="1:29" ht="12.75" x14ac:dyDescent="0.2">
      <c r="A882" s="16"/>
      <c r="B882" s="6"/>
      <c r="C882" s="6"/>
      <c r="D882" s="6"/>
      <c r="E882" s="4"/>
      <c r="F882" s="6"/>
      <c r="G882" s="6"/>
      <c r="H882" s="6"/>
      <c r="I882" s="6"/>
      <c r="J882" s="6"/>
      <c r="K882" s="6"/>
      <c r="L882" s="6"/>
      <c r="M882" s="6"/>
      <c r="N882" s="6"/>
      <c r="O882" s="16"/>
      <c r="P882" s="6"/>
      <c r="Q882" s="4"/>
      <c r="R882" s="4"/>
      <c r="S882" s="4"/>
      <c r="T882" s="4"/>
      <c r="U882" s="4"/>
      <c r="V882" s="4"/>
      <c r="W882" s="4"/>
      <c r="X882" s="4"/>
      <c r="Y882" s="4"/>
      <c r="Z882" s="4"/>
      <c r="AA882" s="4"/>
      <c r="AB882" s="4"/>
      <c r="AC882" s="4"/>
    </row>
    <row r="883" spans="1:29" ht="12.75" x14ac:dyDescent="0.2">
      <c r="A883" s="16"/>
      <c r="B883" s="6"/>
      <c r="C883" s="6"/>
      <c r="D883" s="6"/>
      <c r="E883" s="4"/>
      <c r="F883" s="6"/>
      <c r="G883" s="6"/>
      <c r="H883" s="6"/>
      <c r="I883" s="6"/>
      <c r="J883" s="6"/>
      <c r="K883" s="6"/>
      <c r="L883" s="6"/>
      <c r="M883" s="6"/>
      <c r="N883" s="6"/>
      <c r="O883" s="16"/>
      <c r="P883" s="6"/>
      <c r="Q883" s="4"/>
      <c r="R883" s="4"/>
      <c r="S883" s="4"/>
      <c r="T883" s="4"/>
      <c r="U883" s="4"/>
      <c r="V883" s="4"/>
      <c r="W883" s="4"/>
      <c r="X883" s="4"/>
      <c r="Y883" s="4"/>
      <c r="Z883" s="4"/>
      <c r="AA883" s="4"/>
      <c r="AB883" s="4"/>
      <c r="AC883" s="4"/>
    </row>
    <row r="884" spans="1:29" ht="12.75" x14ac:dyDescent="0.2">
      <c r="A884" s="16"/>
      <c r="B884" s="6"/>
      <c r="C884" s="6"/>
      <c r="D884" s="6"/>
      <c r="E884" s="4"/>
      <c r="F884" s="6"/>
      <c r="G884" s="6"/>
      <c r="H884" s="6"/>
      <c r="I884" s="6"/>
      <c r="J884" s="6"/>
      <c r="K884" s="6"/>
      <c r="L884" s="6"/>
      <c r="M884" s="6"/>
      <c r="N884" s="6"/>
      <c r="O884" s="16"/>
      <c r="P884" s="6"/>
      <c r="Q884" s="4"/>
      <c r="R884" s="4"/>
      <c r="S884" s="4"/>
      <c r="T884" s="4"/>
      <c r="U884" s="4"/>
      <c r="V884" s="4"/>
      <c r="W884" s="4"/>
      <c r="X884" s="4"/>
      <c r="Y884" s="4"/>
      <c r="Z884" s="4"/>
      <c r="AA884" s="4"/>
      <c r="AB884" s="4"/>
      <c r="AC884" s="4"/>
    </row>
    <row r="885" spans="1:29" ht="12.75" x14ac:dyDescent="0.2">
      <c r="A885" s="16"/>
      <c r="B885" s="6"/>
      <c r="C885" s="6"/>
      <c r="D885" s="6"/>
      <c r="E885" s="4"/>
      <c r="F885" s="6"/>
      <c r="G885" s="6"/>
      <c r="H885" s="6"/>
      <c r="I885" s="6"/>
      <c r="J885" s="6"/>
      <c r="K885" s="6"/>
      <c r="L885" s="6"/>
      <c r="M885" s="6"/>
      <c r="N885" s="6"/>
      <c r="O885" s="16"/>
      <c r="P885" s="6"/>
      <c r="Q885" s="4"/>
      <c r="R885" s="4"/>
      <c r="S885" s="4"/>
      <c r="T885" s="4"/>
      <c r="U885" s="4"/>
      <c r="V885" s="4"/>
      <c r="W885" s="4"/>
      <c r="X885" s="4"/>
      <c r="Y885" s="4"/>
      <c r="Z885" s="4"/>
      <c r="AA885" s="4"/>
      <c r="AB885" s="4"/>
      <c r="AC885" s="4"/>
    </row>
    <row r="886" spans="1:29" ht="12.75" x14ac:dyDescent="0.2">
      <c r="A886" s="16"/>
      <c r="B886" s="6"/>
      <c r="C886" s="6"/>
      <c r="D886" s="6"/>
      <c r="E886" s="4"/>
      <c r="F886" s="6"/>
      <c r="G886" s="6"/>
      <c r="H886" s="6"/>
      <c r="I886" s="6"/>
      <c r="J886" s="6"/>
      <c r="K886" s="6"/>
      <c r="L886" s="6"/>
      <c r="M886" s="6"/>
      <c r="N886" s="6"/>
      <c r="O886" s="16"/>
      <c r="P886" s="6"/>
      <c r="Q886" s="4"/>
      <c r="R886" s="4"/>
      <c r="S886" s="4"/>
      <c r="T886" s="4"/>
      <c r="U886" s="4"/>
      <c r="V886" s="4"/>
      <c r="W886" s="4"/>
      <c r="X886" s="4"/>
      <c r="Y886" s="4"/>
      <c r="Z886" s="4"/>
      <c r="AA886" s="4"/>
      <c r="AB886" s="4"/>
      <c r="AC886" s="4"/>
    </row>
    <row r="887" spans="1:29" ht="12.75" x14ac:dyDescent="0.2">
      <c r="A887" s="16"/>
      <c r="B887" s="6"/>
      <c r="C887" s="6"/>
      <c r="D887" s="6"/>
      <c r="E887" s="4"/>
      <c r="F887" s="6"/>
      <c r="G887" s="6"/>
      <c r="H887" s="6"/>
      <c r="I887" s="6"/>
      <c r="J887" s="6"/>
      <c r="K887" s="6"/>
      <c r="L887" s="6"/>
      <c r="M887" s="6"/>
      <c r="N887" s="6"/>
      <c r="O887" s="16"/>
      <c r="P887" s="6"/>
      <c r="Q887" s="4"/>
      <c r="R887" s="4"/>
      <c r="S887" s="4"/>
      <c r="T887" s="4"/>
      <c r="U887" s="4"/>
      <c r="V887" s="4"/>
      <c r="W887" s="4"/>
      <c r="X887" s="4"/>
      <c r="Y887" s="4"/>
      <c r="Z887" s="4"/>
      <c r="AA887" s="4"/>
      <c r="AB887" s="4"/>
      <c r="AC887" s="4"/>
    </row>
    <row r="888" spans="1:29" ht="12.75" x14ac:dyDescent="0.2">
      <c r="A888" s="16"/>
      <c r="B888" s="6"/>
      <c r="C888" s="6"/>
      <c r="D888" s="6"/>
      <c r="E888" s="4"/>
      <c r="F888" s="6"/>
      <c r="G888" s="6"/>
      <c r="H888" s="6"/>
      <c r="I888" s="6"/>
      <c r="J888" s="6"/>
      <c r="K888" s="6"/>
      <c r="L888" s="6"/>
      <c r="M888" s="6"/>
      <c r="N888" s="6"/>
      <c r="O888" s="16"/>
      <c r="P888" s="6"/>
      <c r="Q888" s="4"/>
      <c r="R888" s="4"/>
      <c r="S888" s="4"/>
      <c r="T888" s="4"/>
      <c r="U888" s="4"/>
      <c r="V888" s="4"/>
      <c r="W888" s="4"/>
      <c r="X888" s="4"/>
      <c r="Y888" s="4"/>
      <c r="Z888" s="4"/>
      <c r="AA888" s="4"/>
      <c r="AB888" s="4"/>
      <c r="AC888" s="4"/>
    </row>
    <row r="889" spans="1:29" ht="12.75" x14ac:dyDescent="0.2">
      <c r="A889" s="16"/>
      <c r="B889" s="6"/>
      <c r="C889" s="6"/>
      <c r="D889" s="6"/>
      <c r="E889" s="4"/>
      <c r="F889" s="6"/>
      <c r="G889" s="6"/>
      <c r="H889" s="6"/>
      <c r="I889" s="6"/>
      <c r="J889" s="6"/>
      <c r="K889" s="6"/>
      <c r="L889" s="6"/>
      <c r="M889" s="6"/>
      <c r="N889" s="6"/>
      <c r="O889" s="16"/>
      <c r="P889" s="6"/>
      <c r="Q889" s="4"/>
      <c r="R889" s="4"/>
      <c r="S889" s="4"/>
      <c r="T889" s="4"/>
      <c r="U889" s="4"/>
      <c r="V889" s="4"/>
      <c r="W889" s="4"/>
      <c r="X889" s="4"/>
      <c r="Y889" s="4"/>
      <c r="Z889" s="4"/>
      <c r="AA889" s="4"/>
      <c r="AB889" s="4"/>
      <c r="AC889" s="4"/>
    </row>
    <row r="890" spans="1:29" ht="12.75" x14ac:dyDescent="0.2">
      <c r="A890" s="16"/>
      <c r="B890" s="6"/>
      <c r="C890" s="6"/>
      <c r="D890" s="6"/>
      <c r="E890" s="4"/>
      <c r="F890" s="6"/>
      <c r="G890" s="6"/>
      <c r="H890" s="6"/>
      <c r="I890" s="6"/>
      <c r="J890" s="6"/>
      <c r="K890" s="6"/>
      <c r="L890" s="6"/>
      <c r="M890" s="6"/>
      <c r="N890" s="6"/>
      <c r="O890" s="16"/>
      <c r="P890" s="6"/>
      <c r="Q890" s="4"/>
      <c r="R890" s="4"/>
      <c r="S890" s="4"/>
      <c r="T890" s="4"/>
      <c r="U890" s="4"/>
      <c r="V890" s="4"/>
      <c r="W890" s="4"/>
      <c r="X890" s="4"/>
      <c r="Y890" s="4"/>
      <c r="Z890" s="4"/>
      <c r="AA890" s="4"/>
      <c r="AB890" s="4"/>
      <c r="AC890" s="4"/>
    </row>
    <row r="891" spans="1:29" ht="12.75" x14ac:dyDescent="0.2">
      <c r="A891" s="16"/>
      <c r="B891" s="6"/>
      <c r="C891" s="6"/>
      <c r="D891" s="6"/>
      <c r="E891" s="4"/>
      <c r="F891" s="6"/>
      <c r="G891" s="6"/>
      <c r="H891" s="6"/>
      <c r="I891" s="6"/>
      <c r="J891" s="6"/>
      <c r="K891" s="6"/>
      <c r="L891" s="6"/>
      <c r="M891" s="6"/>
      <c r="N891" s="6"/>
      <c r="O891" s="16"/>
      <c r="P891" s="6"/>
      <c r="Q891" s="4"/>
      <c r="R891" s="4"/>
      <c r="S891" s="4"/>
      <c r="T891" s="4"/>
      <c r="U891" s="4"/>
      <c r="V891" s="4"/>
      <c r="W891" s="4"/>
      <c r="X891" s="4"/>
      <c r="Y891" s="4"/>
      <c r="Z891" s="4"/>
      <c r="AA891" s="4"/>
      <c r="AB891" s="4"/>
      <c r="AC891" s="4"/>
    </row>
    <row r="892" spans="1:29" ht="12.75" x14ac:dyDescent="0.2">
      <c r="A892" s="16"/>
      <c r="B892" s="6"/>
      <c r="C892" s="6"/>
      <c r="D892" s="6"/>
      <c r="E892" s="4"/>
      <c r="F892" s="6"/>
      <c r="G892" s="6"/>
      <c r="H892" s="6"/>
      <c r="I892" s="6"/>
      <c r="J892" s="6"/>
      <c r="K892" s="6"/>
      <c r="L892" s="6"/>
      <c r="M892" s="6"/>
      <c r="N892" s="6"/>
      <c r="O892" s="16"/>
      <c r="P892" s="6"/>
      <c r="Q892" s="4"/>
      <c r="R892" s="4"/>
      <c r="S892" s="4"/>
      <c r="T892" s="4"/>
      <c r="U892" s="4"/>
      <c r="V892" s="4"/>
      <c r="W892" s="4"/>
      <c r="X892" s="4"/>
      <c r="Y892" s="4"/>
      <c r="Z892" s="4"/>
      <c r="AA892" s="4"/>
      <c r="AB892" s="4"/>
      <c r="AC892" s="4"/>
    </row>
    <row r="893" spans="1:29" ht="12.75" x14ac:dyDescent="0.2">
      <c r="A893" s="16"/>
      <c r="B893" s="6"/>
      <c r="C893" s="6"/>
      <c r="D893" s="6"/>
      <c r="E893" s="4"/>
      <c r="F893" s="6"/>
      <c r="G893" s="6"/>
      <c r="H893" s="6"/>
      <c r="I893" s="6"/>
      <c r="J893" s="6"/>
      <c r="K893" s="6"/>
      <c r="L893" s="6"/>
      <c r="M893" s="6"/>
      <c r="N893" s="6"/>
      <c r="O893" s="16"/>
      <c r="P893" s="6"/>
      <c r="Q893" s="4"/>
      <c r="R893" s="4"/>
      <c r="S893" s="4"/>
      <c r="T893" s="4"/>
      <c r="U893" s="4"/>
      <c r="V893" s="4"/>
      <c r="W893" s="4"/>
      <c r="X893" s="4"/>
      <c r="Y893" s="4"/>
      <c r="Z893" s="4"/>
      <c r="AA893" s="4"/>
      <c r="AB893" s="4"/>
      <c r="AC893" s="4"/>
    </row>
    <row r="894" spans="1:29" ht="12.75" x14ac:dyDescent="0.2">
      <c r="A894" s="16"/>
      <c r="B894" s="6"/>
      <c r="C894" s="6"/>
      <c r="D894" s="6"/>
      <c r="E894" s="4"/>
      <c r="F894" s="6"/>
      <c r="G894" s="6"/>
      <c r="H894" s="6"/>
      <c r="I894" s="6"/>
      <c r="J894" s="6"/>
      <c r="K894" s="6"/>
      <c r="L894" s="6"/>
      <c r="M894" s="6"/>
      <c r="N894" s="6"/>
      <c r="O894" s="16"/>
      <c r="P894" s="6"/>
      <c r="Q894" s="4"/>
      <c r="R894" s="4"/>
      <c r="S894" s="4"/>
      <c r="T894" s="4"/>
      <c r="U894" s="4"/>
      <c r="V894" s="4"/>
      <c r="W894" s="4"/>
      <c r="X894" s="4"/>
      <c r="Y894" s="4"/>
      <c r="Z894" s="4"/>
      <c r="AA894" s="4"/>
      <c r="AB894" s="4"/>
      <c r="AC894" s="4"/>
    </row>
    <row r="895" spans="1:29" ht="12.75" x14ac:dyDescent="0.2">
      <c r="A895" s="16"/>
      <c r="B895" s="6"/>
      <c r="C895" s="6"/>
      <c r="D895" s="6"/>
      <c r="E895" s="4"/>
      <c r="F895" s="6"/>
      <c r="G895" s="6"/>
      <c r="H895" s="6"/>
      <c r="I895" s="6"/>
      <c r="J895" s="6"/>
      <c r="K895" s="6"/>
      <c r="L895" s="6"/>
      <c r="M895" s="6"/>
      <c r="N895" s="6"/>
      <c r="O895" s="16"/>
      <c r="P895" s="6"/>
      <c r="Q895" s="4"/>
      <c r="R895" s="4"/>
      <c r="S895" s="4"/>
      <c r="T895" s="4"/>
      <c r="U895" s="4"/>
      <c r="V895" s="4"/>
      <c r="W895" s="4"/>
      <c r="X895" s="4"/>
      <c r="Y895" s="4"/>
      <c r="Z895" s="4"/>
      <c r="AA895" s="4"/>
      <c r="AB895" s="4"/>
      <c r="AC895" s="4"/>
    </row>
    <row r="896" spans="1:29" ht="12.75" x14ac:dyDescent="0.2">
      <c r="A896" s="16"/>
      <c r="B896" s="6"/>
      <c r="C896" s="6"/>
      <c r="D896" s="6"/>
      <c r="E896" s="4"/>
      <c r="F896" s="6"/>
      <c r="G896" s="6"/>
      <c r="H896" s="6"/>
      <c r="I896" s="6"/>
      <c r="J896" s="6"/>
      <c r="K896" s="6"/>
      <c r="L896" s="6"/>
      <c r="M896" s="6"/>
      <c r="N896" s="6"/>
      <c r="O896" s="16"/>
      <c r="P896" s="6"/>
      <c r="Q896" s="4"/>
      <c r="R896" s="4"/>
      <c r="S896" s="4"/>
      <c r="T896" s="4"/>
      <c r="U896" s="4"/>
      <c r="V896" s="4"/>
      <c r="W896" s="4"/>
      <c r="X896" s="4"/>
      <c r="Y896" s="4"/>
      <c r="Z896" s="4"/>
      <c r="AA896" s="4"/>
      <c r="AB896" s="4"/>
      <c r="AC896" s="4"/>
    </row>
    <row r="897" spans="1:29" ht="12.75" x14ac:dyDescent="0.2">
      <c r="A897" s="16"/>
      <c r="B897" s="6"/>
      <c r="C897" s="6"/>
      <c r="D897" s="6"/>
      <c r="E897" s="4"/>
      <c r="F897" s="6"/>
      <c r="G897" s="6"/>
      <c r="H897" s="6"/>
      <c r="I897" s="6"/>
      <c r="J897" s="6"/>
      <c r="K897" s="6"/>
      <c r="L897" s="6"/>
      <c r="M897" s="6"/>
      <c r="N897" s="6"/>
      <c r="O897" s="16"/>
      <c r="P897" s="6"/>
      <c r="Q897" s="4"/>
      <c r="R897" s="4"/>
      <c r="S897" s="4"/>
      <c r="T897" s="4"/>
      <c r="U897" s="4"/>
      <c r="V897" s="4"/>
      <c r="W897" s="4"/>
      <c r="X897" s="4"/>
      <c r="Y897" s="4"/>
      <c r="Z897" s="4"/>
      <c r="AA897" s="4"/>
      <c r="AB897" s="4"/>
      <c r="AC897" s="4"/>
    </row>
    <row r="898" spans="1:29" ht="12.75" x14ac:dyDescent="0.2">
      <c r="A898" s="16"/>
      <c r="B898" s="6"/>
      <c r="C898" s="6"/>
      <c r="D898" s="6"/>
      <c r="E898" s="4"/>
      <c r="F898" s="6"/>
      <c r="G898" s="6"/>
      <c r="H898" s="6"/>
      <c r="I898" s="6"/>
      <c r="J898" s="6"/>
      <c r="K898" s="6"/>
      <c r="L898" s="6"/>
      <c r="M898" s="6"/>
      <c r="N898" s="6"/>
      <c r="O898" s="16"/>
      <c r="P898" s="6"/>
      <c r="Q898" s="4"/>
      <c r="R898" s="4"/>
      <c r="S898" s="4"/>
      <c r="T898" s="4"/>
      <c r="U898" s="4"/>
      <c r="V898" s="4"/>
      <c r="W898" s="4"/>
      <c r="X898" s="4"/>
      <c r="Y898" s="4"/>
      <c r="Z898" s="4"/>
      <c r="AA898" s="4"/>
      <c r="AB898" s="4"/>
      <c r="AC898" s="4"/>
    </row>
    <row r="899" spans="1:29" ht="12.75" x14ac:dyDescent="0.2">
      <c r="A899" s="16"/>
      <c r="B899" s="6"/>
      <c r="C899" s="6"/>
      <c r="D899" s="6"/>
      <c r="E899" s="4"/>
      <c r="F899" s="6"/>
      <c r="G899" s="6"/>
      <c r="H899" s="6"/>
      <c r="I899" s="6"/>
      <c r="J899" s="6"/>
      <c r="K899" s="6"/>
      <c r="L899" s="6"/>
      <c r="M899" s="6"/>
      <c r="N899" s="6"/>
      <c r="O899" s="16"/>
      <c r="P899" s="6"/>
      <c r="Q899" s="4"/>
      <c r="R899" s="4"/>
      <c r="S899" s="4"/>
      <c r="T899" s="4"/>
      <c r="U899" s="4"/>
      <c r="V899" s="4"/>
      <c r="W899" s="4"/>
      <c r="X899" s="4"/>
      <c r="Y899" s="4"/>
      <c r="Z899" s="4"/>
      <c r="AA899" s="4"/>
      <c r="AB899" s="4"/>
      <c r="AC899" s="4"/>
    </row>
    <row r="900" spans="1:29" ht="12.75" x14ac:dyDescent="0.2">
      <c r="A900" s="16"/>
      <c r="B900" s="6"/>
      <c r="C900" s="6"/>
      <c r="D900" s="6"/>
      <c r="E900" s="4"/>
      <c r="F900" s="6"/>
      <c r="G900" s="6"/>
      <c r="H900" s="6"/>
      <c r="I900" s="6"/>
      <c r="J900" s="6"/>
      <c r="K900" s="6"/>
      <c r="L900" s="6"/>
      <c r="M900" s="6"/>
      <c r="N900" s="6"/>
      <c r="O900" s="16"/>
      <c r="P900" s="6"/>
      <c r="Q900" s="4"/>
      <c r="R900" s="4"/>
      <c r="S900" s="4"/>
      <c r="T900" s="4"/>
      <c r="U900" s="4"/>
      <c r="V900" s="4"/>
      <c r="W900" s="4"/>
      <c r="X900" s="4"/>
      <c r="Y900" s="4"/>
      <c r="Z900" s="4"/>
      <c r="AA900" s="4"/>
      <c r="AB900" s="4"/>
      <c r="AC900" s="4"/>
    </row>
    <row r="901" spans="1:29" ht="12.75" x14ac:dyDescent="0.2">
      <c r="A901" s="16"/>
      <c r="B901" s="6"/>
      <c r="C901" s="6"/>
      <c r="D901" s="6"/>
      <c r="E901" s="4"/>
      <c r="F901" s="6"/>
      <c r="G901" s="6"/>
      <c r="H901" s="6"/>
      <c r="I901" s="6"/>
      <c r="J901" s="6"/>
      <c r="K901" s="6"/>
      <c r="L901" s="6"/>
      <c r="M901" s="6"/>
      <c r="N901" s="6"/>
      <c r="O901" s="16"/>
      <c r="P901" s="6"/>
      <c r="Q901" s="4"/>
      <c r="R901" s="4"/>
      <c r="S901" s="4"/>
      <c r="T901" s="4"/>
      <c r="U901" s="4"/>
      <c r="V901" s="4"/>
      <c r="W901" s="4"/>
      <c r="X901" s="4"/>
      <c r="Y901" s="4"/>
      <c r="Z901" s="4"/>
      <c r="AA901" s="4"/>
      <c r="AB901" s="4"/>
      <c r="AC901" s="4"/>
    </row>
    <row r="902" spans="1:29" ht="12.75" x14ac:dyDescent="0.2">
      <c r="A902" s="16"/>
      <c r="B902" s="6"/>
      <c r="C902" s="6"/>
      <c r="D902" s="6"/>
      <c r="E902" s="4"/>
      <c r="F902" s="6"/>
      <c r="G902" s="6"/>
      <c r="H902" s="6"/>
      <c r="I902" s="6"/>
      <c r="J902" s="6"/>
      <c r="K902" s="6"/>
      <c r="L902" s="6"/>
      <c r="M902" s="6"/>
      <c r="N902" s="6"/>
      <c r="O902" s="16"/>
      <c r="P902" s="6"/>
      <c r="Q902" s="4"/>
      <c r="R902" s="4"/>
      <c r="S902" s="4"/>
      <c r="T902" s="4"/>
      <c r="U902" s="4"/>
      <c r="V902" s="4"/>
      <c r="W902" s="4"/>
      <c r="X902" s="4"/>
      <c r="Y902" s="4"/>
      <c r="Z902" s="4"/>
      <c r="AA902" s="4"/>
      <c r="AB902" s="4"/>
      <c r="AC902" s="4"/>
    </row>
    <row r="903" spans="1:29" ht="12.75" x14ac:dyDescent="0.2">
      <c r="A903" s="16"/>
      <c r="B903" s="6"/>
      <c r="C903" s="6"/>
      <c r="D903" s="6"/>
      <c r="E903" s="4"/>
      <c r="F903" s="6"/>
      <c r="G903" s="6"/>
      <c r="H903" s="6"/>
      <c r="I903" s="6"/>
      <c r="J903" s="6"/>
      <c r="K903" s="6"/>
      <c r="L903" s="6"/>
      <c r="M903" s="6"/>
      <c r="N903" s="6"/>
      <c r="O903" s="16"/>
      <c r="P903" s="6"/>
      <c r="Q903" s="4"/>
      <c r="R903" s="4"/>
      <c r="S903" s="4"/>
      <c r="T903" s="4"/>
      <c r="U903" s="4"/>
      <c r="V903" s="4"/>
      <c r="W903" s="4"/>
      <c r="X903" s="4"/>
      <c r="Y903" s="4"/>
      <c r="Z903" s="4"/>
      <c r="AA903" s="4"/>
      <c r="AB903" s="4"/>
      <c r="AC903" s="4"/>
    </row>
    <row r="904" spans="1:29" ht="12.75" x14ac:dyDescent="0.2">
      <c r="A904" s="16"/>
      <c r="B904" s="6"/>
      <c r="C904" s="6"/>
      <c r="D904" s="6"/>
      <c r="E904" s="4"/>
      <c r="F904" s="6"/>
      <c r="G904" s="6"/>
      <c r="H904" s="6"/>
      <c r="I904" s="6"/>
      <c r="J904" s="6"/>
      <c r="K904" s="6"/>
      <c r="L904" s="6"/>
      <c r="M904" s="6"/>
      <c r="N904" s="6"/>
      <c r="O904" s="16"/>
      <c r="P904" s="6"/>
      <c r="Q904" s="4"/>
      <c r="R904" s="4"/>
      <c r="S904" s="4"/>
      <c r="T904" s="4"/>
      <c r="U904" s="4"/>
      <c r="V904" s="4"/>
      <c r="W904" s="4"/>
      <c r="X904" s="4"/>
      <c r="Y904" s="4"/>
      <c r="Z904" s="4"/>
      <c r="AA904" s="4"/>
      <c r="AB904" s="4"/>
      <c r="AC904" s="4"/>
    </row>
    <row r="905" spans="1:29" ht="12.75" x14ac:dyDescent="0.2">
      <c r="A905" s="16"/>
      <c r="B905" s="6"/>
      <c r="C905" s="6"/>
      <c r="D905" s="6"/>
      <c r="E905" s="4"/>
      <c r="F905" s="6"/>
      <c r="G905" s="6"/>
      <c r="H905" s="6"/>
      <c r="I905" s="6"/>
      <c r="J905" s="6"/>
      <c r="K905" s="6"/>
      <c r="L905" s="6"/>
      <c r="M905" s="6"/>
      <c r="N905" s="6"/>
      <c r="O905" s="16"/>
      <c r="P905" s="6"/>
      <c r="Q905" s="4"/>
      <c r="R905" s="4"/>
      <c r="S905" s="4"/>
      <c r="T905" s="4"/>
      <c r="U905" s="4"/>
      <c r="V905" s="4"/>
      <c r="W905" s="4"/>
      <c r="X905" s="4"/>
      <c r="Y905" s="4"/>
      <c r="Z905" s="4"/>
      <c r="AA905" s="4"/>
      <c r="AB905" s="4"/>
      <c r="AC905" s="4"/>
    </row>
    <row r="906" spans="1:29" ht="12.75" x14ac:dyDescent="0.2">
      <c r="A906" s="16"/>
      <c r="B906" s="6"/>
      <c r="C906" s="6"/>
      <c r="D906" s="6"/>
      <c r="E906" s="4"/>
      <c r="F906" s="6"/>
      <c r="G906" s="6"/>
      <c r="H906" s="6"/>
      <c r="I906" s="6"/>
      <c r="J906" s="6"/>
      <c r="K906" s="6"/>
      <c r="L906" s="6"/>
      <c r="M906" s="6"/>
      <c r="N906" s="6"/>
      <c r="O906" s="16"/>
      <c r="P906" s="6"/>
      <c r="Q906" s="4"/>
      <c r="R906" s="4"/>
      <c r="S906" s="4"/>
      <c r="T906" s="4"/>
      <c r="U906" s="4"/>
      <c r="V906" s="4"/>
      <c r="W906" s="4"/>
      <c r="X906" s="4"/>
      <c r="Y906" s="4"/>
      <c r="Z906" s="4"/>
      <c r="AA906" s="4"/>
      <c r="AB906" s="4"/>
      <c r="AC906" s="4"/>
    </row>
    <row r="907" spans="1:29" ht="12.75" x14ac:dyDescent="0.2">
      <c r="A907" s="16"/>
      <c r="B907" s="6"/>
      <c r="C907" s="6"/>
      <c r="D907" s="6"/>
      <c r="E907" s="4"/>
      <c r="F907" s="6"/>
      <c r="G907" s="6"/>
      <c r="H907" s="6"/>
      <c r="I907" s="6"/>
      <c r="J907" s="6"/>
      <c r="K907" s="6"/>
      <c r="L907" s="6"/>
      <c r="M907" s="6"/>
      <c r="N907" s="6"/>
      <c r="O907" s="16"/>
      <c r="P907" s="6"/>
      <c r="Q907" s="4"/>
      <c r="R907" s="4"/>
      <c r="S907" s="4"/>
      <c r="T907" s="4"/>
      <c r="U907" s="4"/>
      <c r="V907" s="4"/>
      <c r="W907" s="4"/>
      <c r="X907" s="4"/>
      <c r="Y907" s="4"/>
      <c r="Z907" s="4"/>
      <c r="AA907" s="4"/>
      <c r="AB907" s="4"/>
      <c r="AC907" s="4"/>
    </row>
    <row r="908" spans="1:29" ht="12.75" x14ac:dyDescent="0.2">
      <c r="A908" s="16"/>
      <c r="B908" s="6"/>
      <c r="C908" s="6"/>
      <c r="D908" s="6"/>
      <c r="E908" s="4"/>
      <c r="F908" s="6"/>
      <c r="G908" s="6"/>
      <c r="H908" s="6"/>
      <c r="I908" s="6"/>
      <c r="J908" s="6"/>
      <c r="K908" s="6"/>
      <c r="L908" s="6"/>
      <c r="M908" s="6"/>
      <c r="N908" s="6"/>
      <c r="O908" s="16"/>
      <c r="P908" s="6"/>
      <c r="Q908" s="4"/>
      <c r="R908" s="4"/>
      <c r="S908" s="4"/>
      <c r="T908" s="4"/>
      <c r="U908" s="4"/>
      <c r="V908" s="4"/>
      <c r="W908" s="4"/>
      <c r="X908" s="4"/>
      <c r="Y908" s="4"/>
      <c r="Z908" s="4"/>
      <c r="AA908" s="4"/>
      <c r="AB908" s="4"/>
      <c r="AC908" s="4"/>
    </row>
    <row r="909" spans="1:29" ht="12.75" x14ac:dyDescent="0.2">
      <c r="A909" s="16"/>
      <c r="B909" s="6"/>
      <c r="C909" s="6"/>
      <c r="D909" s="6"/>
      <c r="E909" s="4"/>
      <c r="F909" s="6"/>
      <c r="G909" s="6"/>
      <c r="H909" s="6"/>
      <c r="I909" s="6"/>
      <c r="J909" s="6"/>
      <c r="K909" s="6"/>
      <c r="L909" s="6"/>
      <c r="M909" s="6"/>
      <c r="N909" s="6"/>
      <c r="O909" s="16"/>
      <c r="P909" s="6"/>
      <c r="Q909" s="4"/>
      <c r="R909" s="4"/>
      <c r="S909" s="4"/>
      <c r="T909" s="4"/>
      <c r="U909" s="4"/>
      <c r="V909" s="4"/>
      <c r="W909" s="4"/>
      <c r="X909" s="4"/>
      <c r="Y909" s="4"/>
      <c r="Z909" s="4"/>
      <c r="AA909" s="4"/>
      <c r="AB909" s="4"/>
      <c r="AC909" s="4"/>
    </row>
    <row r="910" spans="1:29" ht="12.75" x14ac:dyDescent="0.2">
      <c r="A910" s="16"/>
      <c r="B910" s="6"/>
      <c r="C910" s="6"/>
      <c r="D910" s="6"/>
      <c r="E910" s="4"/>
      <c r="F910" s="6"/>
      <c r="G910" s="6"/>
      <c r="H910" s="6"/>
      <c r="I910" s="6"/>
      <c r="J910" s="6"/>
      <c r="K910" s="6"/>
      <c r="L910" s="6"/>
      <c r="M910" s="6"/>
      <c r="N910" s="6"/>
      <c r="O910" s="16"/>
      <c r="P910" s="6"/>
      <c r="Q910" s="4"/>
      <c r="R910" s="4"/>
      <c r="S910" s="4"/>
      <c r="T910" s="4"/>
      <c r="U910" s="4"/>
      <c r="V910" s="4"/>
      <c r="W910" s="4"/>
      <c r="X910" s="4"/>
      <c r="Y910" s="4"/>
      <c r="Z910" s="4"/>
      <c r="AA910" s="4"/>
      <c r="AB910" s="4"/>
      <c r="AC910" s="4"/>
    </row>
    <row r="911" spans="1:29" ht="12.75" x14ac:dyDescent="0.2">
      <c r="A911" s="16"/>
      <c r="B911" s="6"/>
      <c r="C911" s="6"/>
      <c r="D911" s="6"/>
      <c r="E911" s="4"/>
      <c r="F911" s="6"/>
      <c r="G911" s="6"/>
      <c r="H911" s="6"/>
      <c r="I911" s="6"/>
      <c r="J911" s="6"/>
      <c r="K911" s="6"/>
      <c r="L911" s="6"/>
      <c r="M911" s="6"/>
      <c r="N911" s="6"/>
      <c r="O911" s="16"/>
      <c r="P911" s="6"/>
      <c r="Q911" s="4"/>
      <c r="R911" s="4"/>
      <c r="S911" s="4"/>
      <c r="T911" s="4"/>
      <c r="U911" s="4"/>
      <c r="V911" s="4"/>
      <c r="W911" s="4"/>
      <c r="X911" s="4"/>
      <c r="Y911" s="4"/>
      <c r="Z911" s="4"/>
      <c r="AA911" s="4"/>
      <c r="AB911" s="4"/>
      <c r="AC911" s="4"/>
    </row>
    <row r="912" spans="1:29" ht="12.75" x14ac:dyDescent="0.2">
      <c r="A912" s="16"/>
      <c r="B912" s="6"/>
      <c r="C912" s="6"/>
      <c r="D912" s="6"/>
      <c r="E912" s="4"/>
      <c r="F912" s="6"/>
      <c r="G912" s="6"/>
      <c r="H912" s="6"/>
      <c r="I912" s="6"/>
      <c r="J912" s="6"/>
      <c r="K912" s="6"/>
      <c r="L912" s="6"/>
      <c r="M912" s="6"/>
      <c r="N912" s="6"/>
      <c r="O912" s="16"/>
      <c r="P912" s="6"/>
      <c r="Q912" s="4"/>
      <c r="R912" s="4"/>
      <c r="S912" s="4"/>
      <c r="T912" s="4"/>
      <c r="U912" s="4"/>
      <c r="V912" s="4"/>
      <c r="W912" s="4"/>
      <c r="X912" s="4"/>
      <c r="Y912" s="4"/>
      <c r="Z912" s="4"/>
      <c r="AA912" s="4"/>
      <c r="AB912" s="4"/>
      <c r="AC912" s="4"/>
    </row>
    <row r="913" spans="1:29" ht="12.75" x14ac:dyDescent="0.2">
      <c r="A913" s="16"/>
      <c r="B913" s="6"/>
      <c r="C913" s="6"/>
      <c r="D913" s="6"/>
      <c r="E913" s="4"/>
      <c r="F913" s="6"/>
      <c r="G913" s="6"/>
      <c r="H913" s="6"/>
      <c r="I913" s="6"/>
      <c r="J913" s="6"/>
      <c r="K913" s="6"/>
      <c r="L913" s="6"/>
      <c r="M913" s="6"/>
      <c r="N913" s="6"/>
      <c r="O913" s="16"/>
      <c r="P913" s="6"/>
      <c r="Q913" s="4"/>
      <c r="R913" s="4"/>
      <c r="S913" s="4"/>
      <c r="T913" s="4"/>
      <c r="U913" s="4"/>
      <c r="V913" s="4"/>
      <c r="W913" s="4"/>
      <c r="X913" s="4"/>
      <c r="Y913" s="4"/>
      <c r="Z913" s="4"/>
      <c r="AA913" s="4"/>
      <c r="AB913" s="4"/>
      <c r="AC913" s="4"/>
    </row>
    <row r="914" spans="1:29" ht="12.75" x14ac:dyDescent="0.2">
      <c r="A914" s="16"/>
      <c r="B914" s="6"/>
      <c r="C914" s="6"/>
      <c r="D914" s="6"/>
      <c r="E914" s="4"/>
      <c r="F914" s="6"/>
      <c r="G914" s="6"/>
      <c r="H914" s="6"/>
      <c r="I914" s="6"/>
      <c r="J914" s="6"/>
      <c r="K914" s="6"/>
      <c r="L914" s="6"/>
      <c r="M914" s="6"/>
      <c r="N914" s="6"/>
      <c r="O914" s="16"/>
      <c r="P914" s="6"/>
      <c r="Q914" s="4"/>
      <c r="R914" s="4"/>
      <c r="S914" s="4"/>
      <c r="T914" s="4"/>
      <c r="U914" s="4"/>
      <c r="V914" s="4"/>
      <c r="W914" s="4"/>
      <c r="X914" s="4"/>
      <c r="Y914" s="4"/>
      <c r="Z914" s="4"/>
      <c r="AA914" s="4"/>
      <c r="AB914" s="4"/>
      <c r="AC914" s="4"/>
    </row>
    <row r="915" spans="1:29" ht="12.75" x14ac:dyDescent="0.2">
      <c r="A915" s="16"/>
      <c r="B915" s="6"/>
      <c r="C915" s="6"/>
      <c r="D915" s="6"/>
      <c r="E915" s="4"/>
      <c r="F915" s="6"/>
      <c r="G915" s="6"/>
      <c r="H915" s="6"/>
      <c r="I915" s="6"/>
      <c r="J915" s="6"/>
      <c r="K915" s="6"/>
      <c r="L915" s="6"/>
      <c r="M915" s="6"/>
      <c r="N915" s="6"/>
      <c r="O915" s="16"/>
      <c r="P915" s="6"/>
      <c r="Q915" s="4"/>
      <c r="R915" s="4"/>
      <c r="S915" s="4"/>
      <c r="T915" s="4"/>
      <c r="U915" s="4"/>
      <c r="V915" s="4"/>
      <c r="W915" s="4"/>
      <c r="X915" s="4"/>
      <c r="Y915" s="4"/>
      <c r="Z915" s="4"/>
      <c r="AA915" s="4"/>
      <c r="AB915" s="4"/>
      <c r="AC915" s="4"/>
    </row>
    <row r="916" spans="1:29" ht="12.75" x14ac:dyDescent="0.2">
      <c r="A916" s="16"/>
      <c r="B916" s="6"/>
      <c r="C916" s="6"/>
      <c r="D916" s="6"/>
      <c r="E916" s="4"/>
      <c r="F916" s="6"/>
      <c r="G916" s="6"/>
      <c r="H916" s="6"/>
      <c r="I916" s="6"/>
      <c r="J916" s="6"/>
      <c r="K916" s="6"/>
      <c r="L916" s="6"/>
      <c r="M916" s="6"/>
      <c r="N916" s="6"/>
      <c r="O916" s="16"/>
      <c r="P916" s="6"/>
      <c r="Q916" s="4"/>
      <c r="R916" s="4"/>
      <c r="S916" s="4"/>
      <c r="T916" s="4"/>
      <c r="U916" s="4"/>
      <c r="V916" s="4"/>
      <c r="W916" s="4"/>
      <c r="X916" s="4"/>
      <c r="Y916" s="4"/>
      <c r="Z916" s="4"/>
      <c r="AA916" s="4"/>
      <c r="AB916" s="4"/>
      <c r="AC916" s="4"/>
    </row>
    <row r="917" spans="1:29" ht="12.75" x14ac:dyDescent="0.2">
      <c r="A917" s="16"/>
      <c r="B917" s="6"/>
      <c r="C917" s="6"/>
      <c r="D917" s="6"/>
      <c r="E917" s="4"/>
      <c r="F917" s="6"/>
      <c r="G917" s="6"/>
      <c r="H917" s="6"/>
      <c r="I917" s="6"/>
      <c r="J917" s="6"/>
      <c r="K917" s="6"/>
      <c r="L917" s="6"/>
      <c r="M917" s="6"/>
      <c r="N917" s="6"/>
      <c r="O917" s="16"/>
      <c r="P917" s="6"/>
      <c r="Q917" s="4"/>
      <c r="R917" s="4"/>
      <c r="S917" s="4"/>
      <c r="T917" s="4"/>
      <c r="U917" s="4"/>
      <c r="V917" s="4"/>
      <c r="W917" s="4"/>
      <c r="X917" s="4"/>
      <c r="Y917" s="4"/>
      <c r="Z917" s="4"/>
      <c r="AA917" s="4"/>
      <c r="AB917" s="4"/>
      <c r="AC917" s="4"/>
    </row>
    <row r="918" spans="1:29" ht="12.75" x14ac:dyDescent="0.2">
      <c r="A918" s="16"/>
      <c r="B918" s="6"/>
      <c r="C918" s="6"/>
      <c r="D918" s="6"/>
      <c r="E918" s="4"/>
      <c r="F918" s="6"/>
      <c r="G918" s="6"/>
      <c r="H918" s="6"/>
      <c r="I918" s="6"/>
      <c r="J918" s="6"/>
      <c r="K918" s="6"/>
      <c r="L918" s="6"/>
      <c r="M918" s="6"/>
      <c r="N918" s="6"/>
      <c r="O918" s="16"/>
      <c r="P918" s="6"/>
      <c r="Q918" s="4"/>
      <c r="R918" s="4"/>
      <c r="S918" s="4"/>
      <c r="T918" s="4"/>
      <c r="U918" s="4"/>
      <c r="V918" s="4"/>
      <c r="W918" s="4"/>
      <c r="X918" s="4"/>
      <c r="Y918" s="4"/>
      <c r="Z918" s="4"/>
      <c r="AA918" s="4"/>
      <c r="AB918" s="4"/>
      <c r="AC918" s="4"/>
    </row>
    <row r="919" spans="1:29" ht="12.75" x14ac:dyDescent="0.2">
      <c r="A919" s="16"/>
      <c r="B919" s="6"/>
      <c r="C919" s="6"/>
      <c r="D919" s="6"/>
      <c r="E919" s="4"/>
      <c r="F919" s="6"/>
      <c r="G919" s="6"/>
      <c r="H919" s="6"/>
      <c r="I919" s="6"/>
      <c r="J919" s="6"/>
      <c r="K919" s="6"/>
      <c r="L919" s="6"/>
      <c r="M919" s="6"/>
      <c r="N919" s="6"/>
      <c r="O919" s="16"/>
      <c r="P919" s="6"/>
      <c r="Q919" s="4"/>
      <c r="R919" s="4"/>
      <c r="S919" s="4"/>
      <c r="T919" s="4"/>
      <c r="U919" s="4"/>
      <c r="V919" s="4"/>
      <c r="W919" s="4"/>
      <c r="X919" s="4"/>
      <c r="Y919" s="4"/>
      <c r="Z919" s="4"/>
      <c r="AA919" s="4"/>
      <c r="AB919" s="4"/>
      <c r="AC919" s="4"/>
    </row>
    <row r="920" spans="1:29" ht="12.75" x14ac:dyDescent="0.2">
      <c r="A920" s="16"/>
      <c r="B920" s="6"/>
      <c r="C920" s="6"/>
      <c r="D920" s="6"/>
      <c r="E920" s="4"/>
      <c r="F920" s="6"/>
      <c r="G920" s="6"/>
      <c r="H920" s="6"/>
      <c r="I920" s="6"/>
      <c r="J920" s="6"/>
      <c r="K920" s="6"/>
      <c r="L920" s="6"/>
      <c r="M920" s="6"/>
      <c r="N920" s="6"/>
      <c r="O920" s="16"/>
      <c r="P920" s="6"/>
      <c r="Q920" s="4"/>
      <c r="R920" s="4"/>
      <c r="S920" s="4"/>
      <c r="T920" s="4"/>
      <c r="U920" s="4"/>
      <c r="V920" s="4"/>
      <c r="W920" s="4"/>
      <c r="X920" s="4"/>
      <c r="Y920" s="4"/>
      <c r="Z920" s="4"/>
      <c r="AA920" s="4"/>
      <c r="AB920" s="4"/>
      <c r="AC920" s="4"/>
    </row>
    <row r="921" spans="1:29" ht="12.75" x14ac:dyDescent="0.2">
      <c r="A921" s="16"/>
      <c r="B921" s="6"/>
      <c r="C921" s="6"/>
      <c r="D921" s="6"/>
      <c r="E921" s="4"/>
      <c r="F921" s="6"/>
      <c r="G921" s="6"/>
      <c r="H921" s="6"/>
      <c r="I921" s="6"/>
      <c r="J921" s="6"/>
      <c r="K921" s="6"/>
      <c r="L921" s="6"/>
      <c r="M921" s="6"/>
      <c r="N921" s="6"/>
      <c r="O921" s="16"/>
      <c r="P921" s="6"/>
      <c r="Q921" s="4"/>
      <c r="R921" s="4"/>
      <c r="S921" s="4"/>
      <c r="T921" s="4"/>
      <c r="U921" s="4"/>
      <c r="V921" s="4"/>
      <c r="W921" s="4"/>
      <c r="X921" s="4"/>
      <c r="Y921" s="4"/>
      <c r="Z921" s="4"/>
      <c r="AA921" s="4"/>
      <c r="AB921" s="4"/>
      <c r="AC921" s="4"/>
    </row>
    <row r="922" spans="1:29" ht="12.75" x14ac:dyDescent="0.2">
      <c r="A922" s="16"/>
      <c r="B922" s="6"/>
      <c r="C922" s="6"/>
      <c r="D922" s="6"/>
      <c r="E922" s="4"/>
      <c r="F922" s="6"/>
      <c r="G922" s="6"/>
      <c r="H922" s="6"/>
      <c r="I922" s="6"/>
      <c r="J922" s="6"/>
      <c r="K922" s="6"/>
      <c r="L922" s="6"/>
      <c r="M922" s="6"/>
      <c r="N922" s="6"/>
      <c r="O922" s="16"/>
      <c r="P922" s="6"/>
      <c r="Q922" s="4"/>
      <c r="R922" s="4"/>
      <c r="S922" s="4"/>
      <c r="T922" s="4"/>
      <c r="U922" s="4"/>
      <c r="V922" s="4"/>
      <c r="W922" s="4"/>
      <c r="X922" s="4"/>
      <c r="Y922" s="4"/>
      <c r="Z922" s="4"/>
      <c r="AA922" s="4"/>
      <c r="AB922" s="4"/>
      <c r="AC922" s="4"/>
    </row>
    <row r="923" spans="1:29" ht="12.75" x14ac:dyDescent="0.2">
      <c r="A923" s="16"/>
      <c r="B923" s="6"/>
      <c r="C923" s="6"/>
      <c r="D923" s="6"/>
      <c r="E923" s="4"/>
      <c r="F923" s="6"/>
      <c r="G923" s="6"/>
      <c r="H923" s="6"/>
      <c r="I923" s="6"/>
      <c r="J923" s="6"/>
      <c r="K923" s="6"/>
      <c r="L923" s="6"/>
      <c r="M923" s="6"/>
      <c r="N923" s="6"/>
      <c r="O923" s="16"/>
      <c r="P923" s="6"/>
      <c r="Q923" s="4"/>
      <c r="R923" s="4"/>
      <c r="S923" s="4"/>
      <c r="T923" s="4"/>
      <c r="U923" s="4"/>
      <c r="V923" s="4"/>
      <c r="W923" s="4"/>
      <c r="X923" s="4"/>
      <c r="Y923" s="4"/>
      <c r="Z923" s="4"/>
      <c r="AA923" s="4"/>
      <c r="AB923" s="4"/>
      <c r="AC923" s="4"/>
    </row>
    <row r="924" spans="1:29" ht="12.75" x14ac:dyDescent="0.2">
      <c r="A924" s="16"/>
      <c r="B924" s="6"/>
      <c r="C924" s="6"/>
      <c r="D924" s="6"/>
      <c r="E924" s="4"/>
      <c r="F924" s="6"/>
      <c r="G924" s="6"/>
      <c r="H924" s="6"/>
      <c r="I924" s="6"/>
      <c r="J924" s="6"/>
      <c r="K924" s="6"/>
      <c r="L924" s="6"/>
      <c r="M924" s="6"/>
      <c r="N924" s="6"/>
      <c r="O924" s="16"/>
      <c r="P924" s="6"/>
      <c r="Q924" s="4"/>
      <c r="R924" s="4"/>
      <c r="S924" s="4"/>
      <c r="T924" s="4"/>
      <c r="U924" s="4"/>
      <c r="V924" s="4"/>
      <c r="W924" s="4"/>
      <c r="X924" s="4"/>
      <c r="Y924" s="4"/>
      <c r="Z924" s="4"/>
      <c r="AA924" s="4"/>
      <c r="AB924" s="4"/>
      <c r="AC924" s="4"/>
    </row>
    <row r="925" spans="1:29" ht="12.75" x14ac:dyDescent="0.2">
      <c r="A925" s="16"/>
      <c r="B925" s="6"/>
      <c r="C925" s="6"/>
      <c r="D925" s="6"/>
      <c r="E925" s="4"/>
      <c r="F925" s="6"/>
      <c r="G925" s="6"/>
      <c r="H925" s="6"/>
      <c r="I925" s="6"/>
      <c r="J925" s="6"/>
      <c r="K925" s="6"/>
      <c r="L925" s="6"/>
      <c r="M925" s="6"/>
      <c r="N925" s="6"/>
      <c r="O925" s="16"/>
      <c r="P925" s="6"/>
      <c r="Q925" s="4"/>
      <c r="R925" s="4"/>
      <c r="S925" s="4"/>
      <c r="T925" s="4"/>
      <c r="U925" s="4"/>
      <c r="V925" s="4"/>
      <c r="W925" s="4"/>
      <c r="X925" s="4"/>
      <c r="Y925" s="4"/>
      <c r="Z925" s="4"/>
      <c r="AA925" s="4"/>
      <c r="AB925" s="4"/>
      <c r="AC925" s="4"/>
    </row>
    <row r="926" spans="1:29" ht="12.75" x14ac:dyDescent="0.2">
      <c r="A926" s="16"/>
      <c r="B926" s="6"/>
      <c r="C926" s="6"/>
      <c r="D926" s="6"/>
      <c r="E926" s="4"/>
      <c r="F926" s="6"/>
      <c r="G926" s="6"/>
      <c r="H926" s="6"/>
      <c r="I926" s="6"/>
      <c r="J926" s="6"/>
      <c r="K926" s="6"/>
      <c r="L926" s="6"/>
      <c r="M926" s="6"/>
      <c r="N926" s="6"/>
      <c r="O926" s="16"/>
      <c r="P926" s="6"/>
      <c r="Q926" s="4"/>
      <c r="R926" s="4"/>
      <c r="S926" s="4"/>
      <c r="T926" s="4"/>
      <c r="U926" s="4"/>
      <c r="V926" s="4"/>
      <c r="W926" s="4"/>
      <c r="X926" s="4"/>
      <c r="Y926" s="4"/>
      <c r="Z926" s="4"/>
      <c r="AA926" s="4"/>
      <c r="AB926" s="4"/>
      <c r="AC926" s="4"/>
    </row>
    <row r="927" spans="1:29" ht="12.75" x14ac:dyDescent="0.2">
      <c r="A927" s="16"/>
      <c r="B927" s="6"/>
      <c r="C927" s="6"/>
      <c r="D927" s="6"/>
      <c r="E927" s="4"/>
      <c r="F927" s="6"/>
      <c r="G927" s="6"/>
      <c r="H927" s="6"/>
      <c r="I927" s="6"/>
      <c r="J927" s="6"/>
      <c r="K927" s="6"/>
      <c r="L927" s="6"/>
      <c r="M927" s="6"/>
      <c r="N927" s="6"/>
      <c r="O927" s="16"/>
      <c r="P927" s="6"/>
      <c r="Q927" s="4"/>
      <c r="R927" s="4"/>
      <c r="S927" s="4"/>
      <c r="T927" s="4"/>
      <c r="U927" s="4"/>
      <c r="V927" s="4"/>
      <c r="W927" s="4"/>
      <c r="X927" s="4"/>
      <c r="Y927" s="4"/>
      <c r="Z927" s="4"/>
      <c r="AA927" s="4"/>
      <c r="AB927" s="4"/>
      <c r="AC927" s="4"/>
    </row>
    <row r="928" spans="1:29" ht="12.75" x14ac:dyDescent="0.2">
      <c r="A928" s="16"/>
      <c r="B928" s="6"/>
      <c r="C928" s="6"/>
      <c r="D928" s="6"/>
      <c r="E928" s="4"/>
      <c r="F928" s="6"/>
      <c r="G928" s="6"/>
      <c r="H928" s="6"/>
      <c r="I928" s="6"/>
      <c r="J928" s="6"/>
      <c r="K928" s="6"/>
      <c r="L928" s="6"/>
      <c r="M928" s="6"/>
      <c r="N928" s="6"/>
      <c r="O928" s="16"/>
      <c r="P928" s="6"/>
      <c r="Q928" s="4"/>
      <c r="R928" s="4"/>
      <c r="S928" s="4"/>
      <c r="T928" s="4"/>
      <c r="U928" s="4"/>
      <c r="V928" s="4"/>
      <c r="W928" s="4"/>
      <c r="X928" s="4"/>
      <c r="Y928" s="4"/>
      <c r="Z928" s="4"/>
      <c r="AA928" s="4"/>
      <c r="AB928" s="4"/>
      <c r="AC928" s="4"/>
    </row>
    <row r="929" spans="1:29" ht="12.75" x14ac:dyDescent="0.2">
      <c r="A929" s="16"/>
      <c r="B929" s="6"/>
      <c r="C929" s="6"/>
      <c r="D929" s="6"/>
      <c r="E929" s="4"/>
      <c r="F929" s="6"/>
      <c r="G929" s="6"/>
      <c r="H929" s="6"/>
      <c r="I929" s="6"/>
      <c r="J929" s="6"/>
      <c r="K929" s="6"/>
      <c r="L929" s="6"/>
      <c r="M929" s="6"/>
      <c r="N929" s="6"/>
      <c r="O929" s="16"/>
      <c r="P929" s="6"/>
      <c r="Q929" s="4"/>
      <c r="R929" s="4"/>
      <c r="S929" s="4"/>
      <c r="T929" s="4"/>
      <c r="U929" s="4"/>
      <c r="V929" s="4"/>
      <c r="W929" s="4"/>
      <c r="X929" s="4"/>
      <c r="Y929" s="4"/>
      <c r="Z929" s="4"/>
      <c r="AA929" s="4"/>
      <c r="AB929" s="4"/>
      <c r="AC929" s="4"/>
    </row>
    <row r="930" spans="1:29" ht="12.75" x14ac:dyDescent="0.2">
      <c r="A930" s="16"/>
      <c r="B930" s="6"/>
      <c r="C930" s="6"/>
      <c r="D930" s="6"/>
      <c r="E930" s="4"/>
      <c r="F930" s="6"/>
      <c r="G930" s="6"/>
      <c r="H930" s="6"/>
      <c r="I930" s="6"/>
      <c r="J930" s="6"/>
      <c r="K930" s="6"/>
      <c r="L930" s="6"/>
      <c r="M930" s="6"/>
      <c r="N930" s="6"/>
      <c r="O930" s="16"/>
      <c r="P930" s="6"/>
      <c r="Q930" s="4"/>
      <c r="R930" s="4"/>
      <c r="S930" s="4"/>
      <c r="T930" s="4"/>
      <c r="U930" s="4"/>
      <c r="V930" s="4"/>
      <c r="W930" s="4"/>
      <c r="X930" s="4"/>
      <c r="Y930" s="4"/>
      <c r="Z930" s="4"/>
      <c r="AA930" s="4"/>
      <c r="AB930" s="4"/>
      <c r="AC930" s="4"/>
    </row>
    <row r="931" spans="1:29" ht="12.75" x14ac:dyDescent="0.2">
      <c r="A931" s="16"/>
      <c r="B931" s="6"/>
      <c r="C931" s="6"/>
      <c r="D931" s="6"/>
      <c r="E931" s="4"/>
      <c r="F931" s="6"/>
      <c r="G931" s="6"/>
      <c r="H931" s="6"/>
      <c r="I931" s="6"/>
      <c r="J931" s="6"/>
      <c r="K931" s="6"/>
      <c r="L931" s="6"/>
      <c r="M931" s="6"/>
      <c r="N931" s="6"/>
      <c r="O931" s="16"/>
      <c r="P931" s="6"/>
      <c r="Q931" s="4"/>
      <c r="R931" s="4"/>
      <c r="S931" s="4"/>
      <c r="T931" s="4"/>
      <c r="U931" s="4"/>
      <c r="V931" s="4"/>
      <c r="W931" s="4"/>
      <c r="X931" s="4"/>
      <c r="Y931" s="4"/>
      <c r="Z931" s="4"/>
      <c r="AA931" s="4"/>
      <c r="AB931" s="4"/>
      <c r="AC931" s="4"/>
    </row>
    <row r="932" spans="1:29" ht="12.75" x14ac:dyDescent="0.2">
      <c r="A932" s="16"/>
      <c r="B932" s="6"/>
      <c r="C932" s="6"/>
      <c r="D932" s="6"/>
      <c r="E932" s="4"/>
      <c r="F932" s="6"/>
      <c r="G932" s="6"/>
      <c r="H932" s="6"/>
      <c r="I932" s="6"/>
      <c r="J932" s="6"/>
      <c r="K932" s="6"/>
      <c r="L932" s="6"/>
      <c r="M932" s="6"/>
      <c r="N932" s="6"/>
      <c r="O932" s="16"/>
      <c r="P932" s="6"/>
      <c r="Q932" s="4"/>
      <c r="R932" s="4"/>
      <c r="S932" s="4"/>
      <c r="T932" s="4"/>
      <c r="U932" s="4"/>
      <c r="V932" s="4"/>
      <c r="W932" s="4"/>
      <c r="X932" s="4"/>
      <c r="Y932" s="4"/>
      <c r="Z932" s="4"/>
      <c r="AA932" s="4"/>
      <c r="AB932" s="4"/>
      <c r="AC932" s="4"/>
    </row>
    <row r="933" spans="1:29" ht="12.75" x14ac:dyDescent="0.2">
      <c r="A933" s="16"/>
      <c r="B933" s="6"/>
      <c r="C933" s="6"/>
      <c r="D933" s="6"/>
      <c r="E933" s="4"/>
      <c r="F933" s="6"/>
      <c r="G933" s="6"/>
      <c r="H933" s="6"/>
      <c r="I933" s="6"/>
      <c r="J933" s="6"/>
      <c r="K933" s="6"/>
      <c r="L933" s="6"/>
      <c r="M933" s="6"/>
      <c r="N933" s="6"/>
      <c r="O933" s="16"/>
      <c r="P933" s="6"/>
      <c r="Q933" s="4"/>
      <c r="R933" s="4"/>
      <c r="S933" s="4"/>
      <c r="T933" s="4"/>
      <c r="U933" s="4"/>
      <c r="V933" s="4"/>
      <c r="W933" s="4"/>
      <c r="X933" s="4"/>
      <c r="Y933" s="4"/>
      <c r="Z933" s="4"/>
      <c r="AA933" s="4"/>
      <c r="AB933" s="4"/>
      <c r="AC933" s="4"/>
    </row>
    <row r="934" spans="1:29" ht="12.75" x14ac:dyDescent="0.2">
      <c r="A934" s="16"/>
      <c r="B934" s="6"/>
      <c r="C934" s="6"/>
      <c r="D934" s="6"/>
      <c r="E934" s="4"/>
      <c r="F934" s="6"/>
      <c r="G934" s="6"/>
      <c r="H934" s="6"/>
      <c r="I934" s="6"/>
      <c r="J934" s="6"/>
      <c r="K934" s="6"/>
      <c r="L934" s="6"/>
      <c r="M934" s="6"/>
      <c r="N934" s="6"/>
      <c r="O934" s="16"/>
      <c r="P934" s="6"/>
      <c r="Q934" s="4"/>
      <c r="R934" s="4"/>
      <c r="S934" s="4"/>
      <c r="T934" s="4"/>
      <c r="U934" s="4"/>
      <c r="V934" s="4"/>
      <c r="W934" s="4"/>
      <c r="X934" s="4"/>
      <c r="Y934" s="4"/>
      <c r="Z934" s="4"/>
      <c r="AA934" s="4"/>
      <c r="AB934" s="4"/>
      <c r="AC934" s="4"/>
    </row>
    <row r="935" spans="1:29" ht="12.75" x14ac:dyDescent="0.2">
      <c r="A935" s="16"/>
      <c r="B935" s="6"/>
      <c r="C935" s="6"/>
      <c r="D935" s="6"/>
      <c r="E935" s="4"/>
      <c r="F935" s="6"/>
      <c r="G935" s="6"/>
      <c r="H935" s="6"/>
      <c r="I935" s="6"/>
      <c r="J935" s="6"/>
      <c r="K935" s="6"/>
      <c r="L935" s="6"/>
      <c r="M935" s="6"/>
      <c r="N935" s="6"/>
      <c r="O935" s="16"/>
      <c r="P935" s="6"/>
      <c r="Q935" s="4"/>
      <c r="R935" s="4"/>
      <c r="S935" s="4"/>
      <c r="T935" s="4"/>
      <c r="U935" s="4"/>
      <c r="V935" s="4"/>
      <c r="W935" s="4"/>
      <c r="X935" s="4"/>
      <c r="Y935" s="4"/>
      <c r="Z935" s="4"/>
      <c r="AA935" s="4"/>
      <c r="AB935" s="4"/>
      <c r="AC935" s="4"/>
    </row>
    <row r="936" spans="1:29" ht="12.75" x14ac:dyDescent="0.2">
      <c r="A936" s="16"/>
      <c r="B936" s="6"/>
      <c r="C936" s="6"/>
      <c r="D936" s="6"/>
      <c r="E936" s="4"/>
      <c r="F936" s="6"/>
      <c r="G936" s="6"/>
      <c r="H936" s="6"/>
      <c r="I936" s="6"/>
      <c r="J936" s="6"/>
      <c r="K936" s="6"/>
      <c r="L936" s="6"/>
      <c r="M936" s="6"/>
      <c r="N936" s="6"/>
      <c r="O936" s="16"/>
      <c r="P936" s="6"/>
      <c r="Q936" s="4"/>
      <c r="R936" s="4"/>
      <c r="S936" s="4"/>
      <c r="T936" s="4"/>
      <c r="U936" s="4"/>
      <c r="V936" s="4"/>
      <c r="W936" s="4"/>
      <c r="X936" s="4"/>
      <c r="Y936" s="4"/>
      <c r="Z936" s="4"/>
      <c r="AA936" s="4"/>
      <c r="AB936" s="4"/>
      <c r="AC936" s="4"/>
    </row>
    <row r="937" spans="1:29" ht="12.75" x14ac:dyDescent="0.2">
      <c r="A937" s="16"/>
      <c r="B937" s="6"/>
      <c r="C937" s="6"/>
      <c r="D937" s="6"/>
      <c r="E937" s="4"/>
      <c r="F937" s="6"/>
      <c r="G937" s="6"/>
      <c r="H937" s="6"/>
      <c r="I937" s="6"/>
      <c r="J937" s="6"/>
      <c r="K937" s="6"/>
      <c r="L937" s="6"/>
      <c r="M937" s="6"/>
      <c r="N937" s="6"/>
      <c r="O937" s="16"/>
      <c r="P937" s="6"/>
      <c r="Q937" s="4"/>
      <c r="R937" s="4"/>
      <c r="S937" s="4"/>
      <c r="T937" s="4"/>
      <c r="U937" s="4"/>
      <c r="V937" s="4"/>
      <c r="W937" s="4"/>
      <c r="X937" s="4"/>
      <c r="Y937" s="4"/>
      <c r="Z937" s="4"/>
      <c r="AA937" s="4"/>
      <c r="AB937" s="4"/>
      <c r="AC937" s="4"/>
    </row>
    <row r="938" spans="1:29" ht="12.75" x14ac:dyDescent="0.2">
      <c r="A938" s="16"/>
      <c r="B938" s="6"/>
      <c r="C938" s="6"/>
      <c r="D938" s="6"/>
      <c r="E938" s="4"/>
      <c r="F938" s="6"/>
      <c r="G938" s="6"/>
      <c r="H938" s="6"/>
      <c r="I938" s="6"/>
      <c r="J938" s="6"/>
      <c r="K938" s="6"/>
      <c r="L938" s="6"/>
      <c r="M938" s="6"/>
      <c r="N938" s="6"/>
      <c r="O938" s="16"/>
      <c r="P938" s="6"/>
      <c r="Q938" s="4"/>
      <c r="R938" s="4"/>
      <c r="S938" s="4"/>
      <c r="T938" s="4"/>
      <c r="U938" s="4"/>
      <c r="V938" s="4"/>
      <c r="W938" s="4"/>
      <c r="X938" s="4"/>
      <c r="Y938" s="4"/>
      <c r="Z938" s="4"/>
      <c r="AA938" s="4"/>
      <c r="AB938" s="4"/>
      <c r="AC938" s="4"/>
    </row>
    <row r="939" spans="1:29" ht="12.75" x14ac:dyDescent="0.2">
      <c r="A939" s="16"/>
      <c r="B939" s="6"/>
      <c r="C939" s="6"/>
      <c r="D939" s="6"/>
      <c r="E939" s="4"/>
      <c r="F939" s="6"/>
      <c r="G939" s="6"/>
      <c r="H939" s="6"/>
      <c r="I939" s="6"/>
      <c r="J939" s="6"/>
      <c r="K939" s="6"/>
      <c r="L939" s="6"/>
      <c r="M939" s="6"/>
      <c r="N939" s="6"/>
      <c r="O939" s="16"/>
      <c r="P939" s="6"/>
      <c r="Q939" s="4"/>
      <c r="R939" s="4"/>
      <c r="S939" s="4"/>
      <c r="T939" s="4"/>
      <c r="U939" s="4"/>
      <c r="V939" s="4"/>
      <c r="W939" s="4"/>
      <c r="X939" s="4"/>
      <c r="Y939" s="4"/>
      <c r="Z939" s="4"/>
      <c r="AA939" s="4"/>
      <c r="AB939" s="4"/>
      <c r="AC939" s="4"/>
    </row>
    <row r="940" spans="1:29" ht="12.75" x14ac:dyDescent="0.2">
      <c r="A940" s="16"/>
      <c r="B940" s="6"/>
      <c r="C940" s="6"/>
      <c r="D940" s="6"/>
      <c r="E940" s="4"/>
      <c r="F940" s="6"/>
      <c r="G940" s="6"/>
      <c r="H940" s="6"/>
      <c r="I940" s="6"/>
      <c r="J940" s="6"/>
      <c r="K940" s="6"/>
      <c r="L940" s="6"/>
      <c r="M940" s="6"/>
      <c r="N940" s="6"/>
      <c r="O940" s="16"/>
      <c r="P940" s="6"/>
      <c r="Q940" s="4"/>
      <c r="R940" s="4"/>
      <c r="S940" s="4"/>
      <c r="T940" s="4"/>
      <c r="U940" s="4"/>
      <c r="V940" s="4"/>
      <c r="W940" s="4"/>
      <c r="X940" s="4"/>
      <c r="Y940" s="4"/>
      <c r="Z940" s="4"/>
      <c r="AA940" s="4"/>
      <c r="AB940" s="4"/>
      <c r="AC940" s="4"/>
    </row>
    <row r="941" spans="1:29" ht="12.75" x14ac:dyDescent="0.2">
      <c r="A941" s="16"/>
      <c r="B941" s="6"/>
      <c r="C941" s="6"/>
      <c r="D941" s="6"/>
      <c r="E941" s="4"/>
      <c r="F941" s="6"/>
      <c r="G941" s="6"/>
      <c r="H941" s="6"/>
      <c r="I941" s="6"/>
      <c r="J941" s="6"/>
      <c r="K941" s="6"/>
      <c r="L941" s="6"/>
      <c r="M941" s="6"/>
      <c r="N941" s="6"/>
      <c r="O941" s="16"/>
      <c r="P941" s="6"/>
      <c r="Q941" s="4"/>
      <c r="R941" s="4"/>
      <c r="S941" s="4"/>
      <c r="T941" s="4"/>
      <c r="U941" s="4"/>
      <c r="V941" s="4"/>
      <c r="W941" s="4"/>
      <c r="X941" s="4"/>
      <c r="Y941" s="4"/>
      <c r="Z941" s="4"/>
      <c r="AA941" s="4"/>
      <c r="AB941" s="4"/>
      <c r="AC941" s="4"/>
    </row>
    <row r="942" spans="1:29" ht="12.75" x14ac:dyDescent="0.2">
      <c r="A942" s="16"/>
      <c r="B942" s="6"/>
      <c r="C942" s="6"/>
      <c r="D942" s="6"/>
      <c r="E942" s="4"/>
      <c r="F942" s="6"/>
      <c r="G942" s="6"/>
      <c r="H942" s="6"/>
      <c r="I942" s="6"/>
      <c r="J942" s="6"/>
      <c r="K942" s="6"/>
      <c r="L942" s="6"/>
      <c r="M942" s="6"/>
      <c r="N942" s="6"/>
      <c r="O942" s="16"/>
      <c r="P942" s="6"/>
      <c r="Q942" s="4"/>
      <c r="R942" s="4"/>
      <c r="S942" s="4"/>
      <c r="T942" s="4"/>
      <c r="U942" s="4"/>
      <c r="V942" s="4"/>
      <c r="W942" s="4"/>
      <c r="X942" s="4"/>
      <c r="Y942" s="4"/>
      <c r="Z942" s="4"/>
      <c r="AA942" s="4"/>
      <c r="AB942" s="4"/>
      <c r="AC942" s="4"/>
    </row>
    <row r="943" spans="1:29" ht="12.75" x14ac:dyDescent="0.2">
      <c r="A943" s="16"/>
      <c r="B943" s="6"/>
      <c r="C943" s="6"/>
      <c r="D943" s="6"/>
      <c r="E943" s="4"/>
      <c r="F943" s="6"/>
      <c r="G943" s="6"/>
      <c r="H943" s="6"/>
      <c r="I943" s="6"/>
      <c r="J943" s="6"/>
      <c r="K943" s="6"/>
      <c r="L943" s="6"/>
      <c r="M943" s="6"/>
      <c r="N943" s="6"/>
      <c r="O943" s="16"/>
      <c r="P943" s="6"/>
      <c r="Q943" s="4"/>
      <c r="R943" s="4"/>
      <c r="S943" s="4"/>
      <c r="T943" s="4"/>
      <c r="U943" s="4"/>
      <c r="V943" s="4"/>
      <c r="W943" s="4"/>
      <c r="X943" s="4"/>
      <c r="Y943" s="4"/>
      <c r="Z943" s="4"/>
      <c r="AA943" s="4"/>
      <c r="AB943" s="4"/>
      <c r="AC943" s="4"/>
    </row>
    <row r="944" spans="1:29" ht="12.75" x14ac:dyDescent="0.2">
      <c r="A944" s="16"/>
      <c r="B944" s="6"/>
      <c r="C944" s="6"/>
      <c r="D944" s="6"/>
      <c r="E944" s="4"/>
      <c r="F944" s="6"/>
      <c r="G944" s="6"/>
      <c r="H944" s="6"/>
      <c r="I944" s="6"/>
      <c r="J944" s="6"/>
      <c r="K944" s="6"/>
      <c r="L944" s="6"/>
      <c r="M944" s="6"/>
      <c r="N944" s="6"/>
      <c r="O944" s="16"/>
      <c r="P944" s="6"/>
      <c r="Q944" s="4"/>
      <c r="R944" s="4"/>
      <c r="S944" s="4"/>
      <c r="T944" s="4"/>
      <c r="U944" s="4"/>
      <c r="V944" s="4"/>
      <c r="W944" s="4"/>
      <c r="X944" s="4"/>
      <c r="Y944" s="4"/>
      <c r="Z944" s="4"/>
      <c r="AA944" s="4"/>
      <c r="AB944" s="4"/>
      <c r="AC944" s="4"/>
    </row>
    <row r="945" spans="1:29" ht="12.75" x14ac:dyDescent="0.2">
      <c r="A945" s="16"/>
      <c r="B945" s="6"/>
      <c r="C945" s="6"/>
      <c r="D945" s="6"/>
      <c r="E945" s="4"/>
      <c r="F945" s="6"/>
      <c r="G945" s="6"/>
      <c r="H945" s="6"/>
      <c r="I945" s="6"/>
      <c r="J945" s="6"/>
      <c r="K945" s="6"/>
      <c r="L945" s="6"/>
      <c r="M945" s="6"/>
      <c r="N945" s="6"/>
      <c r="O945" s="16"/>
      <c r="P945" s="6"/>
      <c r="Q945" s="4"/>
      <c r="R945" s="4"/>
      <c r="S945" s="4"/>
      <c r="T945" s="4"/>
      <c r="U945" s="4"/>
      <c r="V945" s="4"/>
      <c r="W945" s="4"/>
      <c r="X945" s="4"/>
      <c r="Y945" s="4"/>
      <c r="Z945" s="4"/>
      <c r="AA945" s="4"/>
      <c r="AB945" s="4"/>
      <c r="AC945" s="4"/>
    </row>
    <row r="946" spans="1:29" ht="12.75" x14ac:dyDescent="0.2">
      <c r="A946" s="16"/>
      <c r="B946" s="6"/>
      <c r="C946" s="6"/>
      <c r="D946" s="6"/>
      <c r="E946" s="4"/>
      <c r="F946" s="6"/>
      <c r="G946" s="6"/>
      <c r="H946" s="6"/>
      <c r="I946" s="6"/>
      <c r="J946" s="6"/>
      <c r="K946" s="6"/>
      <c r="L946" s="6"/>
      <c r="M946" s="6"/>
      <c r="N946" s="6"/>
      <c r="O946" s="16"/>
      <c r="P946" s="6"/>
      <c r="Q946" s="4"/>
      <c r="R946" s="4"/>
      <c r="S946" s="4"/>
      <c r="T946" s="4"/>
      <c r="U946" s="4"/>
      <c r="V946" s="4"/>
      <c r="W946" s="4"/>
      <c r="X946" s="4"/>
      <c r="Y946" s="4"/>
      <c r="Z946" s="4"/>
      <c r="AA946" s="4"/>
      <c r="AB946" s="4"/>
      <c r="AC946" s="4"/>
    </row>
    <row r="947" spans="1:29" ht="12.75" x14ac:dyDescent="0.2">
      <c r="A947" s="16"/>
      <c r="B947" s="6"/>
      <c r="C947" s="6"/>
      <c r="D947" s="6"/>
      <c r="E947" s="4"/>
      <c r="F947" s="6"/>
      <c r="G947" s="6"/>
      <c r="H947" s="6"/>
      <c r="I947" s="6"/>
      <c r="J947" s="6"/>
      <c r="K947" s="6"/>
      <c r="L947" s="6"/>
      <c r="M947" s="6"/>
      <c r="N947" s="6"/>
      <c r="O947" s="16"/>
      <c r="P947" s="6"/>
      <c r="Q947" s="4"/>
      <c r="R947" s="4"/>
      <c r="S947" s="4"/>
      <c r="T947" s="4"/>
      <c r="U947" s="4"/>
      <c r="V947" s="4"/>
      <c r="W947" s="4"/>
      <c r="X947" s="4"/>
      <c r="Y947" s="4"/>
      <c r="Z947" s="4"/>
      <c r="AA947" s="4"/>
      <c r="AB947" s="4"/>
      <c r="AC947" s="4"/>
    </row>
    <row r="948" spans="1:29" ht="12.75" x14ac:dyDescent="0.2">
      <c r="A948" s="16"/>
      <c r="B948" s="6"/>
      <c r="C948" s="6"/>
      <c r="D948" s="6"/>
      <c r="E948" s="4"/>
      <c r="F948" s="6"/>
      <c r="G948" s="6"/>
      <c r="H948" s="6"/>
      <c r="I948" s="6"/>
      <c r="J948" s="6"/>
      <c r="K948" s="6"/>
      <c r="L948" s="6"/>
      <c r="M948" s="6"/>
      <c r="N948" s="6"/>
      <c r="O948" s="16"/>
      <c r="P948" s="6"/>
      <c r="Q948" s="4"/>
      <c r="R948" s="4"/>
      <c r="S948" s="4"/>
      <c r="T948" s="4"/>
      <c r="U948" s="4"/>
      <c r="V948" s="4"/>
      <c r="W948" s="4"/>
      <c r="X948" s="4"/>
      <c r="Y948" s="4"/>
      <c r="Z948" s="4"/>
      <c r="AA948" s="4"/>
      <c r="AB948" s="4"/>
      <c r="AC948" s="4"/>
    </row>
    <row r="949" spans="1:29" ht="12.75" x14ac:dyDescent="0.2">
      <c r="A949" s="16"/>
      <c r="B949" s="6"/>
      <c r="C949" s="6"/>
      <c r="D949" s="6"/>
      <c r="E949" s="4"/>
      <c r="F949" s="6"/>
      <c r="G949" s="6"/>
      <c r="H949" s="6"/>
      <c r="I949" s="6"/>
      <c r="J949" s="6"/>
      <c r="K949" s="6"/>
      <c r="L949" s="6"/>
      <c r="M949" s="6"/>
      <c r="N949" s="6"/>
      <c r="O949" s="16"/>
      <c r="P949" s="6"/>
      <c r="Q949" s="4"/>
      <c r="R949" s="4"/>
      <c r="S949" s="4"/>
      <c r="T949" s="4"/>
      <c r="U949" s="4"/>
      <c r="V949" s="4"/>
      <c r="W949" s="4"/>
      <c r="X949" s="4"/>
      <c r="Y949" s="4"/>
      <c r="Z949" s="4"/>
      <c r="AA949" s="4"/>
      <c r="AB949" s="4"/>
      <c r="AC949" s="4"/>
    </row>
    <row r="950" spans="1:29" ht="12.75" x14ac:dyDescent="0.2">
      <c r="A950" s="16"/>
      <c r="B950" s="6"/>
      <c r="C950" s="6"/>
      <c r="D950" s="6"/>
      <c r="E950" s="4"/>
      <c r="F950" s="6"/>
      <c r="G950" s="6"/>
      <c r="H950" s="6"/>
      <c r="I950" s="6"/>
      <c r="J950" s="6"/>
      <c r="K950" s="6"/>
      <c r="L950" s="6"/>
      <c r="M950" s="6"/>
      <c r="N950" s="6"/>
      <c r="O950" s="16"/>
      <c r="P950" s="6"/>
      <c r="Q950" s="4"/>
      <c r="R950" s="4"/>
      <c r="S950" s="4"/>
      <c r="T950" s="4"/>
      <c r="U950" s="4"/>
      <c r="V950" s="4"/>
      <c r="W950" s="4"/>
      <c r="X950" s="4"/>
      <c r="Y950" s="4"/>
      <c r="Z950" s="4"/>
      <c r="AA950" s="4"/>
      <c r="AB950" s="4"/>
      <c r="AC950" s="4"/>
    </row>
    <row r="951" spans="1:29" ht="12.75" x14ac:dyDescent="0.2">
      <c r="A951" s="16"/>
      <c r="B951" s="6"/>
      <c r="C951" s="6"/>
      <c r="D951" s="6"/>
      <c r="E951" s="4"/>
      <c r="F951" s="6"/>
      <c r="G951" s="6"/>
      <c r="H951" s="6"/>
      <c r="I951" s="6"/>
      <c r="J951" s="6"/>
      <c r="K951" s="6"/>
      <c r="L951" s="6"/>
      <c r="M951" s="6"/>
      <c r="N951" s="6"/>
      <c r="O951" s="16"/>
      <c r="P951" s="6"/>
      <c r="Q951" s="4"/>
      <c r="R951" s="4"/>
      <c r="S951" s="4"/>
      <c r="T951" s="4"/>
      <c r="U951" s="4"/>
      <c r="V951" s="4"/>
      <c r="W951" s="4"/>
      <c r="X951" s="4"/>
      <c r="Y951" s="4"/>
      <c r="Z951" s="4"/>
      <c r="AA951" s="4"/>
      <c r="AB951" s="4"/>
      <c r="AC951" s="4"/>
    </row>
    <row r="952" spans="1:29" ht="12.75" x14ac:dyDescent="0.2">
      <c r="A952" s="16"/>
      <c r="B952" s="6"/>
      <c r="C952" s="6"/>
      <c r="D952" s="6"/>
      <c r="E952" s="4"/>
      <c r="F952" s="6"/>
      <c r="G952" s="6"/>
      <c r="H952" s="6"/>
      <c r="I952" s="6"/>
      <c r="J952" s="6"/>
      <c r="K952" s="6"/>
      <c r="L952" s="6"/>
      <c r="M952" s="6"/>
      <c r="N952" s="6"/>
      <c r="O952" s="16"/>
      <c r="P952" s="6"/>
      <c r="Q952" s="4"/>
      <c r="R952" s="4"/>
      <c r="S952" s="4"/>
      <c r="T952" s="4"/>
      <c r="U952" s="4"/>
      <c r="V952" s="4"/>
      <c r="W952" s="4"/>
      <c r="X952" s="4"/>
      <c r="Y952" s="4"/>
      <c r="Z952" s="4"/>
      <c r="AA952" s="4"/>
      <c r="AB952" s="4"/>
      <c r="AC952" s="4"/>
    </row>
    <row r="953" spans="1:29" ht="12.75" x14ac:dyDescent="0.2">
      <c r="A953" s="16"/>
      <c r="B953" s="6"/>
      <c r="C953" s="6"/>
      <c r="D953" s="6"/>
      <c r="E953" s="4"/>
      <c r="F953" s="6"/>
      <c r="G953" s="6"/>
      <c r="H953" s="6"/>
      <c r="I953" s="6"/>
      <c r="J953" s="6"/>
      <c r="K953" s="6"/>
      <c r="L953" s="6"/>
      <c r="M953" s="6"/>
      <c r="N953" s="6"/>
      <c r="O953" s="16"/>
      <c r="P953" s="6"/>
      <c r="Q953" s="4"/>
      <c r="R953" s="4"/>
      <c r="S953" s="4"/>
      <c r="T953" s="4"/>
      <c r="U953" s="4"/>
      <c r="V953" s="4"/>
      <c r="W953" s="4"/>
      <c r="X953" s="4"/>
      <c r="Y953" s="4"/>
      <c r="Z953" s="4"/>
      <c r="AA953" s="4"/>
      <c r="AB953" s="4"/>
      <c r="AC953" s="4"/>
    </row>
    <row r="954" spans="1:29" ht="12.75" x14ac:dyDescent="0.2">
      <c r="A954" s="16"/>
      <c r="B954" s="6"/>
      <c r="C954" s="6"/>
      <c r="D954" s="6"/>
      <c r="E954" s="4"/>
      <c r="F954" s="6"/>
      <c r="G954" s="6"/>
      <c r="H954" s="6"/>
      <c r="I954" s="6"/>
      <c r="J954" s="6"/>
      <c r="K954" s="6"/>
      <c r="L954" s="6"/>
      <c r="M954" s="6"/>
      <c r="N954" s="6"/>
      <c r="O954" s="16"/>
      <c r="P954" s="6"/>
      <c r="Q954" s="4"/>
      <c r="R954" s="4"/>
      <c r="S954" s="4"/>
      <c r="T954" s="4"/>
      <c r="U954" s="4"/>
      <c r="V954" s="4"/>
      <c r="W954" s="4"/>
      <c r="X954" s="4"/>
      <c r="Y954" s="4"/>
      <c r="Z954" s="4"/>
      <c r="AA954" s="4"/>
      <c r="AB954" s="4"/>
      <c r="AC954" s="4"/>
    </row>
    <row r="955" spans="1:29" ht="12.75" x14ac:dyDescent="0.2">
      <c r="A955" s="16"/>
      <c r="B955" s="6"/>
      <c r="C955" s="6"/>
      <c r="D955" s="6"/>
      <c r="E955" s="4"/>
      <c r="F955" s="6"/>
      <c r="G955" s="6"/>
      <c r="H955" s="6"/>
      <c r="I955" s="6"/>
      <c r="J955" s="6"/>
      <c r="K955" s="6"/>
      <c r="L955" s="6"/>
      <c r="M955" s="6"/>
      <c r="N955" s="6"/>
      <c r="O955" s="16"/>
      <c r="P955" s="6"/>
      <c r="Q955" s="4"/>
      <c r="R955" s="4"/>
      <c r="S955" s="4"/>
      <c r="T955" s="4"/>
      <c r="U955" s="4"/>
      <c r="V955" s="4"/>
      <c r="W955" s="4"/>
      <c r="X955" s="4"/>
      <c r="Y955" s="4"/>
      <c r="Z955" s="4"/>
      <c r="AA955" s="4"/>
      <c r="AB955" s="4"/>
      <c r="AC955" s="4"/>
    </row>
    <row r="956" spans="1:29" ht="12.75" x14ac:dyDescent="0.2">
      <c r="A956" s="16"/>
      <c r="B956" s="6"/>
      <c r="C956" s="6"/>
      <c r="D956" s="6"/>
      <c r="E956" s="4"/>
      <c r="F956" s="6"/>
      <c r="G956" s="6"/>
      <c r="H956" s="6"/>
      <c r="I956" s="6"/>
      <c r="J956" s="6"/>
      <c r="K956" s="6"/>
      <c r="L956" s="6"/>
      <c r="M956" s="6"/>
      <c r="N956" s="6"/>
      <c r="O956" s="16"/>
      <c r="P956" s="6"/>
      <c r="Q956" s="4"/>
      <c r="R956" s="4"/>
      <c r="S956" s="4"/>
      <c r="T956" s="4"/>
      <c r="U956" s="4"/>
      <c r="V956" s="4"/>
      <c r="W956" s="4"/>
      <c r="X956" s="4"/>
      <c r="Y956" s="4"/>
      <c r="Z956" s="4"/>
      <c r="AA956" s="4"/>
      <c r="AB956" s="4"/>
      <c r="AC956" s="4"/>
    </row>
    <row r="957" spans="1:29" ht="12.75" x14ac:dyDescent="0.2">
      <c r="A957" s="16"/>
      <c r="B957" s="6"/>
      <c r="C957" s="6"/>
      <c r="D957" s="6"/>
      <c r="E957" s="4"/>
      <c r="F957" s="6"/>
      <c r="G957" s="6"/>
      <c r="H957" s="6"/>
      <c r="I957" s="6"/>
      <c r="J957" s="6"/>
      <c r="K957" s="6"/>
      <c r="L957" s="6"/>
      <c r="M957" s="6"/>
      <c r="N957" s="6"/>
      <c r="O957" s="16"/>
      <c r="P957" s="6"/>
      <c r="Q957" s="4"/>
      <c r="R957" s="4"/>
      <c r="S957" s="4"/>
      <c r="T957" s="4"/>
      <c r="U957" s="4"/>
      <c r="V957" s="4"/>
      <c r="W957" s="4"/>
      <c r="X957" s="4"/>
      <c r="Y957" s="4"/>
      <c r="Z957" s="4"/>
      <c r="AA957" s="4"/>
      <c r="AB957" s="4"/>
      <c r="AC957" s="4"/>
    </row>
    <row r="958" spans="1:29" ht="12.75" x14ac:dyDescent="0.2">
      <c r="A958" s="16"/>
      <c r="B958" s="6"/>
      <c r="C958" s="6"/>
      <c r="D958" s="6"/>
      <c r="E958" s="4"/>
      <c r="F958" s="6"/>
      <c r="G958" s="6"/>
      <c r="H958" s="6"/>
      <c r="I958" s="6"/>
      <c r="J958" s="6"/>
      <c r="K958" s="6"/>
      <c r="L958" s="6"/>
      <c r="M958" s="6"/>
      <c r="N958" s="6"/>
      <c r="O958" s="16"/>
      <c r="P958" s="6"/>
      <c r="Q958" s="4"/>
      <c r="R958" s="4"/>
      <c r="S958" s="4"/>
      <c r="T958" s="4"/>
      <c r="U958" s="4"/>
      <c r="V958" s="4"/>
      <c r="W958" s="4"/>
      <c r="X958" s="4"/>
      <c r="Y958" s="4"/>
      <c r="Z958" s="4"/>
      <c r="AA958" s="4"/>
      <c r="AB958" s="4"/>
      <c r="AC958" s="4"/>
    </row>
    <row r="959" spans="1:29" ht="12.75" x14ac:dyDescent="0.2">
      <c r="A959" s="16"/>
      <c r="B959" s="6"/>
      <c r="C959" s="6"/>
      <c r="D959" s="6"/>
      <c r="E959" s="4"/>
      <c r="F959" s="6"/>
      <c r="G959" s="6"/>
      <c r="H959" s="6"/>
      <c r="I959" s="6"/>
      <c r="J959" s="6"/>
      <c r="K959" s="6"/>
      <c r="L959" s="6"/>
      <c r="M959" s="6"/>
      <c r="N959" s="6"/>
      <c r="O959" s="16"/>
      <c r="P959" s="6"/>
      <c r="Q959" s="4"/>
      <c r="R959" s="4"/>
      <c r="S959" s="4"/>
      <c r="T959" s="4"/>
      <c r="U959" s="4"/>
      <c r="V959" s="4"/>
      <c r="W959" s="4"/>
      <c r="X959" s="4"/>
      <c r="Y959" s="4"/>
      <c r="Z959" s="4"/>
      <c r="AA959" s="4"/>
      <c r="AB959" s="4"/>
      <c r="AC959" s="4"/>
    </row>
    <row r="960" spans="1:29" ht="12.75" x14ac:dyDescent="0.2">
      <c r="A960" s="16"/>
      <c r="B960" s="6"/>
      <c r="C960" s="6"/>
      <c r="D960" s="6"/>
      <c r="E960" s="4"/>
      <c r="F960" s="6"/>
      <c r="G960" s="6"/>
      <c r="H960" s="6"/>
      <c r="I960" s="6"/>
      <c r="J960" s="6"/>
      <c r="K960" s="6"/>
      <c r="L960" s="6"/>
      <c r="M960" s="6"/>
      <c r="N960" s="6"/>
      <c r="O960" s="16"/>
      <c r="P960" s="6"/>
      <c r="Q960" s="4"/>
      <c r="R960" s="4"/>
      <c r="S960" s="4"/>
      <c r="T960" s="4"/>
      <c r="U960" s="4"/>
      <c r="V960" s="4"/>
      <c r="W960" s="4"/>
      <c r="X960" s="4"/>
      <c r="Y960" s="4"/>
      <c r="Z960" s="4"/>
      <c r="AA960" s="4"/>
      <c r="AB960" s="4"/>
      <c r="AC960" s="4"/>
    </row>
    <row r="961" spans="1:29" ht="12.75" x14ac:dyDescent="0.2">
      <c r="A961" s="16"/>
      <c r="B961" s="6"/>
      <c r="C961" s="6"/>
      <c r="D961" s="6"/>
      <c r="E961" s="4"/>
      <c r="F961" s="6"/>
      <c r="G961" s="6"/>
      <c r="H961" s="6"/>
      <c r="I961" s="6"/>
      <c r="J961" s="6"/>
      <c r="K961" s="6"/>
      <c r="L961" s="6"/>
      <c r="M961" s="6"/>
      <c r="N961" s="6"/>
      <c r="O961" s="16"/>
      <c r="P961" s="6"/>
      <c r="Q961" s="4"/>
      <c r="R961" s="4"/>
      <c r="S961" s="4"/>
      <c r="T961" s="4"/>
      <c r="U961" s="4"/>
      <c r="V961" s="4"/>
      <c r="W961" s="4"/>
      <c r="X961" s="4"/>
      <c r="Y961" s="4"/>
      <c r="Z961" s="4"/>
      <c r="AA961" s="4"/>
      <c r="AB961" s="4"/>
      <c r="AC961" s="4"/>
    </row>
    <row r="962" spans="1:29" ht="12.75" x14ac:dyDescent="0.2">
      <c r="A962" s="16"/>
      <c r="B962" s="6"/>
      <c r="C962" s="6"/>
      <c r="D962" s="6"/>
      <c r="E962" s="4"/>
      <c r="F962" s="6"/>
      <c r="G962" s="6"/>
      <c r="H962" s="6"/>
      <c r="I962" s="6"/>
      <c r="J962" s="6"/>
      <c r="K962" s="6"/>
      <c r="L962" s="6"/>
      <c r="M962" s="6"/>
      <c r="N962" s="6"/>
      <c r="O962" s="16"/>
      <c r="P962" s="6"/>
      <c r="Q962" s="4"/>
      <c r="R962" s="4"/>
      <c r="S962" s="4"/>
      <c r="T962" s="4"/>
      <c r="U962" s="4"/>
      <c r="V962" s="4"/>
      <c r="W962" s="4"/>
      <c r="X962" s="4"/>
      <c r="Y962" s="4"/>
      <c r="Z962" s="4"/>
      <c r="AA962" s="4"/>
      <c r="AB962" s="4"/>
      <c r="AC962" s="4"/>
    </row>
    <row r="963" spans="1:29" ht="12.75" x14ac:dyDescent="0.2">
      <c r="A963" s="16"/>
      <c r="B963" s="6"/>
      <c r="C963" s="6"/>
      <c r="D963" s="6"/>
      <c r="E963" s="4"/>
      <c r="F963" s="6"/>
      <c r="G963" s="6"/>
      <c r="H963" s="6"/>
      <c r="I963" s="6"/>
      <c r="J963" s="6"/>
      <c r="K963" s="6"/>
      <c r="L963" s="6"/>
      <c r="M963" s="6"/>
      <c r="N963" s="6"/>
      <c r="O963" s="16"/>
      <c r="P963" s="6"/>
      <c r="Q963" s="4"/>
      <c r="R963" s="4"/>
      <c r="S963" s="4"/>
      <c r="T963" s="4"/>
      <c r="U963" s="4"/>
      <c r="V963" s="4"/>
      <c r="W963" s="4"/>
      <c r="X963" s="4"/>
      <c r="Y963" s="4"/>
      <c r="Z963" s="4"/>
      <c r="AA963" s="4"/>
      <c r="AB963" s="4"/>
      <c r="AC963" s="4"/>
    </row>
    <row r="964" spans="1:29" ht="12.75" x14ac:dyDescent="0.2">
      <c r="A964" s="16"/>
      <c r="B964" s="6"/>
      <c r="C964" s="6"/>
      <c r="D964" s="6"/>
      <c r="E964" s="4"/>
      <c r="F964" s="6"/>
      <c r="G964" s="6"/>
      <c r="H964" s="6"/>
      <c r="I964" s="6"/>
      <c r="J964" s="6"/>
      <c r="K964" s="6"/>
      <c r="L964" s="6"/>
      <c r="M964" s="6"/>
      <c r="N964" s="6"/>
      <c r="O964" s="16"/>
      <c r="P964" s="6"/>
      <c r="Q964" s="4"/>
      <c r="R964" s="4"/>
      <c r="S964" s="4"/>
      <c r="T964" s="4"/>
      <c r="U964" s="4"/>
      <c r="V964" s="4"/>
      <c r="W964" s="4"/>
      <c r="X964" s="4"/>
      <c r="Y964" s="4"/>
      <c r="Z964" s="4"/>
      <c r="AA964" s="4"/>
      <c r="AB964" s="4"/>
      <c r="AC964" s="4"/>
    </row>
    <row r="965" spans="1:29" ht="12.75" x14ac:dyDescent="0.2">
      <c r="A965" s="16"/>
      <c r="B965" s="6"/>
      <c r="C965" s="6"/>
      <c r="D965" s="6"/>
      <c r="E965" s="4"/>
      <c r="F965" s="6"/>
      <c r="G965" s="6"/>
      <c r="H965" s="6"/>
      <c r="I965" s="6"/>
      <c r="J965" s="6"/>
      <c r="K965" s="6"/>
      <c r="L965" s="6"/>
      <c r="M965" s="6"/>
      <c r="N965" s="6"/>
      <c r="O965" s="16"/>
      <c r="P965" s="6"/>
      <c r="Q965" s="4"/>
      <c r="R965" s="4"/>
      <c r="S965" s="4"/>
      <c r="T965" s="4"/>
      <c r="U965" s="4"/>
      <c r="V965" s="4"/>
      <c r="W965" s="4"/>
      <c r="X965" s="4"/>
      <c r="Y965" s="4"/>
      <c r="Z965" s="4"/>
      <c r="AA965" s="4"/>
      <c r="AB965" s="4"/>
      <c r="AC965" s="4"/>
    </row>
    <row r="966" spans="1:29" ht="12.75" x14ac:dyDescent="0.2">
      <c r="A966" s="16"/>
      <c r="B966" s="6"/>
      <c r="C966" s="6"/>
      <c r="D966" s="6"/>
      <c r="E966" s="4"/>
      <c r="F966" s="6"/>
      <c r="G966" s="6"/>
      <c r="H966" s="6"/>
      <c r="I966" s="6"/>
      <c r="J966" s="6"/>
      <c r="K966" s="6"/>
      <c r="L966" s="6"/>
      <c r="M966" s="6"/>
      <c r="N966" s="6"/>
      <c r="O966" s="16"/>
      <c r="P966" s="6"/>
      <c r="Q966" s="4"/>
      <c r="R966" s="4"/>
      <c r="S966" s="4"/>
      <c r="T966" s="4"/>
      <c r="U966" s="4"/>
      <c r="V966" s="4"/>
      <c r="W966" s="4"/>
      <c r="X966" s="4"/>
      <c r="Y966" s="4"/>
      <c r="Z966" s="4"/>
      <c r="AA966" s="4"/>
      <c r="AB966" s="4"/>
      <c r="AC966" s="4"/>
    </row>
    <row r="967" spans="1:29" ht="12.75" x14ac:dyDescent="0.2">
      <c r="A967" s="16"/>
      <c r="B967" s="6"/>
      <c r="C967" s="6"/>
      <c r="D967" s="6"/>
      <c r="E967" s="4"/>
      <c r="F967" s="6"/>
      <c r="G967" s="6"/>
      <c r="H967" s="6"/>
      <c r="I967" s="6"/>
      <c r="J967" s="6"/>
      <c r="K967" s="6"/>
      <c r="L967" s="6"/>
      <c r="M967" s="6"/>
      <c r="N967" s="6"/>
      <c r="O967" s="16"/>
      <c r="P967" s="6"/>
      <c r="Q967" s="4"/>
      <c r="R967" s="4"/>
      <c r="S967" s="4"/>
      <c r="T967" s="4"/>
      <c r="U967" s="4"/>
      <c r="V967" s="4"/>
      <c r="W967" s="4"/>
      <c r="X967" s="4"/>
      <c r="Y967" s="4"/>
      <c r="Z967" s="4"/>
      <c r="AA967" s="4"/>
      <c r="AB967" s="4"/>
      <c r="AC967" s="4"/>
    </row>
    <row r="968" spans="1:29" ht="12.75" x14ac:dyDescent="0.2">
      <c r="A968" s="16"/>
      <c r="B968" s="6"/>
      <c r="C968" s="6"/>
      <c r="D968" s="6"/>
      <c r="E968" s="4"/>
      <c r="F968" s="6"/>
      <c r="G968" s="6"/>
      <c r="H968" s="6"/>
      <c r="I968" s="6"/>
      <c r="J968" s="6"/>
      <c r="K968" s="6"/>
      <c r="L968" s="6"/>
      <c r="M968" s="6"/>
      <c r="N968" s="6"/>
      <c r="O968" s="16"/>
      <c r="P968" s="6"/>
      <c r="Q968" s="4"/>
      <c r="R968" s="4"/>
      <c r="S968" s="4"/>
      <c r="T968" s="4"/>
      <c r="U968" s="4"/>
      <c r="V968" s="4"/>
      <c r="W968" s="4"/>
      <c r="X968" s="4"/>
      <c r="Y968" s="4"/>
      <c r="Z968" s="4"/>
      <c r="AA968" s="4"/>
      <c r="AB968" s="4"/>
      <c r="AC968" s="4"/>
    </row>
    <row r="969" spans="1:29" ht="12.75" x14ac:dyDescent="0.2">
      <c r="A969" s="16"/>
      <c r="B969" s="6"/>
      <c r="C969" s="6"/>
      <c r="D969" s="6"/>
      <c r="E969" s="4"/>
      <c r="F969" s="6"/>
      <c r="G969" s="6"/>
      <c r="H969" s="6"/>
      <c r="I969" s="6"/>
      <c r="J969" s="6"/>
      <c r="K969" s="6"/>
      <c r="L969" s="6"/>
      <c r="M969" s="6"/>
      <c r="N969" s="6"/>
      <c r="O969" s="16"/>
      <c r="P969" s="6"/>
      <c r="Q969" s="4"/>
      <c r="R969" s="4"/>
      <c r="S969" s="4"/>
      <c r="T969" s="4"/>
      <c r="U969" s="4"/>
      <c r="V969" s="4"/>
      <c r="W969" s="4"/>
      <c r="X969" s="4"/>
      <c r="Y969" s="4"/>
      <c r="Z969" s="4"/>
      <c r="AA969" s="4"/>
      <c r="AB969" s="4"/>
      <c r="AC969" s="4"/>
    </row>
    <row r="970" spans="1:29" ht="12.75" x14ac:dyDescent="0.2">
      <c r="A970" s="16"/>
      <c r="B970" s="6"/>
      <c r="C970" s="6"/>
      <c r="D970" s="6"/>
      <c r="E970" s="4"/>
      <c r="F970" s="6"/>
      <c r="G970" s="6"/>
      <c r="H970" s="6"/>
      <c r="I970" s="6"/>
      <c r="J970" s="6"/>
      <c r="K970" s="6"/>
      <c r="L970" s="6"/>
      <c r="M970" s="6"/>
      <c r="N970" s="6"/>
      <c r="O970" s="16"/>
      <c r="P970" s="6"/>
      <c r="Q970" s="4"/>
      <c r="R970" s="4"/>
      <c r="S970" s="4"/>
      <c r="T970" s="4"/>
      <c r="U970" s="4"/>
      <c r="V970" s="4"/>
      <c r="W970" s="4"/>
      <c r="X970" s="4"/>
      <c r="Y970" s="4"/>
      <c r="Z970" s="4"/>
      <c r="AA970" s="4"/>
      <c r="AB970" s="4"/>
      <c r="AC970" s="4"/>
    </row>
    <row r="971" spans="1:29" ht="12.75" x14ac:dyDescent="0.2">
      <c r="A971" s="16"/>
      <c r="B971" s="6"/>
      <c r="C971" s="6"/>
      <c r="D971" s="6"/>
      <c r="E971" s="4"/>
      <c r="F971" s="6"/>
      <c r="G971" s="6"/>
      <c r="H971" s="6"/>
      <c r="I971" s="6"/>
      <c r="J971" s="6"/>
      <c r="K971" s="6"/>
      <c r="L971" s="6"/>
      <c r="M971" s="6"/>
      <c r="N971" s="6"/>
      <c r="O971" s="16"/>
      <c r="P971" s="6"/>
      <c r="Q971" s="4"/>
      <c r="R971" s="4"/>
      <c r="S971" s="4"/>
      <c r="T971" s="4"/>
      <c r="U971" s="4"/>
      <c r="V971" s="4"/>
      <c r="W971" s="4"/>
      <c r="X971" s="4"/>
      <c r="Y971" s="4"/>
      <c r="Z971" s="4"/>
      <c r="AA971" s="4"/>
      <c r="AB971" s="4"/>
      <c r="AC971" s="4"/>
    </row>
    <row r="972" spans="1:29" ht="12.75" x14ac:dyDescent="0.2">
      <c r="A972" s="16"/>
      <c r="B972" s="6"/>
      <c r="C972" s="6"/>
      <c r="D972" s="6"/>
      <c r="E972" s="4"/>
      <c r="F972" s="6"/>
      <c r="G972" s="6"/>
      <c r="H972" s="6"/>
      <c r="I972" s="6"/>
      <c r="J972" s="6"/>
      <c r="K972" s="6"/>
      <c r="L972" s="6"/>
      <c r="M972" s="6"/>
      <c r="N972" s="6"/>
      <c r="O972" s="16"/>
      <c r="P972" s="6"/>
      <c r="Q972" s="4"/>
      <c r="R972" s="4"/>
      <c r="S972" s="4"/>
      <c r="T972" s="4"/>
      <c r="U972" s="4"/>
      <c r="V972" s="4"/>
      <c r="W972" s="4"/>
      <c r="X972" s="4"/>
      <c r="Y972" s="4"/>
      <c r="Z972" s="4"/>
      <c r="AA972" s="4"/>
      <c r="AB972" s="4"/>
      <c r="AC972" s="4"/>
    </row>
    <row r="973" spans="1:29" ht="12.75" x14ac:dyDescent="0.2">
      <c r="A973" s="16"/>
      <c r="B973" s="6"/>
      <c r="C973" s="6"/>
      <c r="D973" s="6"/>
      <c r="E973" s="4"/>
      <c r="F973" s="6"/>
      <c r="G973" s="6"/>
      <c r="H973" s="6"/>
      <c r="I973" s="6"/>
      <c r="J973" s="6"/>
      <c r="K973" s="6"/>
      <c r="L973" s="6"/>
      <c r="M973" s="6"/>
      <c r="N973" s="6"/>
      <c r="O973" s="16"/>
      <c r="P973" s="6"/>
      <c r="Q973" s="4"/>
      <c r="R973" s="4"/>
      <c r="S973" s="4"/>
      <c r="T973" s="4"/>
      <c r="U973" s="4"/>
      <c r="V973" s="4"/>
      <c r="W973" s="4"/>
      <c r="X973" s="4"/>
      <c r="Y973" s="4"/>
      <c r="Z973" s="4"/>
      <c r="AA973" s="4"/>
      <c r="AB973" s="4"/>
      <c r="AC973" s="4"/>
    </row>
    <row r="974" spans="1:29" ht="12.75" x14ac:dyDescent="0.2">
      <c r="A974" s="16"/>
      <c r="B974" s="6"/>
      <c r="C974" s="6"/>
      <c r="D974" s="6"/>
      <c r="E974" s="4"/>
      <c r="F974" s="6"/>
      <c r="G974" s="6"/>
      <c r="H974" s="6"/>
      <c r="I974" s="6"/>
      <c r="J974" s="6"/>
      <c r="K974" s="6"/>
      <c r="L974" s="6"/>
      <c r="M974" s="6"/>
      <c r="N974" s="6"/>
      <c r="O974" s="16"/>
      <c r="P974" s="6"/>
      <c r="Q974" s="4"/>
      <c r="R974" s="4"/>
      <c r="S974" s="4"/>
      <c r="T974" s="4"/>
      <c r="U974" s="4"/>
      <c r="V974" s="4"/>
      <c r="W974" s="4"/>
      <c r="X974" s="4"/>
      <c r="Y974" s="4"/>
      <c r="Z974" s="4"/>
      <c r="AA974" s="4"/>
      <c r="AB974" s="4"/>
      <c r="AC974" s="4"/>
    </row>
    <row r="975" spans="1:29" ht="12.75" x14ac:dyDescent="0.2">
      <c r="A975" s="16"/>
      <c r="B975" s="6"/>
      <c r="C975" s="6"/>
      <c r="D975" s="6"/>
      <c r="E975" s="4"/>
      <c r="F975" s="6"/>
      <c r="G975" s="6"/>
      <c r="H975" s="6"/>
      <c r="I975" s="6"/>
      <c r="J975" s="6"/>
      <c r="K975" s="6"/>
      <c r="L975" s="6"/>
      <c r="M975" s="6"/>
      <c r="N975" s="6"/>
      <c r="O975" s="16"/>
      <c r="P975" s="6"/>
      <c r="Q975" s="4"/>
      <c r="R975" s="4"/>
      <c r="S975" s="4"/>
      <c r="T975" s="4"/>
      <c r="U975" s="4"/>
      <c r="V975" s="4"/>
      <c r="W975" s="4"/>
      <c r="X975" s="4"/>
      <c r="Y975" s="4"/>
      <c r="Z975" s="4"/>
      <c r="AA975" s="4"/>
      <c r="AB975" s="4"/>
      <c r="AC975" s="4"/>
    </row>
    <row r="976" spans="1:29" ht="12.75" x14ac:dyDescent="0.2">
      <c r="A976" s="16"/>
      <c r="B976" s="6"/>
      <c r="C976" s="6"/>
      <c r="D976" s="6"/>
      <c r="E976" s="4"/>
      <c r="F976" s="6"/>
      <c r="G976" s="6"/>
      <c r="H976" s="6"/>
      <c r="I976" s="6"/>
      <c r="J976" s="6"/>
      <c r="K976" s="6"/>
      <c r="L976" s="6"/>
      <c r="M976" s="6"/>
      <c r="N976" s="6"/>
      <c r="O976" s="16"/>
      <c r="P976" s="6"/>
      <c r="Q976" s="4"/>
      <c r="R976" s="4"/>
      <c r="S976" s="4"/>
      <c r="T976" s="4"/>
      <c r="U976" s="4"/>
      <c r="V976" s="4"/>
      <c r="W976" s="4"/>
      <c r="X976" s="4"/>
      <c r="Y976" s="4"/>
      <c r="Z976" s="4"/>
      <c r="AA976" s="4"/>
      <c r="AB976" s="4"/>
      <c r="AC976" s="4"/>
    </row>
    <row r="977" spans="1:29" ht="12.75" x14ac:dyDescent="0.2">
      <c r="A977" s="16"/>
      <c r="B977" s="6"/>
      <c r="C977" s="6"/>
      <c r="D977" s="6"/>
      <c r="E977" s="4"/>
      <c r="F977" s="6"/>
      <c r="G977" s="6"/>
      <c r="H977" s="6"/>
      <c r="I977" s="6"/>
      <c r="J977" s="6"/>
      <c r="K977" s="6"/>
      <c r="L977" s="6"/>
      <c r="M977" s="6"/>
      <c r="N977" s="6"/>
      <c r="O977" s="16"/>
      <c r="P977" s="6"/>
      <c r="Q977" s="4"/>
      <c r="R977" s="4"/>
      <c r="S977" s="4"/>
      <c r="T977" s="4"/>
      <c r="U977" s="4"/>
      <c r="V977" s="4"/>
      <c r="W977" s="4"/>
      <c r="X977" s="4"/>
      <c r="Y977" s="4"/>
      <c r="Z977" s="4"/>
      <c r="AA977" s="4"/>
      <c r="AB977" s="4"/>
      <c r="AC977" s="4"/>
    </row>
    <row r="978" spans="1:29" ht="12.75" x14ac:dyDescent="0.2">
      <c r="A978" s="16"/>
      <c r="B978" s="6"/>
      <c r="C978" s="6"/>
      <c r="D978" s="6"/>
      <c r="E978" s="4"/>
      <c r="F978" s="6"/>
      <c r="G978" s="6"/>
      <c r="H978" s="6"/>
      <c r="I978" s="6"/>
      <c r="J978" s="6"/>
      <c r="K978" s="6"/>
      <c r="L978" s="6"/>
      <c r="M978" s="6"/>
      <c r="N978" s="6"/>
      <c r="O978" s="16"/>
      <c r="P978" s="6"/>
      <c r="Q978" s="4"/>
      <c r="R978" s="4"/>
      <c r="S978" s="4"/>
      <c r="T978" s="4"/>
      <c r="U978" s="4"/>
      <c r="V978" s="4"/>
      <c r="W978" s="4"/>
      <c r="X978" s="4"/>
      <c r="Y978" s="4"/>
      <c r="Z978" s="4"/>
      <c r="AA978" s="4"/>
      <c r="AB978" s="4"/>
      <c r="AC978" s="4"/>
    </row>
    <row r="979" spans="1:29" ht="12.75" x14ac:dyDescent="0.2">
      <c r="A979" s="16"/>
      <c r="B979" s="6"/>
      <c r="C979" s="6"/>
      <c r="D979" s="6"/>
      <c r="E979" s="4"/>
      <c r="F979" s="6"/>
      <c r="G979" s="6"/>
      <c r="H979" s="6"/>
      <c r="I979" s="6"/>
      <c r="J979" s="6"/>
      <c r="K979" s="6"/>
      <c r="L979" s="6"/>
      <c r="M979" s="6"/>
      <c r="N979" s="6"/>
      <c r="O979" s="16"/>
      <c r="P979" s="6"/>
      <c r="Q979" s="4"/>
      <c r="R979" s="4"/>
      <c r="S979" s="4"/>
      <c r="T979" s="4"/>
      <c r="U979" s="4"/>
      <c r="V979" s="4"/>
      <c r="W979" s="4"/>
      <c r="X979" s="4"/>
      <c r="Y979" s="4"/>
      <c r="Z979" s="4"/>
      <c r="AA979" s="4"/>
      <c r="AB979" s="4"/>
      <c r="AC979" s="4"/>
    </row>
    <row r="980" spans="1:29" ht="12.75" x14ac:dyDescent="0.2">
      <c r="A980" s="16"/>
      <c r="B980" s="6"/>
      <c r="C980" s="6"/>
      <c r="D980" s="6"/>
      <c r="E980" s="4"/>
      <c r="F980" s="6"/>
      <c r="G980" s="6"/>
      <c r="H980" s="6"/>
      <c r="I980" s="6"/>
      <c r="J980" s="6"/>
      <c r="K980" s="6"/>
      <c r="L980" s="6"/>
      <c r="M980" s="6"/>
      <c r="N980" s="6"/>
      <c r="O980" s="16"/>
      <c r="P980" s="6"/>
      <c r="Q980" s="4"/>
      <c r="R980" s="4"/>
      <c r="S980" s="4"/>
      <c r="T980" s="4"/>
      <c r="U980" s="4"/>
      <c r="V980" s="4"/>
      <c r="W980" s="4"/>
      <c r="X980" s="4"/>
      <c r="Y980" s="4"/>
      <c r="Z980" s="4"/>
      <c r="AA980" s="4"/>
      <c r="AB980" s="4"/>
      <c r="AC980" s="4"/>
    </row>
    <row r="981" spans="1:29" ht="12.75" x14ac:dyDescent="0.2">
      <c r="A981" s="16"/>
      <c r="B981" s="6"/>
      <c r="C981" s="6"/>
      <c r="D981" s="6"/>
      <c r="E981" s="4"/>
      <c r="F981" s="6"/>
      <c r="G981" s="6"/>
      <c r="H981" s="6"/>
      <c r="I981" s="6"/>
      <c r="J981" s="6"/>
      <c r="K981" s="6"/>
      <c r="L981" s="6"/>
      <c r="M981" s="6"/>
      <c r="N981" s="6"/>
      <c r="O981" s="16"/>
      <c r="P981" s="6"/>
      <c r="Q981" s="4"/>
      <c r="R981" s="4"/>
      <c r="S981" s="4"/>
      <c r="T981" s="4"/>
      <c r="U981" s="4"/>
      <c r="V981" s="4"/>
      <c r="W981" s="4"/>
      <c r="X981" s="4"/>
      <c r="Y981" s="4"/>
      <c r="Z981" s="4"/>
      <c r="AA981" s="4"/>
      <c r="AB981" s="4"/>
      <c r="AC981" s="4"/>
    </row>
    <row r="982" spans="1:29" ht="12.75" x14ac:dyDescent="0.2">
      <c r="A982" s="16"/>
      <c r="B982" s="6"/>
      <c r="C982" s="6"/>
      <c r="D982" s="6"/>
      <c r="E982" s="4"/>
      <c r="F982" s="6"/>
      <c r="G982" s="6"/>
      <c r="H982" s="6"/>
      <c r="I982" s="6"/>
      <c r="J982" s="6"/>
      <c r="K982" s="6"/>
      <c r="L982" s="6"/>
      <c r="M982" s="6"/>
      <c r="N982" s="6"/>
      <c r="O982" s="16"/>
      <c r="P982" s="6"/>
      <c r="Q982" s="4"/>
      <c r="R982" s="4"/>
      <c r="S982" s="4"/>
      <c r="T982" s="4"/>
      <c r="U982" s="4"/>
      <c r="V982" s="4"/>
      <c r="W982" s="4"/>
      <c r="X982" s="4"/>
      <c r="Y982" s="4"/>
      <c r="Z982" s="4"/>
      <c r="AA982" s="4"/>
      <c r="AB982" s="4"/>
      <c r="AC982" s="4"/>
    </row>
    <row r="983" spans="1:29" ht="12.75" x14ac:dyDescent="0.2">
      <c r="A983" s="16"/>
      <c r="B983" s="6"/>
      <c r="C983" s="6"/>
      <c r="D983" s="6"/>
      <c r="E983" s="4"/>
      <c r="F983" s="6"/>
      <c r="G983" s="6"/>
      <c r="H983" s="6"/>
      <c r="I983" s="6"/>
      <c r="J983" s="6"/>
      <c r="K983" s="6"/>
      <c r="L983" s="6"/>
      <c r="M983" s="6"/>
      <c r="N983" s="6"/>
      <c r="O983" s="16"/>
      <c r="P983" s="6"/>
      <c r="Q983" s="4"/>
      <c r="R983" s="4"/>
      <c r="S983" s="4"/>
      <c r="T983" s="4"/>
      <c r="U983" s="4"/>
      <c r="V983" s="4"/>
      <c r="W983" s="4"/>
      <c r="X983" s="4"/>
      <c r="Y983" s="4"/>
      <c r="Z983" s="4"/>
      <c r="AA983" s="4"/>
      <c r="AB983" s="4"/>
      <c r="AC983" s="4"/>
    </row>
    <row r="984" spans="1:29" ht="12.75" x14ac:dyDescent="0.2">
      <c r="A984" s="16"/>
      <c r="B984" s="6"/>
      <c r="C984" s="6"/>
      <c r="D984" s="6"/>
      <c r="E984" s="4"/>
      <c r="F984" s="6"/>
      <c r="G984" s="6"/>
      <c r="H984" s="6"/>
      <c r="I984" s="6"/>
      <c r="J984" s="6"/>
      <c r="K984" s="6"/>
      <c r="L984" s="6"/>
      <c r="M984" s="6"/>
      <c r="N984" s="6"/>
      <c r="O984" s="16"/>
      <c r="P984" s="6"/>
      <c r="Q984" s="4"/>
      <c r="R984" s="4"/>
      <c r="S984" s="4"/>
      <c r="T984" s="4"/>
      <c r="U984" s="4"/>
      <c r="V984" s="4"/>
      <c r="W984" s="4"/>
      <c r="X984" s="4"/>
      <c r="Y984" s="4"/>
      <c r="Z984" s="4"/>
      <c r="AA984" s="4"/>
      <c r="AB984" s="4"/>
      <c r="AC984" s="4"/>
    </row>
    <row r="985" spans="1:29" ht="12.75" x14ac:dyDescent="0.2">
      <c r="A985" s="16"/>
      <c r="B985" s="6"/>
      <c r="C985" s="6"/>
      <c r="D985" s="6"/>
      <c r="E985" s="4"/>
      <c r="F985" s="6"/>
      <c r="G985" s="6"/>
      <c r="H985" s="6"/>
      <c r="I985" s="6"/>
      <c r="J985" s="6"/>
      <c r="K985" s="6"/>
      <c r="L985" s="6"/>
      <c r="M985" s="6"/>
      <c r="N985" s="6"/>
      <c r="O985" s="16"/>
      <c r="P985" s="6"/>
      <c r="Q985" s="4"/>
      <c r="R985" s="4"/>
      <c r="S985" s="4"/>
      <c r="T985" s="4"/>
      <c r="U985" s="4"/>
      <c r="V985" s="4"/>
      <c r="W985" s="4"/>
      <c r="X985" s="4"/>
      <c r="Y985" s="4"/>
      <c r="Z985" s="4"/>
      <c r="AA985" s="4"/>
      <c r="AB985" s="4"/>
      <c r="AC985" s="4"/>
    </row>
    <row r="986" spans="1:29" ht="12.75" x14ac:dyDescent="0.2">
      <c r="A986" s="16"/>
      <c r="B986" s="6"/>
      <c r="C986" s="6"/>
      <c r="D986" s="6"/>
      <c r="E986" s="4"/>
      <c r="F986" s="6"/>
      <c r="G986" s="6"/>
      <c r="H986" s="6"/>
      <c r="I986" s="6"/>
      <c r="J986" s="6"/>
      <c r="K986" s="6"/>
      <c r="L986" s="6"/>
      <c r="M986" s="6"/>
      <c r="N986" s="6"/>
      <c r="O986" s="16"/>
      <c r="P986" s="6"/>
      <c r="Q986" s="4"/>
      <c r="R986" s="4"/>
      <c r="S986" s="4"/>
      <c r="T986" s="4"/>
      <c r="U986" s="4"/>
      <c r="V986" s="4"/>
      <c r="W986" s="4"/>
      <c r="X986" s="4"/>
      <c r="Y986" s="4"/>
      <c r="Z986" s="4"/>
      <c r="AA986" s="4"/>
      <c r="AB986" s="4"/>
      <c r="AC986" s="4"/>
    </row>
    <row r="987" spans="1:29" ht="12.75" x14ac:dyDescent="0.2">
      <c r="A987" s="16"/>
      <c r="B987" s="6"/>
      <c r="C987" s="6"/>
      <c r="D987" s="6"/>
      <c r="E987" s="4"/>
      <c r="F987" s="6"/>
      <c r="G987" s="6"/>
      <c r="H987" s="6"/>
      <c r="I987" s="6"/>
      <c r="J987" s="6"/>
      <c r="K987" s="6"/>
      <c r="L987" s="6"/>
      <c r="M987" s="6"/>
      <c r="N987" s="6"/>
      <c r="O987" s="16"/>
      <c r="P987" s="6"/>
      <c r="Q987" s="4"/>
      <c r="R987" s="4"/>
      <c r="S987" s="4"/>
      <c r="T987" s="4"/>
      <c r="U987" s="4"/>
      <c r="V987" s="4"/>
      <c r="W987" s="4"/>
      <c r="X987" s="4"/>
      <c r="Y987" s="4"/>
      <c r="Z987" s="4"/>
      <c r="AA987" s="4"/>
      <c r="AB987" s="4"/>
      <c r="AC987" s="4"/>
    </row>
    <row r="988" spans="1:29" ht="12.75" x14ac:dyDescent="0.2">
      <c r="A988" s="16"/>
      <c r="B988" s="6"/>
      <c r="C988" s="6"/>
      <c r="D988" s="6"/>
      <c r="E988" s="4"/>
      <c r="F988" s="6"/>
      <c r="G988" s="6"/>
      <c r="H988" s="6"/>
      <c r="I988" s="6"/>
      <c r="J988" s="6"/>
      <c r="K988" s="6"/>
      <c r="L988" s="6"/>
      <c r="M988" s="6"/>
      <c r="N988" s="6"/>
      <c r="O988" s="16"/>
      <c r="P988" s="6"/>
      <c r="Q988" s="4"/>
      <c r="R988" s="4"/>
      <c r="S988" s="4"/>
      <c r="T988" s="4"/>
      <c r="U988" s="4"/>
      <c r="V988" s="4"/>
      <c r="W988" s="4"/>
      <c r="X988" s="4"/>
      <c r="Y988" s="4"/>
      <c r="Z988" s="4"/>
      <c r="AA988" s="4"/>
      <c r="AB988" s="4"/>
      <c r="AC988" s="4"/>
    </row>
    <row r="989" spans="1:29" ht="12.75" x14ac:dyDescent="0.2">
      <c r="A989" s="16"/>
      <c r="B989" s="6"/>
      <c r="C989" s="6"/>
      <c r="D989" s="6"/>
      <c r="E989" s="4"/>
      <c r="F989" s="6"/>
      <c r="G989" s="6"/>
      <c r="H989" s="6"/>
      <c r="I989" s="6"/>
      <c r="J989" s="6"/>
      <c r="K989" s="6"/>
      <c r="L989" s="6"/>
      <c r="M989" s="6"/>
      <c r="N989" s="6"/>
      <c r="O989" s="16"/>
      <c r="P989" s="6"/>
      <c r="Q989" s="4"/>
      <c r="R989" s="4"/>
      <c r="S989" s="4"/>
      <c r="T989" s="4"/>
      <c r="U989" s="4"/>
      <c r="V989" s="4"/>
      <c r="W989" s="4"/>
      <c r="X989" s="4"/>
      <c r="Y989" s="4"/>
      <c r="Z989" s="4"/>
      <c r="AA989" s="4"/>
      <c r="AB989" s="4"/>
      <c r="AC989" s="4"/>
    </row>
    <row r="990" spans="1:29" ht="12.75" x14ac:dyDescent="0.2">
      <c r="A990" s="16"/>
      <c r="B990" s="6"/>
      <c r="C990" s="6"/>
      <c r="D990" s="6"/>
      <c r="E990" s="4"/>
      <c r="F990" s="6"/>
      <c r="G990" s="6"/>
      <c r="H990" s="6"/>
      <c r="I990" s="6"/>
      <c r="J990" s="6"/>
      <c r="K990" s="6"/>
      <c r="L990" s="6"/>
      <c r="M990" s="6"/>
      <c r="N990" s="6"/>
      <c r="O990" s="16"/>
      <c r="P990" s="6"/>
      <c r="Q990" s="4"/>
      <c r="R990" s="4"/>
      <c r="S990" s="4"/>
      <c r="T990" s="4"/>
      <c r="U990" s="4"/>
      <c r="V990" s="4"/>
      <c r="W990" s="4"/>
      <c r="X990" s="4"/>
      <c r="Y990" s="4"/>
      <c r="Z990" s="4"/>
      <c r="AA990" s="4"/>
      <c r="AB990" s="4"/>
      <c r="AC990" s="4"/>
    </row>
    <row r="991" spans="1:29" ht="12.75" x14ac:dyDescent="0.2">
      <c r="A991" s="16"/>
      <c r="B991" s="6"/>
      <c r="C991" s="6"/>
      <c r="D991" s="6"/>
      <c r="E991" s="4"/>
      <c r="F991" s="6"/>
      <c r="G991" s="6"/>
      <c r="H991" s="6"/>
      <c r="I991" s="6"/>
      <c r="J991" s="6"/>
      <c r="K991" s="6"/>
      <c r="L991" s="6"/>
      <c r="M991" s="6"/>
      <c r="N991" s="6"/>
      <c r="O991" s="16"/>
      <c r="P991" s="6"/>
      <c r="Q991" s="4"/>
      <c r="R991" s="4"/>
      <c r="S991" s="4"/>
      <c r="T991" s="4"/>
      <c r="U991" s="4"/>
      <c r="V991" s="4"/>
      <c r="W991" s="4"/>
      <c r="X991" s="4"/>
      <c r="Y991" s="4"/>
      <c r="Z991" s="4"/>
      <c r="AA991" s="4"/>
      <c r="AB991" s="4"/>
      <c r="AC991" s="4"/>
    </row>
    <row r="992" spans="1:29" ht="12.75" x14ac:dyDescent="0.2">
      <c r="A992" s="16"/>
      <c r="B992" s="6"/>
      <c r="C992" s="6"/>
      <c r="D992" s="6"/>
      <c r="E992" s="4"/>
      <c r="F992" s="6"/>
      <c r="G992" s="6"/>
      <c r="H992" s="6"/>
      <c r="I992" s="6"/>
      <c r="J992" s="6"/>
      <c r="K992" s="6"/>
      <c r="L992" s="6"/>
      <c r="M992" s="6"/>
      <c r="N992" s="6"/>
      <c r="O992" s="16"/>
      <c r="P992" s="6"/>
      <c r="Q992" s="4"/>
      <c r="R992" s="4"/>
      <c r="S992" s="4"/>
      <c r="T992" s="4"/>
      <c r="U992" s="4"/>
      <c r="V992" s="4"/>
      <c r="W992" s="4"/>
      <c r="X992" s="4"/>
      <c r="Y992" s="4"/>
      <c r="Z992" s="4"/>
      <c r="AA992" s="4"/>
      <c r="AB992" s="4"/>
      <c r="AC992" s="4"/>
    </row>
    <row r="993" spans="1:29" ht="12.75" x14ac:dyDescent="0.2">
      <c r="A993" s="16"/>
      <c r="B993" s="6"/>
      <c r="C993" s="6"/>
      <c r="D993" s="6"/>
      <c r="E993" s="4"/>
      <c r="F993" s="6"/>
      <c r="G993" s="6"/>
      <c r="H993" s="6"/>
      <c r="I993" s="6"/>
      <c r="J993" s="6"/>
      <c r="K993" s="6"/>
      <c r="L993" s="6"/>
      <c r="M993" s="6"/>
      <c r="N993" s="6"/>
      <c r="O993" s="16"/>
      <c r="P993" s="6"/>
      <c r="Q993" s="4"/>
      <c r="R993" s="4"/>
      <c r="S993" s="4"/>
      <c r="T993" s="4"/>
      <c r="U993" s="4"/>
      <c r="V993" s="4"/>
      <c r="W993" s="4"/>
      <c r="X993" s="4"/>
      <c r="Y993" s="4"/>
      <c r="Z993" s="4"/>
      <c r="AA993" s="4"/>
      <c r="AB993" s="4"/>
      <c r="AC993" s="4"/>
    </row>
    <row r="994" spans="1:29" ht="12.75" x14ac:dyDescent="0.2">
      <c r="A994" s="16"/>
      <c r="B994" s="6"/>
      <c r="C994" s="6"/>
      <c r="D994" s="6"/>
      <c r="E994" s="4"/>
      <c r="F994" s="6"/>
      <c r="G994" s="6"/>
      <c r="H994" s="6"/>
      <c r="I994" s="6"/>
      <c r="J994" s="6"/>
      <c r="K994" s="6"/>
      <c r="L994" s="6"/>
      <c r="M994" s="6"/>
      <c r="N994" s="6"/>
      <c r="O994" s="16"/>
      <c r="P994" s="6"/>
      <c r="Q994" s="4"/>
      <c r="R994" s="4"/>
      <c r="S994" s="4"/>
      <c r="T994" s="4"/>
      <c r="U994" s="4"/>
      <c r="V994" s="4"/>
      <c r="W994" s="4"/>
      <c r="X994" s="4"/>
      <c r="Y994" s="4"/>
      <c r="Z994" s="4"/>
      <c r="AA994" s="4"/>
      <c r="AB994" s="4"/>
      <c r="AC994" s="4"/>
    </row>
    <row r="995" spans="1:29" ht="12.75" x14ac:dyDescent="0.2">
      <c r="H995" s="6"/>
      <c r="R995" s="4"/>
      <c r="S995" s="4"/>
      <c r="T995" s="4"/>
      <c r="U995" s="4"/>
      <c r="V995" s="4"/>
      <c r="W995" s="4"/>
      <c r="X995" s="4"/>
      <c r="Y995" s="4"/>
      <c r="Z995" s="4"/>
      <c r="AA995" s="4"/>
      <c r="AB995" s="4"/>
      <c r="AC995" s="4"/>
    </row>
    <row r="996" spans="1:29" ht="12.75" x14ac:dyDescent="0.2">
      <c r="R996" s="4"/>
      <c r="S996" s="4"/>
      <c r="T996" s="4"/>
      <c r="U996" s="4"/>
      <c r="V996" s="4"/>
      <c r="W996" s="4"/>
      <c r="X996" s="4"/>
      <c r="Y996" s="4"/>
      <c r="Z996" s="4"/>
      <c r="AA996" s="4"/>
      <c r="AB996" s="4"/>
      <c r="AC996" s="4"/>
    </row>
    <row r="997" spans="1:29" ht="12.75" x14ac:dyDescent="0.2">
      <c r="R997" s="4"/>
      <c r="S997" s="4"/>
      <c r="T997" s="4"/>
      <c r="U997" s="4"/>
      <c r="V997" s="4"/>
      <c r="W997" s="4"/>
      <c r="X997" s="4"/>
      <c r="Y997" s="4"/>
      <c r="Z997" s="4"/>
      <c r="AA997" s="4"/>
      <c r="AB997" s="4"/>
      <c r="AC997" s="4"/>
    </row>
    <row r="998" spans="1:29" ht="12.75" x14ac:dyDescent="0.2">
      <c r="R998" s="4"/>
      <c r="S998" s="4"/>
      <c r="T998" s="4"/>
      <c r="U998" s="4"/>
      <c r="V998" s="4"/>
      <c r="W998" s="4"/>
      <c r="X998" s="4"/>
      <c r="Y998" s="4"/>
      <c r="Z998" s="4"/>
      <c r="AA998" s="4"/>
      <c r="AB998" s="4"/>
      <c r="AC998" s="4"/>
    </row>
    <row r="999" spans="1:29" ht="12.75" x14ac:dyDescent="0.2">
      <c r="R999" s="4"/>
      <c r="S999" s="4"/>
      <c r="T999" s="4"/>
      <c r="U999" s="4"/>
      <c r="V999" s="4"/>
      <c r="W999" s="4"/>
      <c r="X999" s="4"/>
      <c r="Y999" s="4"/>
      <c r="Z999" s="4"/>
      <c r="AA999" s="4"/>
      <c r="AB999" s="4"/>
      <c r="AC999" s="4"/>
    </row>
  </sheetData>
  <mergeCells count="29">
    <mergeCell ref="Z6:AE6"/>
    <mergeCell ref="A107:A113"/>
    <mergeCell ref="A100:A106"/>
    <mergeCell ref="A93:A99"/>
    <mergeCell ref="A128:A134"/>
    <mergeCell ref="A121:A127"/>
    <mergeCell ref="A114:A120"/>
    <mergeCell ref="E6:M6"/>
    <mergeCell ref="A9:A15"/>
    <mergeCell ref="A16:A22"/>
    <mergeCell ref="A37:A43"/>
    <mergeCell ref="A30:A36"/>
    <mergeCell ref="A23:A29"/>
    <mergeCell ref="A51:A57"/>
    <mergeCell ref="A44:A50"/>
    <mergeCell ref="A72:A78"/>
    <mergeCell ref="A79:A85"/>
    <mergeCell ref="A86:A92"/>
    <mergeCell ref="A65:A71"/>
    <mergeCell ref="A58:A64"/>
    <mergeCell ref="C1:E1"/>
    <mergeCell ref="G1:H1"/>
    <mergeCell ref="J1:K1"/>
    <mergeCell ref="L1:N4"/>
    <mergeCell ref="C2:E2"/>
    <mergeCell ref="G2:H2"/>
    <mergeCell ref="C3:E3"/>
    <mergeCell ref="G3:H3"/>
    <mergeCell ref="G4:H4"/>
  </mergeCells>
  <pageMargins left="0.7" right="0.7" top="0.75" bottom="0.75" header="0.3" footer="0.3"/>
  <pageSetup scale="29"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7E307A-5335-4375-BBB4-FF71DA786083}">
  <dimension ref="A1:J24"/>
  <sheetViews>
    <sheetView workbookViewId="0">
      <selection activeCell="C36" sqref="C36"/>
    </sheetView>
  </sheetViews>
  <sheetFormatPr defaultRowHeight="12.75" x14ac:dyDescent="0.2"/>
  <cols>
    <col min="5" max="5" width="9" customWidth="1"/>
    <col min="9" max="9" width="7.5703125" style="883" customWidth="1"/>
    <col min="10" max="10" width="10.140625" customWidth="1"/>
  </cols>
  <sheetData>
    <row r="1" spans="1:10" ht="15" x14ac:dyDescent="0.25">
      <c r="A1" s="1276" t="s">
        <v>510</v>
      </c>
      <c r="B1" s="1277"/>
      <c r="C1" s="1277"/>
      <c r="D1" s="1277"/>
    </row>
    <row r="2" spans="1:10" ht="25.5" x14ac:dyDescent="0.2">
      <c r="A2" s="1278" t="s">
        <v>515</v>
      </c>
      <c r="B2" s="1278" t="s">
        <v>511</v>
      </c>
      <c r="C2" s="1278" t="s">
        <v>512</v>
      </c>
      <c r="D2" s="1278" t="s">
        <v>513</v>
      </c>
      <c r="G2" s="1278" t="s">
        <v>515</v>
      </c>
      <c r="H2" s="1278" t="s">
        <v>511</v>
      </c>
      <c r="I2" s="1283" t="s">
        <v>517</v>
      </c>
      <c r="J2" s="1278" t="s">
        <v>516</v>
      </c>
    </row>
    <row r="3" spans="1:10" x14ac:dyDescent="0.2">
      <c r="A3" s="1279">
        <v>1</v>
      </c>
      <c r="B3" s="1280">
        <v>1.3009259259259259E-2</v>
      </c>
      <c r="C3" s="1280">
        <v>4.1087962962962962E-3</v>
      </c>
      <c r="D3" s="1280">
        <v>4.2245370370370371E-3</v>
      </c>
      <c r="E3" s="1282"/>
      <c r="G3" s="1279">
        <v>1</v>
      </c>
      <c r="H3" s="870">
        <v>1.3043981481481481E-2</v>
      </c>
      <c r="I3" s="781">
        <f>IF(H3&gt;B3,1,-1)</f>
        <v>1</v>
      </c>
      <c r="J3" s="781">
        <f>SECOND(ABS(H3-B3))*I3</f>
        <v>3</v>
      </c>
    </row>
    <row r="4" spans="1:10" x14ac:dyDescent="0.2">
      <c r="A4" s="1279">
        <v>2</v>
      </c>
      <c r="B4" s="1280">
        <v>1.2777777777777777E-2</v>
      </c>
      <c r="C4" s="1280">
        <v>4.0509259259259257E-3</v>
      </c>
      <c r="D4" s="1280">
        <v>4.1203703703703706E-3</v>
      </c>
      <c r="G4" s="1279">
        <v>2</v>
      </c>
      <c r="H4" s="1281">
        <v>1.292824074074074E-2</v>
      </c>
      <c r="I4" s="781">
        <f t="shared" ref="I4:I11" si="0">IF(H4&gt;B4,1,-1)</f>
        <v>1</v>
      </c>
      <c r="J4" s="781">
        <f t="shared" ref="J4:J11" si="1">SECOND(ABS(H4-B4))*I4</f>
        <v>13</v>
      </c>
    </row>
    <row r="5" spans="1:10" x14ac:dyDescent="0.2">
      <c r="A5" s="1279">
        <v>3</v>
      </c>
      <c r="B5" s="1280">
        <v>1.2731481481481486E-2</v>
      </c>
      <c r="C5" s="1280">
        <v>4.0277777777777777E-3</v>
      </c>
      <c r="D5" s="1280">
        <v>4.0972222222222226E-3</v>
      </c>
      <c r="G5" s="1279">
        <v>3</v>
      </c>
      <c r="H5" s="870">
        <v>1.2685185185185185E-2</v>
      </c>
      <c r="I5" s="781">
        <f t="shared" si="0"/>
        <v>-1</v>
      </c>
      <c r="J5" s="781">
        <f t="shared" si="1"/>
        <v>-4</v>
      </c>
    </row>
    <row r="6" spans="1:10" x14ac:dyDescent="0.2">
      <c r="A6" s="1279">
        <v>4</v>
      </c>
      <c r="B6" s="1280">
        <v>1.2696759259259255E-2</v>
      </c>
      <c r="C6" s="1280">
        <v>4.0277777777777777E-3</v>
      </c>
      <c r="D6" s="1280">
        <v>4.0972222222222226E-3</v>
      </c>
      <c r="G6" s="1279">
        <v>4</v>
      </c>
      <c r="H6" s="870">
        <v>1.2789351851851852E-2</v>
      </c>
      <c r="I6" s="781">
        <f t="shared" si="0"/>
        <v>1</v>
      </c>
      <c r="J6" s="781">
        <f t="shared" si="1"/>
        <v>8</v>
      </c>
    </row>
    <row r="7" spans="1:10" x14ac:dyDescent="0.2">
      <c r="A7" s="1279">
        <v>5</v>
      </c>
      <c r="B7" s="1280">
        <v>1.2708333333333335E-2</v>
      </c>
      <c r="C7" s="1280">
        <v>3.9930555555555552E-3</v>
      </c>
      <c r="D7" s="1280">
        <v>4.0972222222222226E-3</v>
      </c>
      <c r="G7" s="1279">
        <v>5</v>
      </c>
      <c r="H7" s="870">
        <v>1.2789351851851852E-2</v>
      </c>
      <c r="I7" s="781">
        <f t="shared" si="0"/>
        <v>1</v>
      </c>
      <c r="J7" s="781">
        <f t="shared" si="1"/>
        <v>7</v>
      </c>
    </row>
    <row r="8" spans="1:10" x14ac:dyDescent="0.2">
      <c r="A8" s="1279">
        <v>6</v>
      </c>
      <c r="B8" s="1280">
        <v>1.2708333333333335E-2</v>
      </c>
      <c r="C8" s="1280">
        <v>3.9930555555555552E-3</v>
      </c>
      <c r="D8" s="1280">
        <v>4.0972222222222226E-3</v>
      </c>
      <c r="G8" s="1279">
        <v>6</v>
      </c>
      <c r="H8" s="870">
        <v>1.2708333333333334E-2</v>
      </c>
      <c r="I8" s="781">
        <f t="shared" si="0"/>
        <v>-1</v>
      </c>
      <c r="J8" s="781">
        <f t="shared" si="1"/>
        <v>0</v>
      </c>
    </row>
    <row r="9" spans="1:10" x14ac:dyDescent="0.2">
      <c r="A9" s="1279">
        <v>7</v>
      </c>
      <c r="B9" s="1280">
        <v>1.2708333333333335E-2</v>
      </c>
      <c r="C9" s="1280">
        <v>3.9351851851851848E-3</v>
      </c>
      <c r="D9" s="1280">
        <v>4.0972222222222226E-3</v>
      </c>
      <c r="G9" s="1279">
        <v>7</v>
      </c>
      <c r="H9" s="870">
        <v>1.2789351851851852E-2</v>
      </c>
      <c r="I9" s="781">
        <f t="shared" si="0"/>
        <v>1</v>
      </c>
      <c r="J9" s="781">
        <f t="shared" si="1"/>
        <v>7</v>
      </c>
    </row>
    <row r="10" spans="1:10" x14ac:dyDescent="0.2">
      <c r="A10" s="1279">
        <v>8</v>
      </c>
      <c r="B10" s="1280">
        <v>1.2696759259259255E-2</v>
      </c>
      <c r="C10" s="1280">
        <v>3.9351851851851848E-3</v>
      </c>
      <c r="D10" s="1280">
        <v>4.0972222222222226E-3</v>
      </c>
      <c r="G10" s="1279">
        <v>8</v>
      </c>
      <c r="H10" s="870">
        <v>1.3113425925925926E-2</v>
      </c>
      <c r="I10" s="781">
        <f t="shared" si="0"/>
        <v>1</v>
      </c>
      <c r="J10" s="781">
        <f t="shared" si="1"/>
        <v>36</v>
      </c>
    </row>
    <row r="11" spans="1:10" x14ac:dyDescent="0.2">
      <c r="A11" s="1279" t="s">
        <v>514</v>
      </c>
      <c r="B11" s="1280">
        <v>5.6018518518518579E-3</v>
      </c>
      <c r="C11" s="1280">
        <v>3.9120370370370368E-3</v>
      </c>
      <c r="D11" s="1280">
        <v>4.0972222222222226E-3</v>
      </c>
      <c r="G11" s="1279" t="s">
        <v>514</v>
      </c>
      <c r="H11" s="870">
        <v>5.9143518518518521E-3</v>
      </c>
      <c r="I11" s="781">
        <f t="shared" si="0"/>
        <v>1</v>
      </c>
      <c r="J11" s="781">
        <f t="shared" si="1"/>
        <v>27</v>
      </c>
    </row>
    <row r="12" spans="1:10" x14ac:dyDescent="0.2">
      <c r="B12" s="271">
        <f>SUM(B3:B11)</f>
        <v>0.1076388888888889</v>
      </c>
      <c r="C12" s="271">
        <f>(SUM(C3:C10)*3.1) + C11*1.375</f>
        <v>0.10480150462962963</v>
      </c>
      <c r="D12" s="271">
        <f>(SUM(D3:D10)*3.1) + D11*1.375</f>
        <v>0.10771122685185189</v>
      </c>
      <c r="J12" s="781">
        <f>SUM(J3:J11)</f>
        <v>97</v>
      </c>
    </row>
    <row r="15" spans="1:10" ht="25.5" x14ac:dyDescent="0.2">
      <c r="A15" s="1278" t="s">
        <v>515</v>
      </c>
      <c r="B15" s="1278" t="s">
        <v>511</v>
      </c>
    </row>
    <row r="16" spans="1:10" x14ac:dyDescent="0.2">
      <c r="A16" s="1279">
        <v>1</v>
      </c>
      <c r="B16" s="1280">
        <v>1.3009259259259259E-2</v>
      </c>
      <c r="C16" s="870">
        <v>1.3043981481481481E-2</v>
      </c>
    </row>
    <row r="17" spans="1:3" x14ac:dyDescent="0.2">
      <c r="A17" s="1279">
        <v>2</v>
      </c>
      <c r="B17" s="1280">
        <v>1.2777777777777777E-2</v>
      </c>
      <c r="C17" s="1281">
        <v>1.292824074074074E-2</v>
      </c>
    </row>
    <row r="18" spans="1:3" x14ac:dyDescent="0.2">
      <c r="A18" s="1279">
        <v>3</v>
      </c>
      <c r="B18" s="1280">
        <v>1.2731481481481486E-2</v>
      </c>
      <c r="C18" s="870">
        <v>1.2685185185185185E-2</v>
      </c>
    </row>
    <row r="19" spans="1:3" x14ac:dyDescent="0.2">
      <c r="A19" s="1279">
        <v>4</v>
      </c>
      <c r="B19" s="1280">
        <v>1.2696759259259255E-2</v>
      </c>
      <c r="C19" s="870">
        <v>1.2789351851851852E-2</v>
      </c>
    </row>
    <row r="20" spans="1:3" x14ac:dyDescent="0.2">
      <c r="A20" s="1279">
        <v>5</v>
      </c>
      <c r="B20" s="1280">
        <v>1.2708333333333335E-2</v>
      </c>
      <c r="C20" s="870">
        <v>1.2789351851851852E-2</v>
      </c>
    </row>
    <row r="21" spans="1:3" x14ac:dyDescent="0.2">
      <c r="A21" s="1279">
        <v>6</v>
      </c>
      <c r="B21" s="1280">
        <v>1.2708333333333335E-2</v>
      </c>
      <c r="C21" s="870">
        <v>1.2708333333333334E-2</v>
      </c>
    </row>
    <row r="22" spans="1:3" x14ac:dyDescent="0.2">
      <c r="A22" s="1279">
        <v>7</v>
      </c>
      <c r="B22" s="1280">
        <v>1.2708333333333335E-2</v>
      </c>
      <c r="C22" s="870">
        <v>1.2789351851851852E-2</v>
      </c>
    </row>
    <row r="23" spans="1:3" x14ac:dyDescent="0.2">
      <c r="A23" s="1279">
        <v>8</v>
      </c>
      <c r="B23" s="1280">
        <v>1.2696759259259255E-2</v>
      </c>
      <c r="C23" s="870">
        <v>1.3113425925925926E-2</v>
      </c>
    </row>
    <row r="24" spans="1:3" x14ac:dyDescent="0.2">
      <c r="A24" s="1279" t="s">
        <v>514</v>
      </c>
      <c r="B24" s="1280">
        <v>5.6018518518518579E-3</v>
      </c>
      <c r="C24" s="870">
        <v>5.9143518518518521E-3</v>
      </c>
    </row>
  </sheetData>
  <conditionalFormatting sqref="J3:J11">
    <cfRule type="cellIs" dxfId="0" priority="2" operator="lessThan">
      <formula>0</formula>
    </cfRule>
    <cfRule type="cellIs" dxfId="1" priority="1" operator="greaterThan">
      <formula>0</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035D82-690E-410D-B840-0367BFF62441}">
  <dimension ref="A1:AC59"/>
  <sheetViews>
    <sheetView topLeftCell="J1" workbookViewId="0">
      <selection activeCell="M64" sqref="M64"/>
    </sheetView>
  </sheetViews>
  <sheetFormatPr defaultRowHeight="12.75" x14ac:dyDescent="0.2"/>
  <cols>
    <col min="12" max="12" width="17.85546875" customWidth="1"/>
  </cols>
  <sheetData>
    <row r="1" spans="1:12" x14ac:dyDescent="0.2">
      <c r="C1" s="919" t="s">
        <v>333</v>
      </c>
      <c r="D1" s="920"/>
      <c r="G1" s="919" t="s">
        <v>475</v>
      </c>
      <c r="H1" s="920"/>
      <c r="I1" s="33"/>
    </row>
    <row r="2" spans="1:12" x14ac:dyDescent="0.2">
      <c r="B2" s="825" t="s">
        <v>331</v>
      </c>
      <c r="C2" s="825" t="s">
        <v>448</v>
      </c>
      <c r="D2" s="825" t="s">
        <v>332</v>
      </c>
      <c r="E2" s="825" t="s">
        <v>474</v>
      </c>
      <c r="F2" s="825"/>
      <c r="G2" s="825" t="s">
        <v>448</v>
      </c>
      <c r="H2" s="825" t="s">
        <v>332</v>
      </c>
      <c r="I2" s="825" t="s">
        <v>474</v>
      </c>
      <c r="J2">
        <v>85</v>
      </c>
      <c r="K2" t="s">
        <v>445</v>
      </c>
      <c r="L2" t="s">
        <v>447</v>
      </c>
    </row>
    <row r="3" spans="1:12" x14ac:dyDescent="0.2">
      <c r="A3">
        <v>1</v>
      </c>
      <c r="B3">
        <v>18</v>
      </c>
      <c r="C3">
        <v>0.8</v>
      </c>
      <c r="D3">
        <v>0.8</v>
      </c>
      <c r="E3">
        <v>0.8</v>
      </c>
      <c r="G3">
        <f>C3*55</f>
        <v>44</v>
      </c>
      <c r="H3">
        <f t="shared" ref="H3:H19" si="0">D3*70</f>
        <v>56</v>
      </c>
      <c r="I3">
        <f>E3*80</f>
        <v>64</v>
      </c>
      <c r="J3">
        <f>E3*85</f>
        <v>68</v>
      </c>
      <c r="K3">
        <f>'2Q - 80'!N15</f>
        <v>58.79</v>
      </c>
    </row>
    <row r="4" spans="1:12" x14ac:dyDescent="0.2">
      <c r="A4">
        <v>2</v>
      </c>
      <c r="B4">
        <v>17</v>
      </c>
      <c r="C4">
        <v>0.8</v>
      </c>
      <c r="D4">
        <v>0.8</v>
      </c>
      <c r="E4">
        <v>0.8</v>
      </c>
      <c r="G4">
        <f t="shared" ref="G4:G19" si="1">C4*55</f>
        <v>44</v>
      </c>
      <c r="H4">
        <f t="shared" si="0"/>
        <v>56</v>
      </c>
      <c r="I4">
        <f t="shared" ref="I4:I19" si="2">E4*80</f>
        <v>64</v>
      </c>
      <c r="J4">
        <f t="shared" ref="J4:J20" si="3">E4*85</f>
        <v>68</v>
      </c>
      <c r="K4">
        <f>'2Q - 80'!N22</f>
        <v>40.81</v>
      </c>
      <c r="L4" s="838">
        <f>(K4-K3)/((K4+K3)/2)*100</f>
        <v>-36.104417670682729</v>
      </c>
    </row>
    <row r="5" spans="1:12" x14ac:dyDescent="0.2">
      <c r="A5">
        <v>3</v>
      </c>
      <c r="B5">
        <v>16</v>
      </c>
      <c r="C5">
        <v>0.9</v>
      </c>
      <c r="D5">
        <v>0.9</v>
      </c>
      <c r="E5">
        <v>0.9</v>
      </c>
      <c r="G5">
        <f t="shared" si="1"/>
        <v>49.5</v>
      </c>
      <c r="H5">
        <f t="shared" si="0"/>
        <v>63</v>
      </c>
      <c r="I5">
        <f t="shared" si="2"/>
        <v>72</v>
      </c>
      <c r="J5">
        <f t="shared" si="3"/>
        <v>76.5</v>
      </c>
      <c r="K5">
        <f>'2Q - 80'!N29</f>
        <v>74.44</v>
      </c>
      <c r="L5" s="838">
        <f>(K5-K4)/((K5+K4)/2)*100</f>
        <v>58.360086767895872</v>
      </c>
    </row>
    <row r="6" spans="1:12" x14ac:dyDescent="0.2">
      <c r="A6">
        <v>4</v>
      </c>
      <c r="B6">
        <v>15</v>
      </c>
      <c r="C6">
        <v>0.9</v>
      </c>
      <c r="D6">
        <v>0.9</v>
      </c>
      <c r="E6">
        <v>0.9</v>
      </c>
      <c r="G6">
        <f t="shared" si="1"/>
        <v>49.5</v>
      </c>
      <c r="H6">
        <f t="shared" si="0"/>
        <v>63</v>
      </c>
      <c r="I6">
        <f t="shared" si="2"/>
        <v>72</v>
      </c>
      <c r="J6">
        <f t="shared" si="3"/>
        <v>76.5</v>
      </c>
      <c r="K6">
        <f>'2Q - 80'!N36</f>
        <v>73.25</v>
      </c>
      <c r="L6" s="838">
        <f>(K6-K5)/((K6+K5)/2)*100</f>
        <v>-1.6114835127632172</v>
      </c>
    </row>
    <row r="7" spans="1:12" x14ac:dyDescent="0.2">
      <c r="A7">
        <v>5</v>
      </c>
      <c r="B7">
        <v>14</v>
      </c>
      <c r="C7">
        <v>0.9</v>
      </c>
      <c r="D7">
        <v>0.9</v>
      </c>
      <c r="E7">
        <v>0.9</v>
      </c>
      <c r="G7">
        <f t="shared" si="1"/>
        <v>49.5</v>
      </c>
      <c r="H7">
        <f t="shared" si="0"/>
        <v>63</v>
      </c>
      <c r="I7">
        <f>E7*80</f>
        <v>72</v>
      </c>
      <c r="J7">
        <f t="shared" si="3"/>
        <v>76.5</v>
      </c>
      <c r="K7">
        <f>'2Q - 80'!N43</f>
        <v>72.11999999999999</v>
      </c>
      <c r="L7" s="838">
        <f>(K7-K6)/((K7+K6)/2)*100</f>
        <v>-1.5546536424296755</v>
      </c>
    </row>
    <row r="8" spans="1:12" x14ac:dyDescent="0.2">
      <c r="A8">
        <v>6</v>
      </c>
      <c r="B8">
        <v>13</v>
      </c>
      <c r="C8">
        <v>0.8</v>
      </c>
      <c r="D8">
        <v>0.8</v>
      </c>
      <c r="E8">
        <v>0.8</v>
      </c>
      <c r="G8">
        <f t="shared" si="1"/>
        <v>44</v>
      </c>
      <c r="H8">
        <f t="shared" si="0"/>
        <v>56</v>
      </c>
      <c r="I8">
        <f t="shared" si="2"/>
        <v>64</v>
      </c>
      <c r="J8">
        <f t="shared" si="3"/>
        <v>68</v>
      </c>
      <c r="K8">
        <f>'2Q - 80'!N50</f>
        <v>68.59</v>
      </c>
      <c r="L8" s="838">
        <f>(K8-K7)/((K8+K7)/2)*100</f>
        <v>-5.01741169781819</v>
      </c>
    </row>
    <row r="9" spans="1:12" x14ac:dyDescent="0.2">
      <c r="A9">
        <v>7</v>
      </c>
      <c r="B9">
        <v>12</v>
      </c>
      <c r="C9" s="825">
        <v>1</v>
      </c>
      <c r="D9" s="825">
        <v>1</v>
      </c>
      <c r="E9" s="825">
        <v>1</v>
      </c>
      <c r="F9" s="825"/>
      <c r="G9">
        <f t="shared" si="1"/>
        <v>55</v>
      </c>
      <c r="H9">
        <f t="shared" si="0"/>
        <v>70</v>
      </c>
      <c r="I9">
        <f t="shared" si="2"/>
        <v>80</v>
      </c>
      <c r="J9">
        <f t="shared" si="3"/>
        <v>85</v>
      </c>
      <c r="K9">
        <f>'2Q - 80'!N57</f>
        <v>82.31</v>
      </c>
      <c r="L9" s="838">
        <f t="shared" ref="L9:L12" si="4">(K9-K8)/((K9+K8)/2)*100</f>
        <v>18.184227965540089</v>
      </c>
    </row>
    <row r="10" spans="1:12" x14ac:dyDescent="0.2">
      <c r="A10">
        <v>8</v>
      </c>
      <c r="B10">
        <v>11</v>
      </c>
      <c r="C10" s="825">
        <v>0.9</v>
      </c>
      <c r="D10" s="825">
        <v>0.9</v>
      </c>
      <c r="E10" s="825">
        <v>0.9</v>
      </c>
      <c r="F10" s="825"/>
      <c r="G10">
        <f t="shared" si="1"/>
        <v>49.5</v>
      </c>
      <c r="H10">
        <f t="shared" si="0"/>
        <v>63</v>
      </c>
      <c r="I10">
        <f t="shared" si="2"/>
        <v>72</v>
      </c>
      <c r="J10">
        <f t="shared" si="3"/>
        <v>76.5</v>
      </c>
      <c r="K10">
        <f>'2Q - 80'!N64</f>
        <v>75.77</v>
      </c>
      <c r="L10" s="838">
        <f t="shared" si="4"/>
        <v>-8.2742914979757174</v>
      </c>
    </row>
    <row r="11" spans="1:12" x14ac:dyDescent="0.2">
      <c r="A11">
        <v>9</v>
      </c>
      <c r="B11">
        <v>10</v>
      </c>
      <c r="C11" s="825">
        <v>0.9</v>
      </c>
      <c r="D11" s="825">
        <v>0.9</v>
      </c>
      <c r="E11" s="825">
        <v>0.8</v>
      </c>
      <c r="F11" s="825"/>
      <c r="G11">
        <f t="shared" si="1"/>
        <v>49.5</v>
      </c>
      <c r="H11">
        <f t="shared" si="0"/>
        <v>63</v>
      </c>
      <c r="I11">
        <f t="shared" si="2"/>
        <v>64</v>
      </c>
      <c r="J11">
        <f t="shared" si="3"/>
        <v>68</v>
      </c>
      <c r="K11">
        <f>'2Q - 80'!N71</f>
        <v>69.55</v>
      </c>
      <c r="L11" s="838">
        <f t="shared" si="4"/>
        <v>-8.5604183870079815</v>
      </c>
    </row>
    <row r="12" spans="1:12" x14ac:dyDescent="0.2">
      <c r="A12">
        <v>10</v>
      </c>
      <c r="B12">
        <v>9</v>
      </c>
      <c r="C12" s="825">
        <v>1</v>
      </c>
      <c r="D12" s="825">
        <v>1</v>
      </c>
      <c r="E12" s="825">
        <v>1</v>
      </c>
      <c r="F12" s="825"/>
      <c r="G12">
        <f t="shared" si="1"/>
        <v>55</v>
      </c>
      <c r="H12">
        <f t="shared" si="0"/>
        <v>70</v>
      </c>
      <c r="I12">
        <f t="shared" si="2"/>
        <v>80</v>
      </c>
      <c r="J12">
        <f t="shared" si="3"/>
        <v>85</v>
      </c>
      <c r="K12">
        <f>'2Q - 80'!N78</f>
        <v>63.179999999999993</v>
      </c>
      <c r="L12" s="838">
        <f t="shared" si="4"/>
        <v>-9.5984329089128373</v>
      </c>
    </row>
    <row r="13" spans="1:12" x14ac:dyDescent="0.2">
      <c r="A13">
        <v>11</v>
      </c>
      <c r="B13">
        <v>8</v>
      </c>
      <c r="C13" s="825">
        <v>1</v>
      </c>
      <c r="D13" s="825">
        <v>1</v>
      </c>
      <c r="E13" s="825">
        <v>0.9</v>
      </c>
      <c r="F13" s="825"/>
      <c r="G13">
        <f t="shared" si="1"/>
        <v>55</v>
      </c>
      <c r="H13">
        <f t="shared" si="0"/>
        <v>70</v>
      </c>
      <c r="I13">
        <f t="shared" si="2"/>
        <v>72</v>
      </c>
      <c r="J13">
        <f t="shared" si="3"/>
        <v>76.5</v>
      </c>
      <c r="K13">
        <f>'2Q - 80'!N85</f>
        <v>73.789999999999992</v>
      </c>
      <c r="L13" s="838">
        <f>(K13-K12)/((K13+K12)/2)*100</f>
        <v>15.492443600788498</v>
      </c>
    </row>
    <row r="14" spans="1:12" x14ac:dyDescent="0.2">
      <c r="A14">
        <v>12</v>
      </c>
      <c r="B14">
        <v>7</v>
      </c>
      <c r="C14" s="825">
        <v>0.9</v>
      </c>
      <c r="D14" s="825">
        <v>0.9</v>
      </c>
      <c r="E14" s="825">
        <v>0.9</v>
      </c>
      <c r="F14" s="825"/>
      <c r="G14">
        <f t="shared" si="1"/>
        <v>49.5</v>
      </c>
      <c r="H14">
        <f t="shared" si="0"/>
        <v>63</v>
      </c>
      <c r="I14">
        <f t="shared" si="2"/>
        <v>72</v>
      </c>
      <c r="J14">
        <f t="shared" si="3"/>
        <v>76.5</v>
      </c>
      <c r="K14">
        <f>'2Q - 80'!N92</f>
        <v>74.830000000000013</v>
      </c>
      <c r="L14" s="838">
        <f>(K14-K13)/((K14+K13)/2)*100</f>
        <v>1.399542457273611</v>
      </c>
    </row>
    <row r="15" spans="1:12" x14ac:dyDescent="0.2">
      <c r="A15">
        <v>13</v>
      </c>
      <c r="B15">
        <v>6</v>
      </c>
      <c r="C15" s="825">
        <v>1</v>
      </c>
      <c r="D15" s="825">
        <v>1</v>
      </c>
      <c r="E15" s="825">
        <v>1</v>
      </c>
      <c r="F15" s="825"/>
      <c r="G15">
        <f t="shared" si="1"/>
        <v>55</v>
      </c>
      <c r="H15">
        <f t="shared" si="0"/>
        <v>70</v>
      </c>
      <c r="I15">
        <f t="shared" si="2"/>
        <v>80</v>
      </c>
      <c r="J15">
        <f t="shared" si="3"/>
        <v>85</v>
      </c>
      <c r="K15">
        <f>'2Q - 80'!N99</f>
        <v>80.349999999999994</v>
      </c>
      <c r="L15" s="838">
        <f>(K15-K14)/((K15+K14)/2)*100</f>
        <v>7.114318855522594</v>
      </c>
    </row>
    <row r="16" spans="1:12" x14ac:dyDescent="0.2">
      <c r="A16">
        <v>14</v>
      </c>
      <c r="B16">
        <v>5</v>
      </c>
      <c r="C16" s="825">
        <v>0.9</v>
      </c>
      <c r="D16" s="825">
        <v>0.9</v>
      </c>
      <c r="E16" s="825">
        <v>0.9</v>
      </c>
      <c r="F16" s="825"/>
      <c r="G16">
        <f t="shared" si="1"/>
        <v>49.5</v>
      </c>
      <c r="H16">
        <f t="shared" si="0"/>
        <v>63</v>
      </c>
      <c r="I16">
        <f t="shared" si="2"/>
        <v>72</v>
      </c>
      <c r="J16">
        <f t="shared" si="3"/>
        <v>76.5</v>
      </c>
      <c r="K16">
        <f>'2Q - 80'!N106</f>
        <v>77.430000000000007</v>
      </c>
      <c r="L16" s="838">
        <f>(K16-K15)/((K16+K15)/2)*100</f>
        <v>-3.70135631892507</v>
      </c>
    </row>
    <row r="17" spans="1:26" x14ac:dyDescent="0.2">
      <c r="A17">
        <v>15</v>
      </c>
      <c r="B17">
        <v>4</v>
      </c>
      <c r="C17" s="825">
        <v>0.9</v>
      </c>
      <c r="D17" s="825">
        <v>0.9</v>
      </c>
      <c r="E17" s="825">
        <v>0.8</v>
      </c>
      <c r="F17" s="825"/>
      <c r="G17">
        <f t="shared" si="1"/>
        <v>49.5</v>
      </c>
      <c r="H17">
        <f t="shared" si="0"/>
        <v>63</v>
      </c>
      <c r="I17">
        <f t="shared" si="2"/>
        <v>64</v>
      </c>
      <c r="J17">
        <f t="shared" si="3"/>
        <v>68</v>
      </c>
      <c r="K17">
        <f>'2Q - 80'!N113</f>
        <v>67.069999999999993</v>
      </c>
      <c r="L17" s="838">
        <f>(K17-K16)/((K17+K16)/2)*100</f>
        <v>-14.33910034602078</v>
      </c>
    </row>
    <row r="18" spans="1:26" x14ac:dyDescent="0.2">
      <c r="A18">
        <v>16</v>
      </c>
      <c r="B18">
        <v>3</v>
      </c>
      <c r="C18" s="825">
        <v>0.8</v>
      </c>
      <c r="D18" s="825">
        <v>0.8</v>
      </c>
      <c r="E18">
        <v>0.8</v>
      </c>
      <c r="G18">
        <f t="shared" si="1"/>
        <v>44</v>
      </c>
      <c r="H18">
        <f t="shared" si="0"/>
        <v>56</v>
      </c>
      <c r="I18">
        <f t="shared" si="2"/>
        <v>64</v>
      </c>
      <c r="J18">
        <f t="shared" si="3"/>
        <v>68</v>
      </c>
      <c r="K18">
        <f>'2Q - 80'!N120</f>
        <v>65.13</v>
      </c>
      <c r="L18" s="838">
        <f t="shared" ref="L18:L20" si="5">(K18-K17)/((K18+K17)/2)*100</f>
        <v>-2.9349470499243537</v>
      </c>
    </row>
    <row r="19" spans="1:26" x14ac:dyDescent="0.2">
      <c r="A19">
        <v>17</v>
      </c>
      <c r="B19">
        <v>2</v>
      </c>
      <c r="C19" s="825">
        <v>0.8</v>
      </c>
      <c r="D19" s="825">
        <v>0.8</v>
      </c>
      <c r="E19" s="825">
        <v>0.7</v>
      </c>
      <c r="F19" s="825"/>
      <c r="G19">
        <f t="shared" si="1"/>
        <v>44</v>
      </c>
      <c r="H19">
        <f t="shared" si="0"/>
        <v>56</v>
      </c>
      <c r="I19">
        <f t="shared" si="2"/>
        <v>56</v>
      </c>
      <c r="J19">
        <f t="shared" si="3"/>
        <v>59.499999999999993</v>
      </c>
      <c r="K19">
        <f>'2Q - 80'!N127</f>
        <v>60.839999999999996</v>
      </c>
      <c r="L19" s="838">
        <f t="shared" si="5"/>
        <v>-6.8111455108359111</v>
      </c>
    </row>
    <row r="20" spans="1:26" x14ac:dyDescent="0.2">
      <c r="A20">
        <v>18</v>
      </c>
      <c r="B20">
        <v>1</v>
      </c>
      <c r="G20">
        <v>25</v>
      </c>
      <c r="H20">
        <f>13+8+8+7+5+3+3</f>
        <v>47</v>
      </c>
      <c r="I20">
        <f>13+8+9+7+5+3+3</f>
        <v>48</v>
      </c>
      <c r="J20">
        <f t="shared" si="3"/>
        <v>0</v>
      </c>
      <c r="K20">
        <f>'2Q - 80'!N134</f>
        <v>40.88000000000001</v>
      </c>
      <c r="L20" s="838">
        <f t="shared" si="5"/>
        <v>-39.244986236728245</v>
      </c>
    </row>
    <row r="21" spans="1:26" x14ac:dyDescent="0.2">
      <c r="A21" s="825"/>
    </row>
    <row r="25" spans="1:26" x14ac:dyDescent="0.2">
      <c r="Z25" s="825" t="s">
        <v>509</v>
      </c>
    </row>
    <row r="52" spans="27:29" x14ac:dyDescent="0.2">
      <c r="AA52" s="825" t="s">
        <v>497</v>
      </c>
      <c r="AB52">
        <v>200</v>
      </c>
      <c r="AC52">
        <v>0</v>
      </c>
    </row>
    <row r="53" spans="27:29" x14ac:dyDescent="0.2">
      <c r="AA53" s="825" t="s">
        <v>493</v>
      </c>
      <c r="AB53">
        <v>200</v>
      </c>
      <c r="AC53">
        <v>200</v>
      </c>
    </row>
    <row r="55" spans="27:29" x14ac:dyDescent="0.2">
      <c r="AA55" s="825" t="s">
        <v>494</v>
      </c>
      <c r="AB55">
        <v>150</v>
      </c>
      <c r="AC55">
        <v>150</v>
      </c>
    </row>
    <row r="57" spans="27:29" x14ac:dyDescent="0.2">
      <c r="AA57" s="825" t="s">
        <v>495</v>
      </c>
      <c r="AB57">
        <v>100</v>
      </c>
      <c r="AC57">
        <v>100</v>
      </c>
    </row>
    <row r="59" spans="27:29" x14ac:dyDescent="0.2">
      <c r="AA59" s="825" t="s">
        <v>496</v>
      </c>
      <c r="AB59">
        <v>50</v>
      </c>
      <c r="AC59">
        <v>50</v>
      </c>
    </row>
  </sheetData>
  <mergeCells count="2">
    <mergeCell ref="C1:D1"/>
    <mergeCell ref="G1:H1"/>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56187E-E72A-44A2-B0C3-11710FDA00C6}">
  <dimension ref="A1:M38"/>
  <sheetViews>
    <sheetView workbookViewId="0">
      <selection activeCell="K37" sqref="K37"/>
    </sheetView>
  </sheetViews>
  <sheetFormatPr defaultRowHeight="12.75" x14ac:dyDescent="0.2"/>
  <cols>
    <col min="1" max="1" width="9.140625" style="827"/>
    <col min="3" max="3" width="52.7109375" bestFit="1" customWidth="1"/>
    <col min="4" max="4" width="12" bestFit="1" customWidth="1"/>
    <col min="5" max="5" width="11" bestFit="1" customWidth="1"/>
    <col min="6" max="6" width="16.7109375" bestFit="1" customWidth="1"/>
    <col min="11" max="11" width="52.7109375" bestFit="1" customWidth="1"/>
    <col min="12" max="12" width="11" bestFit="1" customWidth="1"/>
    <col min="13" max="13" width="16.7109375" bestFit="1" customWidth="1"/>
  </cols>
  <sheetData>
    <row r="1" spans="1:13" x14ac:dyDescent="0.2">
      <c r="A1" s="923" t="s">
        <v>378</v>
      </c>
      <c r="B1" s="923"/>
      <c r="C1" s="923"/>
      <c r="D1" s="923"/>
      <c r="E1" s="923"/>
      <c r="F1" s="923"/>
      <c r="I1" s="923" t="s">
        <v>389</v>
      </c>
      <c r="J1" s="923"/>
      <c r="K1" s="923"/>
      <c r="L1" s="923"/>
      <c r="M1" s="923"/>
    </row>
    <row r="2" spans="1:13" x14ac:dyDescent="0.2">
      <c r="A2" s="826" t="s">
        <v>10</v>
      </c>
      <c r="B2" s="825" t="s">
        <v>334</v>
      </c>
      <c r="D2" s="825" t="s">
        <v>362</v>
      </c>
      <c r="E2" s="825" t="s">
        <v>363</v>
      </c>
      <c r="F2" s="825" t="s">
        <v>377</v>
      </c>
      <c r="I2" s="826" t="s">
        <v>10</v>
      </c>
      <c r="J2" s="825" t="s">
        <v>334</v>
      </c>
      <c r="L2" s="825" t="s">
        <v>363</v>
      </c>
      <c r="M2" s="825" t="s">
        <v>377</v>
      </c>
    </row>
    <row r="3" spans="1:13" x14ac:dyDescent="0.2">
      <c r="A3" s="921">
        <v>18</v>
      </c>
      <c r="B3" s="825" t="s">
        <v>314</v>
      </c>
      <c r="C3" s="825" t="s">
        <v>336</v>
      </c>
      <c r="D3" s="838">
        <f>1+6+1+6+2</f>
        <v>16</v>
      </c>
      <c r="E3">
        <v>16</v>
      </c>
      <c r="F3" s="922">
        <f>'Daniel''s Metrics'!G3 - ('Q Sessions'!D3+'Q Sessions'!D4)</f>
        <v>12</v>
      </c>
      <c r="I3" s="921">
        <v>18</v>
      </c>
      <c r="J3" s="825" t="s">
        <v>314</v>
      </c>
      <c r="K3" s="825" t="s">
        <v>390</v>
      </c>
      <c r="L3">
        <v>18</v>
      </c>
      <c r="M3" s="922">
        <f>'Daniel''s Metrics'!I3 - (L3+L4)</f>
        <v>29</v>
      </c>
    </row>
    <row r="4" spans="1:13" x14ac:dyDescent="0.2">
      <c r="A4" s="921"/>
      <c r="B4" s="825" t="s">
        <v>335</v>
      </c>
      <c r="C4" s="825" t="s">
        <v>337</v>
      </c>
      <c r="D4" s="838">
        <f>8+3+2+3</f>
        <v>16</v>
      </c>
      <c r="E4">
        <v>15</v>
      </c>
      <c r="F4" s="921"/>
      <c r="I4" s="921"/>
      <c r="J4" s="825" t="s">
        <v>335</v>
      </c>
      <c r="K4" s="825" t="s">
        <v>391</v>
      </c>
      <c r="L4">
        <v>17</v>
      </c>
      <c r="M4" s="921"/>
    </row>
    <row r="5" spans="1:13" x14ac:dyDescent="0.2">
      <c r="A5" s="921">
        <v>17</v>
      </c>
      <c r="B5" s="825" t="s">
        <v>314</v>
      </c>
      <c r="C5" s="825" t="s">
        <v>338</v>
      </c>
      <c r="D5" s="838">
        <f>2+3+(60/7.5)+1+1</f>
        <v>15</v>
      </c>
      <c r="E5">
        <v>15</v>
      </c>
      <c r="F5" s="922">
        <f>'Daniel''s Metrics'!G5 - ('Q Sessions'!D5+'Q Sessions'!D6)</f>
        <v>24.375</v>
      </c>
      <c r="I5" s="921">
        <v>17</v>
      </c>
      <c r="J5" s="825" t="s">
        <v>314</v>
      </c>
      <c r="K5" s="825" t="s">
        <v>392</v>
      </c>
      <c r="L5">
        <v>18</v>
      </c>
      <c r="M5" s="922">
        <f>'Daniel''s Metrics'!I4 -(L5+L6)</f>
        <v>31</v>
      </c>
    </row>
    <row r="6" spans="1:13" x14ac:dyDescent="0.2">
      <c r="A6" s="921"/>
      <c r="B6" s="825" t="s">
        <v>335</v>
      </c>
      <c r="C6" s="825" t="s">
        <v>354</v>
      </c>
      <c r="D6" s="838">
        <f>4+ (5*(1000/1600)) + (4*(400/1600)) +2</f>
        <v>10.125</v>
      </c>
      <c r="E6">
        <v>13</v>
      </c>
      <c r="F6" s="921"/>
      <c r="I6" s="921"/>
      <c r="J6" s="825" t="s">
        <v>335</v>
      </c>
      <c r="K6" s="825" t="s">
        <v>396</v>
      </c>
      <c r="L6">
        <v>15</v>
      </c>
      <c r="M6" s="922"/>
    </row>
    <row r="7" spans="1:13" x14ac:dyDescent="0.2">
      <c r="A7" s="921">
        <v>16</v>
      </c>
      <c r="B7" s="825" t="s">
        <v>314</v>
      </c>
      <c r="C7" s="825" t="s">
        <v>339</v>
      </c>
      <c r="D7" s="838">
        <v>16</v>
      </c>
      <c r="E7">
        <v>16</v>
      </c>
      <c r="F7" s="922">
        <f>'Daniel''s Metrics'!G7 - ('Q Sessions'!D7+'Q Sessions'!D8)</f>
        <v>20.5</v>
      </c>
      <c r="I7" s="921">
        <v>16</v>
      </c>
      <c r="J7" s="825" t="s">
        <v>314</v>
      </c>
      <c r="K7" s="825" t="s">
        <v>393</v>
      </c>
      <c r="L7">
        <v>18</v>
      </c>
      <c r="M7" s="922">
        <f>'Daniel''s Metrics'!I5 -(L7+L8)</f>
        <v>37</v>
      </c>
    </row>
    <row r="8" spans="1:13" x14ac:dyDescent="0.2">
      <c r="A8" s="921"/>
      <c r="B8" s="825" t="s">
        <v>335</v>
      </c>
      <c r="C8" s="825" t="s">
        <v>341</v>
      </c>
      <c r="D8" s="838">
        <f>6+3+2+1+1</f>
        <v>13</v>
      </c>
      <c r="E8">
        <v>14</v>
      </c>
      <c r="F8" s="921"/>
      <c r="I8" s="921"/>
      <c r="J8" s="825" t="s">
        <v>335</v>
      </c>
      <c r="K8" s="825" t="s">
        <v>394</v>
      </c>
      <c r="L8">
        <v>17</v>
      </c>
      <c r="M8" s="921"/>
    </row>
    <row r="9" spans="1:13" x14ac:dyDescent="0.2">
      <c r="A9" s="921">
        <v>15</v>
      </c>
      <c r="B9" s="825" t="s">
        <v>314</v>
      </c>
      <c r="C9" s="825" t="s">
        <v>340</v>
      </c>
      <c r="D9" s="838">
        <f>2+8+1+3+2</f>
        <v>16</v>
      </c>
      <c r="E9">
        <v>16</v>
      </c>
      <c r="F9" s="922">
        <f>'Daniel''s Metrics'!G9 - ('Q Sessions'!D9+'Q Sessions'!D10)</f>
        <v>24.666666666666668</v>
      </c>
      <c r="I9" s="921">
        <v>15</v>
      </c>
      <c r="J9" s="825" t="s">
        <v>314</v>
      </c>
      <c r="K9" s="825" t="s">
        <v>395</v>
      </c>
      <c r="L9">
        <v>18</v>
      </c>
      <c r="M9" s="922">
        <f>'Daniel''s Metrics'!I6 -(L9+L10)</f>
        <v>38</v>
      </c>
    </row>
    <row r="10" spans="1:13" x14ac:dyDescent="0.2">
      <c r="A10" s="921"/>
      <c r="B10" s="825" t="s">
        <v>335</v>
      </c>
      <c r="C10" s="825" t="s">
        <v>342</v>
      </c>
      <c r="D10" s="839">
        <f>(40/7.5) + (3*2) + (2*1) + 1</f>
        <v>14.333333333333332</v>
      </c>
      <c r="E10">
        <v>15</v>
      </c>
      <c r="F10" s="921"/>
      <c r="I10" s="921"/>
      <c r="J10" s="825" t="s">
        <v>335</v>
      </c>
      <c r="K10" s="825" t="s">
        <v>399</v>
      </c>
      <c r="L10">
        <v>16</v>
      </c>
      <c r="M10" s="921"/>
    </row>
    <row r="11" spans="1:13" x14ac:dyDescent="0.2">
      <c r="A11" s="921">
        <v>14</v>
      </c>
      <c r="B11" s="825" t="s">
        <v>314</v>
      </c>
      <c r="C11" s="825" t="s">
        <v>347</v>
      </c>
      <c r="D11" s="838">
        <f>1+(2*2)+(60/7.5)+2+1</f>
        <v>16</v>
      </c>
      <c r="E11">
        <v>16</v>
      </c>
      <c r="F11" s="922">
        <f>'Daniel''s Metrics'!G11 - ('Q Sessions'!D11+'Q Sessions'!D12)</f>
        <v>19.75</v>
      </c>
      <c r="I11" s="921">
        <v>14</v>
      </c>
      <c r="J11" s="825" t="s">
        <v>314</v>
      </c>
      <c r="K11" s="825" t="s">
        <v>400</v>
      </c>
      <c r="L11">
        <v>18</v>
      </c>
      <c r="M11" s="922">
        <f>'Daniel''s Metrics'!I7 -(L11+L12)</f>
        <v>37</v>
      </c>
    </row>
    <row r="12" spans="1:13" x14ac:dyDescent="0.2">
      <c r="A12" s="921"/>
      <c r="B12" s="825" t="s">
        <v>335</v>
      </c>
      <c r="C12" s="825" t="s">
        <v>348</v>
      </c>
      <c r="D12" s="838">
        <f xml:space="preserve"> 8+(6*(1/1.6))+2</f>
        <v>13.75</v>
      </c>
      <c r="E12">
        <v>14</v>
      </c>
      <c r="F12" s="921"/>
      <c r="I12" s="921"/>
      <c r="J12" s="825" t="s">
        <v>335</v>
      </c>
      <c r="K12" s="825" t="s">
        <v>401</v>
      </c>
      <c r="L12">
        <v>17</v>
      </c>
      <c r="M12" s="921"/>
    </row>
    <row r="13" spans="1:13" x14ac:dyDescent="0.2">
      <c r="A13" s="921">
        <v>13</v>
      </c>
      <c r="B13" s="825" t="s">
        <v>314</v>
      </c>
      <c r="C13" s="825" t="s">
        <v>349</v>
      </c>
      <c r="D13" s="838">
        <v>17</v>
      </c>
      <c r="E13">
        <v>17</v>
      </c>
      <c r="F13" s="922">
        <f>'Daniel''s Metrics'!G13 - ('Q Sessions'!D13+'Q Sessions'!D14)</f>
        <v>23.666666666666668</v>
      </c>
      <c r="I13" s="921">
        <v>13</v>
      </c>
      <c r="J13" s="825" t="s">
        <v>314</v>
      </c>
      <c r="K13" s="825" t="s">
        <v>397</v>
      </c>
      <c r="L13">
        <v>19</v>
      </c>
      <c r="M13" s="922">
        <f>'Daniel''s Metrics'!I8 -(L13+L14)</f>
        <v>28</v>
      </c>
    </row>
    <row r="14" spans="1:13" x14ac:dyDescent="0.2">
      <c r="A14" s="921"/>
      <c r="B14" s="825" t="s">
        <v>335</v>
      </c>
      <c r="C14" s="825" t="s">
        <v>351</v>
      </c>
      <c r="D14" s="838">
        <f>(40/7.5)+3+(2*2)+2</f>
        <v>14.333333333333332</v>
      </c>
      <c r="E14">
        <v>15</v>
      </c>
      <c r="F14" s="921"/>
      <c r="I14" s="921"/>
      <c r="J14" s="825" t="s">
        <v>335</v>
      </c>
      <c r="K14" s="825" t="s">
        <v>398</v>
      </c>
      <c r="L14">
        <v>17</v>
      </c>
      <c r="M14" s="921"/>
    </row>
    <row r="15" spans="1:13" x14ac:dyDescent="0.2">
      <c r="A15" s="921">
        <v>12</v>
      </c>
      <c r="B15" s="825" t="s">
        <v>314</v>
      </c>
      <c r="C15" s="825" t="s">
        <v>350</v>
      </c>
      <c r="D15" s="838">
        <f>1+8+1+6+1</f>
        <v>17</v>
      </c>
      <c r="E15">
        <v>17</v>
      </c>
      <c r="F15" s="922">
        <f>'Daniel''s Metrics'!G15 - ('Q Sessions'!D15+'Q Sessions'!D16)</f>
        <v>24</v>
      </c>
      <c r="I15" s="921">
        <v>12</v>
      </c>
      <c r="J15" s="825" t="s">
        <v>314</v>
      </c>
      <c r="K15" s="825" t="s">
        <v>402</v>
      </c>
      <c r="L15">
        <v>19</v>
      </c>
      <c r="M15" s="922">
        <f>'Daniel''s Metrics'!I9 -(L15+L16)</f>
        <v>46</v>
      </c>
    </row>
    <row r="16" spans="1:13" x14ac:dyDescent="0.2">
      <c r="A16" s="921"/>
      <c r="B16" s="825" t="s">
        <v>335</v>
      </c>
      <c r="C16" s="825" t="s">
        <v>352</v>
      </c>
      <c r="D16" s="838">
        <f>4+3+2+2+1+2</f>
        <v>14</v>
      </c>
      <c r="E16">
        <v>14</v>
      </c>
      <c r="F16" s="921"/>
      <c r="I16" s="921"/>
      <c r="J16" s="825" t="s">
        <v>335</v>
      </c>
      <c r="K16" s="825" t="s">
        <v>403</v>
      </c>
      <c r="L16">
        <v>15</v>
      </c>
      <c r="M16" s="921"/>
    </row>
    <row r="17" spans="1:13" x14ac:dyDescent="0.2">
      <c r="A17" s="921">
        <v>11</v>
      </c>
      <c r="B17" s="825" t="s">
        <v>314</v>
      </c>
      <c r="C17" s="825" t="s">
        <v>353</v>
      </c>
      <c r="D17" s="838">
        <f>12+3+1</f>
        <v>16</v>
      </c>
      <c r="E17">
        <v>16</v>
      </c>
      <c r="F17" s="922">
        <f>'Daniel''s Metrics'!G17 - ('Q Sessions'!D17+'Q Sessions'!D18)</f>
        <v>20.375</v>
      </c>
      <c r="I17" s="921">
        <v>11</v>
      </c>
      <c r="J17" s="825" t="s">
        <v>314</v>
      </c>
      <c r="K17" s="825" t="s">
        <v>404</v>
      </c>
      <c r="L17">
        <v>19</v>
      </c>
      <c r="M17" s="922">
        <f>'Daniel''s Metrics'!I10 -(L17+L18)</f>
        <v>36</v>
      </c>
    </row>
    <row r="18" spans="1:13" x14ac:dyDescent="0.2">
      <c r="A18" s="921"/>
      <c r="B18" s="825" t="s">
        <v>335</v>
      </c>
      <c r="C18" s="825" t="s">
        <v>355</v>
      </c>
      <c r="D18" s="838">
        <f>8+(5*(1/1.6))+(4*0.25)+1</f>
        <v>13.125</v>
      </c>
      <c r="E18">
        <v>15</v>
      </c>
      <c r="F18" s="921"/>
      <c r="I18" s="921"/>
      <c r="J18" s="825" t="s">
        <v>335</v>
      </c>
      <c r="K18" s="825" t="s">
        <v>405</v>
      </c>
      <c r="L18">
        <v>17</v>
      </c>
      <c r="M18" s="921"/>
    </row>
    <row r="19" spans="1:13" x14ac:dyDescent="0.2">
      <c r="A19" s="921">
        <v>10</v>
      </c>
      <c r="B19" s="825" t="s">
        <v>314</v>
      </c>
      <c r="C19" s="825" t="s">
        <v>356</v>
      </c>
      <c r="D19" s="838">
        <v>18</v>
      </c>
      <c r="E19">
        <v>18</v>
      </c>
      <c r="F19" s="922">
        <f>'Daniel''s Metrics'!G19 - ('Q Sessions'!D19+'Q Sessions'!D20)</f>
        <v>10</v>
      </c>
      <c r="I19" s="921">
        <v>10</v>
      </c>
      <c r="J19" s="825" t="s">
        <v>314</v>
      </c>
      <c r="K19" s="825" t="s">
        <v>411</v>
      </c>
      <c r="L19">
        <v>20</v>
      </c>
      <c r="M19" s="922">
        <f>'Daniel''s Metrics'!I11 -(L19+L20)</f>
        <v>26</v>
      </c>
    </row>
    <row r="20" spans="1:13" x14ac:dyDescent="0.2">
      <c r="A20" s="921"/>
      <c r="B20" s="825" t="s">
        <v>335</v>
      </c>
      <c r="C20" s="825" t="s">
        <v>358</v>
      </c>
      <c r="D20" s="838">
        <f>2+12+2</f>
        <v>16</v>
      </c>
      <c r="E20">
        <v>16</v>
      </c>
      <c r="F20" s="921"/>
      <c r="I20" s="921"/>
      <c r="J20" s="825" t="s">
        <v>335</v>
      </c>
      <c r="K20" s="825" t="s">
        <v>406</v>
      </c>
      <c r="L20">
        <v>18</v>
      </c>
      <c r="M20" s="921"/>
    </row>
    <row r="21" spans="1:13" x14ac:dyDescent="0.2">
      <c r="A21" s="921">
        <v>9</v>
      </c>
      <c r="B21" s="825" t="s">
        <v>314</v>
      </c>
      <c r="C21" s="825" t="s">
        <v>359</v>
      </c>
      <c r="D21" s="838">
        <f>3+6+1+4+1+1</f>
        <v>16</v>
      </c>
      <c r="E21">
        <v>16</v>
      </c>
      <c r="F21" s="922">
        <f>'Daniel''s Metrics'!G21 - ('Q Sessions'!D21+'Q Sessions'!D22)</f>
        <v>-31</v>
      </c>
      <c r="I21" s="921">
        <v>9</v>
      </c>
      <c r="J21" s="825" t="s">
        <v>314</v>
      </c>
      <c r="K21" s="825" t="s">
        <v>407</v>
      </c>
      <c r="L21">
        <v>18</v>
      </c>
      <c r="M21" s="922">
        <f>'Daniel''s Metrics'!I12 -(L21+L22)</f>
        <v>46</v>
      </c>
    </row>
    <row r="22" spans="1:13" x14ac:dyDescent="0.2">
      <c r="A22" s="921"/>
      <c r="B22" s="825" t="s">
        <v>335</v>
      </c>
      <c r="C22" s="825" t="s">
        <v>360</v>
      </c>
      <c r="D22" s="838">
        <f>5+(4*2)+2</f>
        <v>15</v>
      </c>
      <c r="E22">
        <v>15</v>
      </c>
      <c r="F22" s="921"/>
      <c r="I22" s="921"/>
      <c r="J22" s="825" t="s">
        <v>335</v>
      </c>
      <c r="K22" s="825" t="s">
        <v>408</v>
      </c>
      <c r="L22">
        <v>16</v>
      </c>
      <c r="M22" s="921"/>
    </row>
    <row r="23" spans="1:13" x14ac:dyDescent="0.2">
      <c r="A23" s="921">
        <v>8</v>
      </c>
      <c r="B23" s="825" t="s">
        <v>314</v>
      </c>
      <c r="C23" s="825" t="s">
        <v>361</v>
      </c>
      <c r="D23" s="838">
        <f>2+2+(60/7)+2+2</f>
        <v>16.571428571428569</v>
      </c>
      <c r="E23">
        <v>17</v>
      </c>
      <c r="F23" s="922">
        <f>'Daniel''s Metrics'!G23 - ('Q Sessions'!D23+'Q Sessions'!D24)</f>
        <v>-30.321428571428569</v>
      </c>
      <c r="I23" s="921">
        <v>8</v>
      </c>
      <c r="J23" s="825" t="s">
        <v>314</v>
      </c>
      <c r="K23" s="825" t="s">
        <v>409</v>
      </c>
      <c r="L23">
        <v>18</v>
      </c>
      <c r="M23" s="922">
        <f>'Daniel''s Metrics'!I13 -(L23+L24)</f>
        <v>37</v>
      </c>
    </row>
    <row r="24" spans="1:13" x14ac:dyDescent="0.2">
      <c r="A24" s="921"/>
      <c r="B24" s="825" t="s">
        <v>335</v>
      </c>
      <c r="C24" s="825" t="s">
        <v>348</v>
      </c>
      <c r="D24" s="838">
        <f xml:space="preserve"> 8+(6*(1/1.6))+2</f>
        <v>13.75</v>
      </c>
      <c r="E24">
        <v>16</v>
      </c>
      <c r="F24" s="921"/>
      <c r="I24" s="921"/>
      <c r="J24" s="825" t="s">
        <v>335</v>
      </c>
      <c r="K24" s="825" t="s">
        <v>410</v>
      </c>
      <c r="L24">
        <v>17</v>
      </c>
      <c r="M24" s="921"/>
    </row>
    <row r="25" spans="1:13" x14ac:dyDescent="0.2">
      <c r="A25" s="921">
        <v>7</v>
      </c>
      <c r="B25" s="825" t="s">
        <v>314</v>
      </c>
      <c r="C25" s="825" t="s">
        <v>364</v>
      </c>
      <c r="D25" s="838">
        <v>20</v>
      </c>
      <c r="E25">
        <v>20</v>
      </c>
      <c r="F25" s="922">
        <f>'Daniel''s Metrics'!G25 - ('Q Sessions'!D25+'Q Sessions'!D26)</f>
        <v>-36</v>
      </c>
      <c r="I25" s="921">
        <v>7</v>
      </c>
      <c r="J25" s="825" t="s">
        <v>314</v>
      </c>
      <c r="K25" s="825" t="s">
        <v>411</v>
      </c>
      <c r="L25">
        <v>20</v>
      </c>
      <c r="M25" s="922">
        <f>'Daniel''s Metrics'!I14 -(L25+L26)</f>
        <v>37</v>
      </c>
    </row>
    <row r="26" spans="1:13" x14ac:dyDescent="0.2">
      <c r="A26" s="921"/>
      <c r="B26" s="825" t="s">
        <v>335</v>
      </c>
      <c r="C26" s="825" t="s">
        <v>365</v>
      </c>
      <c r="D26" s="838">
        <f>2+8+(2*2)+2</f>
        <v>16</v>
      </c>
      <c r="E26">
        <v>16</v>
      </c>
      <c r="F26" s="921"/>
      <c r="I26" s="921"/>
      <c r="J26" s="825" t="s">
        <v>335</v>
      </c>
      <c r="K26" s="825" t="s">
        <v>412</v>
      </c>
      <c r="L26">
        <v>15</v>
      </c>
      <c r="M26" s="921"/>
    </row>
    <row r="27" spans="1:13" x14ac:dyDescent="0.2">
      <c r="A27" s="921">
        <v>6</v>
      </c>
      <c r="B27" s="825" t="s">
        <v>314</v>
      </c>
      <c r="C27" s="825" t="s">
        <v>366</v>
      </c>
      <c r="D27" s="838">
        <f>3+12+2</f>
        <v>17</v>
      </c>
      <c r="E27">
        <v>17</v>
      </c>
      <c r="F27" s="922">
        <f>'Daniel''s Metrics'!G27 - ('Q Sessions'!D27+'Q Sessions'!D28)</f>
        <v>-33.333333333333329</v>
      </c>
      <c r="I27" s="921">
        <v>6</v>
      </c>
      <c r="J27" s="825" t="s">
        <v>314</v>
      </c>
      <c r="K27" s="825" t="s">
        <v>413</v>
      </c>
      <c r="L27">
        <v>18</v>
      </c>
      <c r="M27" s="922">
        <f>'Daniel''s Metrics'!I15 -(L27+L28)</f>
        <v>48</v>
      </c>
    </row>
    <row r="28" spans="1:13" x14ac:dyDescent="0.2">
      <c r="A28" s="921"/>
      <c r="B28" s="825" t="s">
        <v>335</v>
      </c>
      <c r="C28" s="825" t="s">
        <v>367</v>
      </c>
      <c r="D28" s="839">
        <f>(40/7.5) + (4*2) + (2*1) + 1</f>
        <v>16.333333333333332</v>
      </c>
      <c r="E28">
        <v>17</v>
      </c>
      <c r="F28" s="921"/>
      <c r="I28" s="921"/>
      <c r="J28" s="825" t="s">
        <v>335</v>
      </c>
      <c r="K28" s="825" t="s">
        <v>414</v>
      </c>
      <c r="L28">
        <v>14</v>
      </c>
      <c r="M28" s="921"/>
    </row>
    <row r="29" spans="1:13" x14ac:dyDescent="0.2">
      <c r="A29" s="921">
        <v>5</v>
      </c>
      <c r="B29" s="825" t="s">
        <v>314</v>
      </c>
      <c r="C29" s="825" t="s">
        <v>368</v>
      </c>
      <c r="D29" s="838">
        <f>6+2+6+2+1</f>
        <v>17</v>
      </c>
      <c r="E29">
        <v>17</v>
      </c>
      <c r="F29" s="922">
        <f>'Daniel''s Metrics'!G29 - ('Q Sessions'!D29+'Q Sessions'!D30)</f>
        <v>-29.875</v>
      </c>
      <c r="I29" s="921">
        <v>5</v>
      </c>
      <c r="J29" s="825" t="s">
        <v>314</v>
      </c>
      <c r="K29" s="825" t="s">
        <v>415</v>
      </c>
      <c r="L29">
        <v>16</v>
      </c>
      <c r="M29" s="922">
        <f>'Daniel''s Metrics'!I16 -(L29+L30)</f>
        <v>42</v>
      </c>
    </row>
    <row r="30" spans="1:13" x14ac:dyDescent="0.2">
      <c r="A30" s="921"/>
      <c r="B30" s="825" t="s">
        <v>335</v>
      </c>
      <c r="C30" s="825" t="s">
        <v>369</v>
      </c>
      <c r="D30" s="838">
        <f>8+(5*(1/1.6))+(6*0.125)+1</f>
        <v>12.875</v>
      </c>
      <c r="E30">
        <v>16</v>
      </c>
      <c r="F30" s="921"/>
      <c r="I30" s="921"/>
      <c r="J30" s="825" t="s">
        <v>335</v>
      </c>
      <c r="K30" s="825" t="s">
        <v>416</v>
      </c>
      <c r="L30">
        <v>14</v>
      </c>
      <c r="M30" s="921"/>
    </row>
    <row r="31" spans="1:13" x14ac:dyDescent="0.2">
      <c r="A31" s="921">
        <v>4</v>
      </c>
      <c r="B31" s="825" t="s">
        <v>314</v>
      </c>
      <c r="C31" s="825" t="s">
        <v>370</v>
      </c>
      <c r="D31" s="838">
        <v>20</v>
      </c>
      <c r="E31">
        <v>20</v>
      </c>
      <c r="F31" s="922">
        <f>'Daniel''s Metrics'!G31 - ('Q Sessions'!D31+'Q Sessions'!D32)</f>
        <v>-33.125</v>
      </c>
      <c r="I31" s="921">
        <v>4</v>
      </c>
      <c r="J31" s="825" t="s">
        <v>314</v>
      </c>
      <c r="K31" s="825" t="s">
        <v>393</v>
      </c>
      <c r="L31">
        <v>18</v>
      </c>
      <c r="M31" s="922">
        <f>'Daniel''s Metrics'!I17 -(L31+L32)</f>
        <v>34</v>
      </c>
    </row>
    <row r="32" spans="1:13" x14ac:dyDescent="0.2">
      <c r="A32" s="921"/>
      <c r="B32" s="825" t="s">
        <v>335</v>
      </c>
      <c r="C32" s="825" t="s">
        <v>371</v>
      </c>
      <c r="D32" s="838">
        <f>6+(5*(1/1.6))+4</f>
        <v>13.125</v>
      </c>
      <c r="E32">
        <v>15</v>
      </c>
      <c r="F32" s="921"/>
      <c r="I32" s="921"/>
      <c r="J32" s="825" t="s">
        <v>335</v>
      </c>
      <c r="K32" s="825" t="s">
        <v>417</v>
      </c>
      <c r="L32">
        <v>12</v>
      </c>
      <c r="M32" s="921"/>
    </row>
    <row r="33" spans="1:13" x14ac:dyDescent="0.2">
      <c r="A33" s="921">
        <v>3</v>
      </c>
      <c r="B33" s="825" t="s">
        <v>314</v>
      </c>
      <c r="C33" s="825" t="s">
        <v>372</v>
      </c>
      <c r="D33" s="838">
        <f>2+6+1+6+2</f>
        <v>17</v>
      </c>
      <c r="E33">
        <v>17</v>
      </c>
      <c r="F33" s="922">
        <f>'Daniel''s Metrics'!G33 - ('Q Sessions'!D33+'Q Sessions'!D34)</f>
        <v>-29</v>
      </c>
      <c r="I33" s="921">
        <v>3</v>
      </c>
      <c r="J33" s="825" t="s">
        <v>314</v>
      </c>
      <c r="K33" s="825" t="s">
        <v>418</v>
      </c>
      <c r="L33">
        <v>18</v>
      </c>
      <c r="M33" s="922">
        <f>'Daniel''s Metrics'!I18 -(L33+L34)</f>
        <v>34</v>
      </c>
    </row>
    <row r="34" spans="1:13" x14ac:dyDescent="0.2">
      <c r="A34" s="921"/>
      <c r="B34" s="825" t="s">
        <v>335</v>
      </c>
      <c r="C34" s="825" t="s">
        <v>373</v>
      </c>
      <c r="D34" s="838">
        <f>2+(4*2)+2</f>
        <v>12</v>
      </c>
      <c r="E34">
        <v>12</v>
      </c>
      <c r="F34" s="921"/>
      <c r="I34" s="921"/>
      <c r="J34" s="825" t="s">
        <v>335</v>
      </c>
      <c r="K34" s="825" t="s">
        <v>420</v>
      </c>
      <c r="L34">
        <v>12</v>
      </c>
      <c r="M34" s="921"/>
    </row>
    <row r="35" spans="1:13" x14ac:dyDescent="0.2">
      <c r="A35" s="921">
        <v>2</v>
      </c>
      <c r="B35" s="825" t="s">
        <v>314</v>
      </c>
      <c r="C35" s="825" t="s">
        <v>374</v>
      </c>
      <c r="D35" s="838">
        <f>2+(3*2)+7</f>
        <v>15</v>
      </c>
      <c r="E35">
        <v>15</v>
      </c>
      <c r="F35" s="922">
        <f>'Daniel''s Metrics'!G35 - ('Q Sessions'!D35+'Q Sessions'!D36)</f>
        <v>-26</v>
      </c>
      <c r="I35" s="921">
        <v>2</v>
      </c>
      <c r="J35" s="825" t="s">
        <v>314</v>
      </c>
      <c r="K35" s="825" t="s">
        <v>419</v>
      </c>
      <c r="L35">
        <v>16</v>
      </c>
      <c r="M35" s="922">
        <f>'Daniel''s Metrics'!I19 -(L35+L36)</f>
        <v>28</v>
      </c>
    </row>
    <row r="36" spans="1:13" x14ac:dyDescent="0.2">
      <c r="A36" s="921"/>
      <c r="B36" s="825" t="s">
        <v>335</v>
      </c>
      <c r="C36" s="825" t="s">
        <v>375</v>
      </c>
      <c r="D36" s="838">
        <f>3+1+2+1+2+2</f>
        <v>11</v>
      </c>
      <c r="E36">
        <v>11</v>
      </c>
      <c r="F36" s="921"/>
      <c r="I36" s="921"/>
      <c r="J36" s="825" t="s">
        <v>335</v>
      </c>
      <c r="K36" s="825" t="s">
        <v>421</v>
      </c>
      <c r="L36">
        <v>12</v>
      </c>
      <c r="M36" s="921"/>
    </row>
    <row r="37" spans="1:13" x14ac:dyDescent="0.2">
      <c r="A37" s="840"/>
      <c r="B37" s="825"/>
      <c r="D37" s="838"/>
    </row>
    <row r="38" spans="1:13" x14ac:dyDescent="0.2">
      <c r="A38" s="840"/>
      <c r="B38" s="825"/>
      <c r="D38" s="838"/>
    </row>
  </sheetData>
  <mergeCells count="70">
    <mergeCell ref="F35:F36"/>
    <mergeCell ref="F23:F24"/>
    <mergeCell ref="F25:F26"/>
    <mergeCell ref="F27:F28"/>
    <mergeCell ref="F29:F30"/>
    <mergeCell ref="F31:F32"/>
    <mergeCell ref="F33:F34"/>
    <mergeCell ref="A9:A10"/>
    <mergeCell ref="A7:A8"/>
    <mergeCell ref="A5:A6"/>
    <mergeCell ref="A1:F1"/>
    <mergeCell ref="F3:F4"/>
    <mergeCell ref="F5:F6"/>
    <mergeCell ref="F7:F8"/>
    <mergeCell ref="F9:F10"/>
    <mergeCell ref="A3:A4"/>
    <mergeCell ref="A15:A16"/>
    <mergeCell ref="F11:F12"/>
    <mergeCell ref="F13:F14"/>
    <mergeCell ref="F15:F16"/>
    <mergeCell ref="A25:A26"/>
    <mergeCell ref="A23:A24"/>
    <mergeCell ref="A21:A22"/>
    <mergeCell ref="A19:A20"/>
    <mergeCell ref="A17:A18"/>
    <mergeCell ref="A13:A14"/>
    <mergeCell ref="A11:A12"/>
    <mergeCell ref="F17:F18"/>
    <mergeCell ref="F19:F20"/>
    <mergeCell ref="F21:F22"/>
    <mergeCell ref="A35:A36"/>
    <mergeCell ref="A33:A34"/>
    <mergeCell ref="A31:A32"/>
    <mergeCell ref="A29:A30"/>
    <mergeCell ref="A27:A28"/>
    <mergeCell ref="I1:M1"/>
    <mergeCell ref="I3:I4"/>
    <mergeCell ref="M3:M4"/>
    <mergeCell ref="I5:I6"/>
    <mergeCell ref="M5:M6"/>
    <mergeCell ref="I7:I8"/>
    <mergeCell ref="M7:M8"/>
    <mergeCell ref="I9:I10"/>
    <mergeCell ref="M9:M10"/>
    <mergeCell ref="I11:I12"/>
    <mergeCell ref="M11:M12"/>
    <mergeCell ref="I13:I14"/>
    <mergeCell ref="M13:M14"/>
    <mergeCell ref="I15:I16"/>
    <mergeCell ref="M15:M16"/>
    <mergeCell ref="I17:I18"/>
    <mergeCell ref="M17:M18"/>
    <mergeCell ref="I19:I20"/>
    <mergeCell ref="M19:M20"/>
    <mergeCell ref="I21:I22"/>
    <mergeCell ref="M21:M22"/>
    <mergeCell ref="I23:I24"/>
    <mergeCell ref="M23:M24"/>
    <mergeCell ref="I25:I26"/>
    <mergeCell ref="M25:M26"/>
    <mergeCell ref="I27:I28"/>
    <mergeCell ref="M27:M28"/>
    <mergeCell ref="I29:I30"/>
    <mergeCell ref="M29:M30"/>
    <mergeCell ref="I31:I32"/>
    <mergeCell ref="M31:M32"/>
    <mergeCell ref="I33:I34"/>
    <mergeCell ref="M33:M34"/>
    <mergeCell ref="I35:I36"/>
    <mergeCell ref="M35:M36"/>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3FB856-119F-4F62-81D6-A3E58516B406}">
  <dimension ref="A1:AH266"/>
  <sheetViews>
    <sheetView workbookViewId="0">
      <selection activeCell="G6" sqref="G6"/>
    </sheetView>
  </sheetViews>
  <sheetFormatPr defaultRowHeight="12.75" x14ac:dyDescent="0.2"/>
  <cols>
    <col min="1" max="1" width="0.85546875" customWidth="1"/>
    <col min="2" max="2" width="10.7109375" customWidth="1"/>
    <col min="3" max="3" width="8.42578125" style="33" customWidth="1"/>
    <col min="4" max="4" width="8.42578125" customWidth="1"/>
    <col min="5" max="5" width="8.7109375" customWidth="1"/>
    <col min="6" max="11" width="8.42578125" customWidth="1"/>
    <col min="12" max="12" width="9" customWidth="1"/>
    <col min="13" max="13" width="9.7109375" customWidth="1"/>
    <col min="14" max="15" width="8.28515625" customWidth="1"/>
    <col min="16" max="17" width="8.5703125" customWidth="1"/>
    <col min="18" max="18" width="8.42578125" customWidth="1"/>
    <col min="19" max="21" width="9.140625" style="33"/>
    <col min="22" max="24" width="10.140625" customWidth="1"/>
    <col min="25" max="26" width="9.140625" customWidth="1"/>
    <col min="27" max="31" width="12.7109375" customWidth="1"/>
    <col min="32" max="32" width="9.140625" customWidth="1"/>
    <col min="33" max="34" width="10.7109375" customWidth="1"/>
  </cols>
  <sheetData>
    <row r="1" spans="1:34" ht="13.5" thickBot="1" x14ac:dyDescent="0.25">
      <c r="A1" s="32"/>
      <c r="U1" t="s">
        <v>376</v>
      </c>
    </row>
    <row r="2" spans="1:34" ht="14.25" thickTop="1" thickBot="1" x14ac:dyDescent="0.25">
      <c r="A2" s="32"/>
      <c r="B2" s="34" t="str">
        <f>IF($B$4,"Height (cm):","Height (in):")</f>
        <v>Height (in):</v>
      </c>
      <c r="C2" s="35">
        <v>71</v>
      </c>
      <c r="D2" s="36" t="s">
        <v>50</v>
      </c>
      <c r="E2" s="37">
        <v>34364</v>
      </c>
      <c r="F2" s="38"/>
      <c r="G2" s="937" t="s">
        <v>51</v>
      </c>
      <c r="H2" s="937"/>
      <c r="I2" s="937"/>
      <c r="J2" s="937"/>
      <c r="K2" s="937"/>
      <c r="L2" s="937"/>
      <c r="M2" s="937"/>
      <c r="N2" s="38"/>
      <c r="O2" s="38"/>
      <c r="P2" s="39"/>
      <c r="Q2" s="40" t="s">
        <v>52</v>
      </c>
      <c r="R2" s="41">
        <v>44166</v>
      </c>
    </row>
    <row r="3" spans="1:34" ht="13.5" thickBot="1" x14ac:dyDescent="0.25">
      <c r="B3" s="42" t="str">
        <f>"Weight"&amp;IF($B$4," (kg):"," (lb):")</f>
        <v>Weight (lb):</v>
      </c>
      <c r="C3" s="43">
        <v>155</v>
      </c>
      <c r="D3" s="44" t="s">
        <v>53</v>
      </c>
      <c r="E3" s="45">
        <v>201</v>
      </c>
      <c r="G3" s="938"/>
      <c r="H3" s="938"/>
      <c r="I3" s="938"/>
      <c r="J3" s="938"/>
      <c r="K3" s="938"/>
      <c r="L3" s="938"/>
      <c r="M3" s="938"/>
      <c r="P3" s="939" t="str">
        <f>P73</f>
        <v>Male Peak Potential - 5k</v>
      </c>
      <c r="Q3" s="940"/>
      <c r="R3" s="941"/>
      <c r="S3" s="6" t="s">
        <v>54</v>
      </c>
      <c r="T3" s="6"/>
      <c r="U3" s="6"/>
      <c r="V3" s="6"/>
    </row>
    <row r="4" spans="1:34" ht="13.5" thickBot="1" x14ac:dyDescent="0.25">
      <c r="B4" s="46" t="b">
        <v>0</v>
      </c>
      <c r="C4" s="47" t="b">
        <v>1</v>
      </c>
      <c r="D4" s="48" t="s">
        <v>55</v>
      </c>
      <c r="E4" s="49">
        <v>54</v>
      </c>
      <c r="F4" s="50"/>
      <c r="G4" s="942" t="s">
        <v>56</v>
      </c>
      <c r="H4" s="942"/>
      <c r="I4" s="942"/>
      <c r="J4" s="942"/>
      <c r="K4" s="942"/>
      <c r="L4" s="942"/>
      <c r="M4" s="942"/>
      <c r="N4" s="51"/>
      <c r="O4" s="52" t="b">
        <v>0</v>
      </c>
      <c r="P4" s="943" t="str">
        <f>"Open Class Standard:"</f>
        <v>Open Class Standard:</v>
      </c>
      <c r="Q4" s="944"/>
      <c r="R4" s="53">
        <f>R74</f>
        <v>9.0162037037037034E-3</v>
      </c>
      <c r="S4" s="6" t="s">
        <v>57</v>
      </c>
      <c r="T4" s="6"/>
      <c r="U4" s="6"/>
      <c r="V4" s="6"/>
      <c r="W4" s="945" t="s">
        <v>58</v>
      </c>
      <c r="X4" s="946"/>
      <c r="Y4" s="946"/>
      <c r="Z4" s="946"/>
      <c r="AA4" s="946"/>
      <c r="AB4" s="946"/>
      <c r="AC4" s="946"/>
      <c r="AD4" s="946"/>
      <c r="AE4" s="946"/>
      <c r="AF4" s="946"/>
      <c r="AG4" s="947"/>
    </row>
    <row r="5" spans="1:34" ht="14.25" thickTop="1" thickBot="1" x14ac:dyDescent="0.25">
      <c r="B5" s="948" t="s">
        <v>59</v>
      </c>
      <c r="C5" s="949"/>
      <c r="D5" s="949"/>
      <c r="E5" s="54">
        <f ca="1">IF(AND(DATEDIF($E$2,NOW(),"y")&gt;=0,DATEDIF($E$2,NOW(),"y")&lt;110),DATEDIF($E$2,NOW(),"y"),"Birthdate?")</f>
        <v>31</v>
      </c>
      <c r="G5" s="24" t="s">
        <v>60</v>
      </c>
      <c r="H5" s="55"/>
      <c r="I5" s="950" t="str">
        <f ca="1">IF(R5="No Std","Custom Entry - No Std",IF(R5="Birthdate?",R5,"AGP  " &amp; IF($C$4,"M-","F-")&amp;$E$5&amp;":   "&amp;TEXT($R$5/$G$6,"0.00%")))</f>
        <v>AGP  M-31:   80.14%</v>
      </c>
      <c r="J5" s="951"/>
      <c r="K5" s="952" t="s">
        <v>61</v>
      </c>
      <c r="L5" s="953"/>
      <c r="M5" s="953"/>
      <c r="N5" s="56" t="s">
        <v>62</v>
      </c>
      <c r="O5" s="57" t="s">
        <v>63</v>
      </c>
      <c r="P5" s="954" t="str">
        <f ca="1">"Age "&amp;TEXT(E5,"#")&amp; " Standard:"</f>
        <v>Age 31 Standard:</v>
      </c>
      <c r="Q5" s="955"/>
      <c r="R5" s="58">
        <f ca="1">R75</f>
        <v>9.0252891614595737E-3</v>
      </c>
      <c r="S5" s="59">
        <v>15</v>
      </c>
      <c r="T5" s="6"/>
      <c r="U5" s="6"/>
      <c r="V5" s="6"/>
    </row>
    <row r="6" spans="1:34" ht="14.25" thickTop="1" thickBot="1" x14ac:dyDescent="0.25">
      <c r="B6" s="60" t="str">
        <f>"Powered by "&amp;IF($G$16=1,"Daniels","Riegel")</f>
        <v>Powered by Riegel</v>
      </c>
      <c r="C6" s="61">
        <v>1.06</v>
      </c>
      <c r="D6" s="62" t="s">
        <v>64</v>
      </c>
      <c r="E6" s="63" t="s">
        <v>78</v>
      </c>
      <c r="F6" s="62" t="s">
        <v>66</v>
      </c>
      <c r="G6" s="64">
        <v>1.1261574074074075E-2</v>
      </c>
      <c r="H6" s="65"/>
      <c r="I6" s="956">
        <f>IF(AND($E$6&gt;0,$G$6&gt;0),(-4.6 + 0.182258 * (F8/G6/1440) + 0.000104 *(F8/G6/1440)^2)/D9,1)</f>
        <v>63.579351807379361</v>
      </c>
      <c r="J6" s="957"/>
      <c r="K6" s="66" t="s">
        <v>67</v>
      </c>
      <c r="L6" s="67">
        <f>IF(AND($E$6&gt;0,$G$6&gt;0),(1609.344/(29.54 + 5.000663 * ($I$6*0.88) - 0.007546 * ($I$6*0.88)^2)/1440),"-")</f>
        <v>3.9117357661323827E-3</v>
      </c>
      <c r="M6" s="68">
        <f>+L6*0.621371192</f>
        <v>2.430639915790712E-3</v>
      </c>
      <c r="N6" s="69" t="str">
        <f>IF($E$3&gt;0,TEXT(88*IF(O4,(1+C9),1),"00")&amp;" - "&amp;TEXT(0.92*IF(O4,(1+C9),1),"0%"),"")</f>
        <v>88 - 92%</v>
      </c>
      <c r="O6" s="70" t="str">
        <f>IF($E$3&gt;0,TEXT(0.88*E3*IF(O4,(1+C9),1),"0")&amp;" - "&amp;TEXT(0.92*E3*IF(O4,(1+C9),1),"0"),"")</f>
        <v>177 - 185</v>
      </c>
      <c r="P6" s="926" t="str">
        <f>"Peak Potential at "&amp;ROUND(C3,1)&amp;IF(B4," kg"," lb")</f>
        <v>Peak Potential at 155 lb</v>
      </c>
      <c r="Q6" s="927"/>
      <c r="R6" s="71">
        <f ca="1">R78</f>
        <v>1.027079005252729E-2</v>
      </c>
      <c r="S6" s="72">
        <v>1</v>
      </c>
      <c r="T6" s="6"/>
      <c r="U6" s="6"/>
      <c r="V6" s="6" t="s">
        <v>382</v>
      </c>
      <c r="W6" s="825" t="s">
        <v>456</v>
      </c>
      <c r="Y6" t="s">
        <v>2</v>
      </c>
      <c r="Z6" s="867">
        <v>0.20416666666666669</v>
      </c>
    </row>
    <row r="7" spans="1:34" ht="14.25" thickTop="1" thickBot="1" x14ac:dyDescent="0.25">
      <c r="B7" s="73"/>
      <c r="C7" s="74" t="s">
        <v>68</v>
      </c>
      <c r="D7" s="75" t="s">
        <v>69</v>
      </c>
      <c r="E7" s="928" t="s">
        <v>70</v>
      </c>
      <c r="F7" s="929"/>
      <c r="G7" s="930"/>
      <c r="H7" s="76" t="s">
        <v>71</v>
      </c>
      <c r="I7" s="77" t="s">
        <v>72</v>
      </c>
      <c r="J7" s="78" t="s">
        <v>65</v>
      </c>
      <c r="K7" s="79" t="s">
        <v>73</v>
      </c>
      <c r="L7" s="79" t="s">
        <v>74</v>
      </c>
      <c r="M7" s="79" t="s">
        <v>75</v>
      </c>
      <c r="N7" s="79" t="s">
        <v>76</v>
      </c>
      <c r="O7" s="80" t="s">
        <v>77</v>
      </c>
      <c r="P7" s="79" t="s">
        <v>78</v>
      </c>
      <c r="Q7" s="81" t="s">
        <v>79</v>
      </c>
      <c r="R7" s="82" t="s">
        <v>80</v>
      </c>
      <c r="S7" s="83"/>
      <c r="T7" s="6"/>
      <c r="U7" s="6"/>
      <c r="V7" s="6" t="s">
        <v>33</v>
      </c>
      <c r="W7" s="825" t="s">
        <v>457</v>
      </c>
    </row>
    <row r="8" spans="1:34" x14ac:dyDescent="0.2">
      <c r="B8" s="84" t="s">
        <v>81</v>
      </c>
      <c r="C8" s="85">
        <v>1</v>
      </c>
      <c r="D8" s="931">
        <f>IF(E6="Custom",S8,HLOOKUP(E6,J7:P8,2,0))</f>
        <v>3.1068559611866697</v>
      </c>
      <c r="E8" s="932"/>
      <c r="F8" s="933">
        <f>IF(E6="Custom",S9,HLOOKUP(E6,J7:P9,3,0))</f>
        <v>5000</v>
      </c>
      <c r="G8" s="934"/>
      <c r="H8" s="935" t="s">
        <v>82</v>
      </c>
      <c r="I8" s="936"/>
      <c r="J8" s="86">
        <f>J9/1609.344</f>
        <v>26.218757456454306</v>
      </c>
      <c r="K8" s="87">
        <f t="shared" ref="K8:Q8" si="0">K9/1609.344</f>
        <v>13.109378728227153</v>
      </c>
      <c r="L8" s="87">
        <f t="shared" si="0"/>
        <v>9.3205678835600096</v>
      </c>
      <c r="M8" s="87">
        <f t="shared" si="0"/>
        <v>7.4564543068480074</v>
      </c>
      <c r="N8" s="87">
        <f t="shared" si="0"/>
        <v>6.2137119223733395</v>
      </c>
      <c r="O8" s="87">
        <f t="shared" si="0"/>
        <v>4.9709695378986716</v>
      </c>
      <c r="P8" s="87">
        <f t="shared" si="0"/>
        <v>3.1068559611866697</v>
      </c>
      <c r="Q8" s="88">
        <f t="shared" si="0"/>
        <v>1.8641135767120018</v>
      </c>
      <c r="R8" s="89">
        <v>1</v>
      </c>
      <c r="S8" s="90">
        <f>IF($S$6=1,S5,S5/1.609344)</f>
        <v>15</v>
      </c>
      <c r="T8" s="6"/>
      <c r="U8" s="6"/>
      <c r="V8" s="6" t="s">
        <v>34</v>
      </c>
      <c r="W8" s="825" t="s">
        <v>458</v>
      </c>
    </row>
    <row r="9" spans="1:34" ht="13.5" thickBot="1" x14ac:dyDescent="0.25">
      <c r="A9" s="91"/>
      <c r="B9" s="92" t="s">
        <v>83</v>
      </c>
      <c r="C9" s="93">
        <v>0</v>
      </c>
      <c r="D9" s="973">
        <f>IF($G$6&gt;0,0.8+0.1894393 * EXP(-0.012778*G6*1440)+0.2989558* EXP(-0.1932605*G6*1440),0)</f>
        <v>0.96700150145062314</v>
      </c>
      <c r="E9" s="974"/>
      <c r="F9" s="94" t="str">
        <f>"▼2nd ed 67%"</f>
        <v>▼2nd ed 67%</v>
      </c>
      <c r="G9" s="95" t="str">
        <f>"1st ed 70%▼"</f>
        <v>1st ed 70%▼</v>
      </c>
      <c r="H9" s="975" t="s">
        <v>84</v>
      </c>
      <c r="I9" s="976"/>
      <c r="J9" s="96">
        <v>42195</v>
      </c>
      <c r="K9" s="97">
        <f>J9/2</f>
        <v>21097.5</v>
      </c>
      <c r="L9" s="97">
        <v>15000</v>
      </c>
      <c r="M9" s="97">
        <v>12000</v>
      </c>
      <c r="N9" s="97">
        <v>10000</v>
      </c>
      <c r="O9" s="97">
        <v>8000</v>
      </c>
      <c r="P9" s="97">
        <v>5000</v>
      </c>
      <c r="Q9" s="98">
        <v>3000</v>
      </c>
      <c r="R9" s="99">
        <f>+R8*1609.344</f>
        <v>1609.3440000000001</v>
      </c>
      <c r="S9" s="100">
        <f>IF($S$6=2,S5*1000,S5*1609.344)</f>
        <v>24140.16</v>
      </c>
      <c r="T9" s="6"/>
      <c r="U9" s="6"/>
      <c r="V9" s="6" t="s">
        <v>383</v>
      </c>
      <c r="W9" s="825" t="s">
        <v>459</v>
      </c>
    </row>
    <row r="10" spans="1:34" ht="13.5" thickBot="1" x14ac:dyDescent="0.25">
      <c r="A10" s="33"/>
      <c r="B10" s="101"/>
      <c r="C10" s="102"/>
      <c r="D10" s="103">
        <v>0.59</v>
      </c>
      <c r="E10" s="103">
        <v>0.63</v>
      </c>
      <c r="F10" s="103">
        <v>0.67</v>
      </c>
      <c r="G10" s="103">
        <v>0.7</v>
      </c>
      <c r="H10" s="103">
        <f>$G$10+(($J$10-$G$10)*0.3333)</f>
        <v>0.74198313278348915</v>
      </c>
      <c r="I10" s="104">
        <f>$G$10+(($J$10-$G$10)*0.6667)</f>
        <v>0.78397886176643328</v>
      </c>
      <c r="J10" s="105">
        <f t="shared" ref="J10:S10" si="1">IF($G$6&gt;0,0.8+0.1894393 * EXP(-0.012778*J16*1440)+0.2989558* EXP(-0.1932605*J16*1440),0)</f>
        <v>0.82596199454992247</v>
      </c>
      <c r="K10" s="106">
        <f t="shared" si="1"/>
        <v>0.87302730319901356</v>
      </c>
      <c r="L10" s="106">
        <f t="shared" si="1"/>
        <v>0.89753335961951231</v>
      </c>
      <c r="M10" s="106">
        <f t="shared" si="1"/>
        <v>0.91226794806763423</v>
      </c>
      <c r="N10" s="106">
        <f t="shared" si="1"/>
        <v>0.9234161147608092</v>
      </c>
      <c r="O10" s="106">
        <f t="shared" si="1"/>
        <v>0.93641870344771949</v>
      </c>
      <c r="P10" s="106">
        <f t="shared" si="1"/>
        <v>0.96700150145062314</v>
      </c>
      <c r="Q10" s="106">
        <f t="shared" si="1"/>
        <v>1.0161819989720546</v>
      </c>
      <c r="R10" s="107">
        <f t="shared" si="1"/>
        <v>1.0944936456265038</v>
      </c>
      <c r="S10" s="108">
        <f t="shared" si="1"/>
        <v>0.86308633322246453</v>
      </c>
      <c r="T10" s="6"/>
      <c r="V10" s="6" t="s">
        <v>78</v>
      </c>
      <c r="W10" s="263">
        <v>0.67569444444444449</v>
      </c>
      <c r="X10" s="877">
        <v>45913</v>
      </c>
      <c r="Y10" s="33"/>
      <c r="Z10" s="33"/>
      <c r="AA10" s="33"/>
      <c r="AB10" s="33"/>
      <c r="AC10" s="33"/>
      <c r="AD10" s="33"/>
      <c r="AE10" s="33"/>
      <c r="AF10" s="33"/>
      <c r="AG10" s="33"/>
      <c r="AH10" s="33"/>
    </row>
    <row r="11" spans="1:34" x14ac:dyDescent="0.2">
      <c r="A11" s="109"/>
      <c r="B11" s="110"/>
      <c r="C11" s="111" t="str">
        <f>"% of HRmax "&amp;IF(AND(C9&lt;&gt;0,C9&lt;&gt;""),"("&amp;TEXT(C9,"+0.0%;-0.0%")&amp;") ","")</f>
        <v xml:space="preserve">% of HRmax </v>
      </c>
      <c r="D11" s="112">
        <f>MIN(1,IF($C$8=4,(0.6463*D10)+0.37182,IF($C$8=3,(D10 + 0.345)/1.303,IF($C$8=2,(D10+0.293)/1.3,(0.855*D10)+0.1578)))*(1+$C$9))</f>
        <v>0.66225000000000001</v>
      </c>
      <c r="E11" s="112">
        <f t="shared" ref="E11:S11" si="2">MIN(1,IF($C$8=4,(0.6463*E10)+0.37182,IF($C$8=3,(E10 + 0.345)/1.303,IF($C$8=2,(E10+0.293)/1.3,(0.855*E10)+0.1578)))*(1+$C$9))</f>
        <v>0.69645000000000001</v>
      </c>
      <c r="F11" s="112">
        <f t="shared" si="2"/>
        <v>0.73065000000000002</v>
      </c>
      <c r="G11" s="112">
        <f t="shared" si="2"/>
        <v>0.75629999999999997</v>
      </c>
      <c r="H11" s="112">
        <f t="shared" si="2"/>
        <v>0.79219557852988332</v>
      </c>
      <c r="I11" s="112">
        <f t="shared" si="2"/>
        <v>0.82810192681030048</v>
      </c>
      <c r="J11" s="113">
        <f t="shared" si="2"/>
        <v>0.8639975053401836</v>
      </c>
      <c r="K11" s="114">
        <f t="shared" si="2"/>
        <v>0.90423834423515648</v>
      </c>
      <c r="L11" s="114">
        <f t="shared" si="2"/>
        <v>0.9251910224746831</v>
      </c>
      <c r="M11" s="114">
        <f t="shared" si="2"/>
        <v>0.93778909559782719</v>
      </c>
      <c r="N11" s="114">
        <f t="shared" si="2"/>
        <v>0.94732077812049176</v>
      </c>
      <c r="O11" s="114">
        <f t="shared" si="2"/>
        <v>0.95843799144780006</v>
      </c>
      <c r="P11" s="114">
        <f t="shared" si="2"/>
        <v>0.98458628374028279</v>
      </c>
      <c r="Q11" s="114">
        <f t="shared" si="2"/>
        <v>1</v>
      </c>
      <c r="R11" s="115">
        <f t="shared" si="2"/>
        <v>1</v>
      </c>
      <c r="S11" s="116">
        <f t="shared" si="2"/>
        <v>0.89573881490520724</v>
      </c>
      <c r="T11" s="6"/>
      <c r="V11" s="6" t="s">
        <v>76</v>
      </c>
      <c r="W11" s="500">
        <v>2.3958333333333335E-2</v>
      </c>
      <c r="X11" s="877">
        <v>45802</v>
      </c>
      <c r="Y11" s="117"/>
      <c r="Z11" s="33"/>
      <c r="AA11" s="33"/>
      <c r="AB11" s="33"/>
      <c r="AC11" s="33"/>
      <c r="AD11" s="33"/>
      <c r="AE11" s="33"/>
      <c r="AF11" s="33"/>
      <c r="AG11" s="33"/>
      <c r="AH11" s="118"/>
    </row>
    <row r="12" spans="1:34" ht="13.5" thickBot="1" x14ac:dyDescent="0.25">
      <c r="A12" s="109"/>
      <c r="B12" s="119"/>
      <c r="C12" s="120" t="str">
        <f>"% HR Reserve "</f>
        <v xml:space="preserve">% HR Reserve </v>
      </c>
      <c r="D12" s="121">
        <f t="shared" ref="D12:S12" si="3">IF(AND($E$3&gt;0,$E$4&gt;0),(D13-$E$4)/($E$3-$E$4),"-")</f>
        <v>0.5381785714285714</v>
      </c>
      <c r="E12" s="121">
        <f t="shared" si="3"/>
        <v>0.5849418367346938</v>
      </c>
      <c r="F12" s="121">
        <f t="shared" si="3"/>
        <v>0.63170510204081631</v>
      </c>
      <c r="G12" s="121">
        <f t="shared" si="3"/>
        <v>0.66677755102040814</v>
      </c>
      <c r="H12" s="121">
        <f t="shared" si="3"/>
        <v>0.71585926043882009</v>
      </c>
      <c r="I12" s="122">
        <f t="shared" si="3"/>
        <v>0.76495569584265588</v>
      </c>
      <c r="J12" s="123">
        <f t="shared" si="3"/>
        <v>0.81403740526106738</v>
      </c>
      <c r="K12" s="121">
        <f t="shared" si="3"/>
        <v>0.86906059313786699</v>
      </c>
      <c r="L12" s="121">
        <f t="shared" si="3"/>
        <v>0.89771017358783201</v>
      </c>
      <c r="M12" s="121">
        <f t="shared" si="3"/>
        <v>0.9149361103072331</v>
      </c>
      <c r="N12" s="121">
        <f t="shared" si="3"/>
        <v>0.92796922722597863</v>
      </c>
      <c r="O12" s="121">
        <f t="shared" si="3"/>
        <v>0.94317031483678782</v>
      </c>
      <c r="P12" s="121">
        <f t="shared" si="3"/>
        <v>0.97892410225712134</v>
      </c>
      <c r="Q12" s="121">
        <f t="shared" si="3"/>
        <v>1</v>
      </c>
      <c r="R12" s="124">
        <f t="shared" si="3"/>
        <v>1</v>
      </c>
      <c r="S12" s="125">
        <f t="shared" si="3"/>
        <v>0.85743878772752835</v>
      </c>
      <c r="T12" s="6"/>
      <c r="V12" s="874" t="s">
        <v>507</v>
      </c>
      <c r="W12" s="500">
        <v>3.7164351851851851E-2</v>
      </c>
      <c r="X12" s="878">
        <v>45897</v>
      </c>
      <c r="Y12" s="33"/>
      <c r="Z12" s="33"/>
      <c r="AA12" s="33"/>
      <c r="AB12" s="33"/>
      <c r="AC12" s="33"/>
      <c r="AD12" s="33"/>
      <c r="AE12" s="33"/>
      <c r="AF12" s="33"/>
      <c r="AG12" s="33"/>
      <c r="AH12" s="109"/>
    </row>
    <row r="13" spans="1:34" ht="13.5" thickBot="1" x14ac:dyDescent="0.25">
      <c r="A13" s="109"/>
      <c r="B13" s="126" t="str">
        <f>"HR Profile "&amp;IF(AND(C8&gt;=1,C8&lt;=4),C8,1)</f>
        <v>HR Profile 1</v>
      </c>
      <c r="C13" s="127" t="str">
        <f>"HR bpm "</f>
        <v xml:space="preserve">HR bpm </v>
      </c>
      <c r="D13" s="128">
        <f t="shared" ref="D13:S13" si="4">IF($E$3&gt;0,D11*$E$3,"-")</f>
        <v>133.11224999999999</v>
      </c>
      <c r="E13" s="128">
        <f t="shared" si="4"/>
        <v>139.98644999999999</v>
      </c>
      <c r="F13" s="128">
        <f t="shared" si="4"/>
        <v>146.86064999999999</v>
      </c>
      <c r="G13" s="128">
        <f t="shared" si="4"/>
        <v>152.0163</v>
      </c>
      <c r="H13" s="128">
        <f t="shared" si="4"/>
        <v>159.23131128450655</v>
      </c>
      <c r="I13" s="129">
        <f t="shared" si="4"/>
        <v>166.44848728887041</v>
      </c>
      <c r="J13" s="130">
        <f t="shared" si="4"/>
        <v>173.6634985733769</v>
      </c>
      <c r="K13" s="128">
        <f t="shared" si="4"/>
        <v>181.75190719126644</v>
      </c>
      <c r="L13" s="128">
        <f t="shared" si="4"/>
        <v>185.9633955174113</v>
      </c>
      <c r="M13" s="128">
        <f t="shared" si="4"/>
        <v>188.49560821516326</v>
      </c>
      <c r="N13" s="128">
        <f t="shared" si="4"/>
        <v>190.41147640221885</v>
      </c>
      <c r="O13" s="128">
        <f t="shared" si="4"/>
        <v>192.64603628100781</v>
      </c>
      <c r="P13" s="128">
        <f t="shared" si="4"/>
        <v>197.90184303179683</v>
      </c>
      <c r="Q13" s="128">
        <f t="shared" si="4"/>
        <v>201</v>
      </c>
      <c r="R13" s="131">
        <f t="shared" si="4"/>
        <v>201</v>
      </c>
      <c r="S13" s="132">
        <f t="shared" si="4"/>
        <v>180.04350179594667</v>
      </c>
      <c r="T13" s="6"/>
      <c r="U13" s="6"/>
      <c r="V13" s="875" t="s">
        <v>508</v>
      </c>
      <c r="W13" s="876">
        <v>4.0625000000000001E-2</v>
      </c>
      <c r="Y13" s="33"/>
      <c r="Z13" s="33"/>
      <c r="AA13" s="33"/>
      <c r="AB13" s="33"/>
      <c r="AC13" s="33"/>
      <c r="AD13" s="33"/>
      <c r="AE13" s="33"/>
      <c r="AF13" s="33"/>
      <c r="AG13" s="33"/>
      <c r="AH13" s="109"/>
    </row>
    <row r="14" spans="1:34" x14ac:dyDescent="0.2">
      <c r="A14" s="133" t="b">
        <v>0</v>
      </c>
      <c r="B14" s="134" t="s">
        <v>85</v>
      </c>
      <c r="C14" s="127" t="str">
        <f>IF($A$14,"MPH ","Pace / Mile ")</f>
        <v xml:space="preserve">Pace / Mile </v>
      </c>
      <c r="D14" s="135">
        <f t="shared" ref="D14:I14" si="5">IF(AND($E$6&gt;0,$G$6&gt;0),IF($A$14,60/(1609.344/(29.54+5.000663*($I$6*(D10))-0.007546*($I$6*(D10))^2))/(1+W219),1609.344/(29.54+5.000663*($I$6*(D10))-0.007546*($I$6*(D10))^2)/1440*(1+W219)),"")</f>
        <v>5.4129019276266555E-3</v>
      </c>
      <c r="E14" s="135">
        <f t="shared" si="5"/>
        <v>5.1337483869389753E-3</v>
      </c>
      <c r="F14" s="135">
        <f t="shared" si="5"/>
        <v>4.8840578661331546E-3</v>
      </c>
      <c r="G14" s="135">
        <f t="shared" si="5"/>
        <v>4.7134411074690862E-3</v>
      </c>
      <c r="H14" s="135">
        <f t="shared" si="5"/>
        <v>4.4954203754617918E-3</v>
      </c>
      <c r="I14" s="136">
        <f t="shared" si="5"/>
        <v>4.2983975576346822E-3</v>
      </c>
      <c r="J14" s="137">
        <f t="shared" ref="J14:S14" si="6">IF(AND($E$6&gt;0,$G$6&gt;0),IF($A$14,60/(J16/J8)/1440,J16/J8),"-")</f>
        <v>4.1196036842071375E-3</v>
      </c>
      <c r="K14" s="135">
        <f t="shared" si="6"/>
        <v>3.9517880001000713E-3</v>
      </c>
      <c r="L14" s="135">
        <f t="shared" si="6"/>
        <v>3.8717316967182172E-3</v>
      </c>
      <c r="M14" s="135">
        <f t="shared" si="6"/>
        <v>3.820240049134345E-3</v>
      </c>
      <c r="N14" s="135">
        <f t="shared" si="6"/>
        <v>3.7786770716316813E-3</v>
      </c>
      <c r="O14" s="135">
        <f t="shared" si="6"/>
        <v>3.7284229932639484E-3</v>
      </c>
      <c r="P14" s="135">
        <f t="shared" si="6"/>
        <v>3.6247493333333336E-3</v>
      </c>
      <c r="Q14" s="135">
        <f t="shared" si="6"/>
        <v>3.51533771563599E-3</v>
      </c>
      <c r="R14" s="138">
        <f t="shared" si="6"/>
        <v>3.3864035559680841E-3</v>
      </c>
      <c r="S14" s="139">
        <f t="shared" si="6"/>
        <v>3.9838610908637159E-3</v>
      </c>
      <c r="T14" s="6"/>
      <c r="U14" s="6"/>
      <c r="V14" s="875" t="s">
        <v>506</v>
      </c>
      <c r="W14" s="500">
        <v>3.9942129629629633E-2</v>
      </c>
      <c r="X14" s="879">
        <v>45897</v>
      </c>
      <c r="Y14" s="33"/>
      <c r="Z14" s="33"/>
      <c r="AA14" s="33"/>
      <c r="AB14" s="33"/>
      <c r="AF14" s="33"/>
      <c r="AG14" s="33"/>
      <c r="AH14" s="118"/>
    </row>
    <row r="15" spans="1:34" ht="13.5" thickBot="1" x14ac:dyDescent="0.25">
      <c r="B15" s="140"/>
      <c r="C15" s="127" t="str">
        <f>IF($A$14,"KMH ","Pace / km ")</f>
        <v xml:space="preserve">Pace / km </v>
      </c>
      <c r="D15" s="141">
        <f>IF(D14&lt;&gt;"-",IF($A$14,D14/0.621371192,D14*0.621371192),"-")</f>
        <v>3.3634213229484728E-3</v>
      </c>
      <c r="E15" s="141">
        <f t="shared" ref="E15:S15" si="7">IF(E14&lt;&gt;"-",IF($A$14,E14/0.621371192,E14*0.621371192),"-")</f>
        <v>3.1899633546203484E-3</v>
      </c>
      <c r="F15" s="142">
        <f t="shared" si="7"/>
        <v>3.0348128580761349E-3</v>
      </c>
      <c r="G15" s="142">
        <f t="shared" si="7"/>
        <v>2.9287965193698661E-3</v>
      </c>
      <c r="H15" s="142">
        <f t="shared" si="7"/>
        <v>2.7933247172417814E-3</v>
      </c>
      <c r="I15" s="143">
        <f t="shared" si="7"/>
        <v>2.6709004140773513E-3</v>
      </c>
      <c r="J15" s="144">
        <f t="shared" si="7"/>
        <v>2.5598030518233805E-3</v>
      </c>
      <c r="K15" s="142">
        <f t="shared" si="7"/>
        <v>2.4555272201534774E-3</v>
      </c>
      <c r="L15" s="142">
        <f t="shared" si="7"/>
        <v>2.4057825394939811E-3</v>
      </c>
      <c r="M15" s="142">
        <f t="shared" si="7"/>
        <v>2.3737871130567467E-3</v>
      </c>
      <c r="N15" s="142">
        <f t="shared" si="7"/>
        <v>2.3479610761828473E-3</v>
      </c>
      <c r="O15" s="142">
        <f t="shared" si="7"/>
        <v>2.3167346396046275E-3</v>
      </c>
      <c r="P15" s="142">
        <f t="shared" si="7"/>
        <v>2.2523148139545388E-3</v>
      </c>
      <c r="Q15" s="142">
        <f t="shared" si="7"/>
        <v>2.1843295866472924E-3</v>
      </c>
      <c r="R15" s="145">
        <f t="shared" si="7"/>
        <v>2.1042136141649274E-3</v>
      </c>
      <c r="S15" s="146">
        <f t="shared" si="7"/>
        <v>2.4754565147924075E-3</v>
      </c>
      <c r="T15" s="6"/>
      <c r="U15" s="6"/>
      <c r="V15" s="6" t="s">
        <v>505</v>
      </c>
      <c r="W15" s="876">
        <v>5.2881944444444447E-2</v>
      </c>
      <c r="X15" s="880">
        <v>45906</v>
      </c>
      <c r="AC15" s="4"/>
    </row>
    <row r="16" spans="1:34" ht="13.5" thickBot="1" x14ac:dyDescent="0.25">
      <c r="B16" s="147" t="s">
        <v>86</v>
      </c>
      <c r="C16" s="148"/>
      <c r="D16" s="149" t="b">
        <v>0</v>
      </c>
      <c r="E16" s="150" t="b">
        <v>0</v>
      </c>
      <c r="F16" s="151"/>
      <c r="G16" s="152">
        <v>2</v>
      </c>
      <c r="H16" s="153"/>
      <c r="I16" s="154" t="s">
        <v>87</v>
      </c>
      <c r="J16" s="155">
        <f t="shared" ref="J16:S16" si="8">IF(AND($E$6&gt;0,$G$6&gt;0),IF($G$16=1,(J9/(29.54+5.000663*($I$6*(J10))-0.007546*($I$6*(J10))^2)/1440),$G$6*(J8/$D$8)^$C$6),"-")</f>
        <v>0.1080108898129425</v>
      </c>
      <c r="K16" s="156">
        <f t="shared" si="8"/>
        <v>5.18054855469752E-2</v>
      </c>
      <c r="L16" s="156">
        <f t="shared" si="8"/>
        <v>3.6086738106193117E-2</v>
      </c>
      <c r="M16" s="156">
        <f t="shared" si="8"/>
        <v>2.8485445367561028E-2</v>
      </c>
      <c r="N16" s="156">
        <f t="shared" si="8"/>
        <v>2.3479610770796557E-2</v>
      </c>
      <c r="O16" s="156">
        <f t="shared" si="8"/>
        <v>1.8533877123916073E-2</v>
      </c>
      <c r="P16" s="156">
        <f t="shared" si="8"/>
        <v>1.1261574074074075E-2</v>
      </c>
      <c r="Q16" s="156">
        <f t="shared" si="8"/>
        <v>6.5529887624448035E-3</v>
      </c>
      <c r="R16" s="157">
        <f t="shared" si="8"/>
        <v>3.3864035559680841E-3</v>
      </c>
      <c r="S16" s="158">
        <f t="shared" si="8"/>
        <v>5.9757916362955743E-2</v>
      </c>
      <c r="T16" s="6"/>
      <c r="U16" s="6"/>
      <c r="V16" s="6">
        <v>15</v>
      </c>
      <c r="W16" s="870">
        <v>6.0624999999999998E-2</v>
      </c>
      <c r="X16" s="879">
        <v>45906</v>
      </c>
      <c r="AC16" s="4"/>
      <c r="AH16" s="159"/>
    </row>
    <row r="17" spans="2:28" ht="14.25" thickTop="1" thickBot="1" x14ac:dyDescent="0.25">
      <c r="B17" s="160"/>
      <c r="C17" s="160"/>
      <c r="D17" s="160"/>
      <c r="E17" s="160"/>
      <c r="F17" s="160"/>
      <c r="G17" s="160"/>
      <c r="H17" s="977" t="s">
        <v>88</v>
      </c>
      <c r="I17" s="977"/>
      <c r="J17" s="977"/>
      <c r="K17" s="977"/>
      <c r="L17" s="977"/>
      <c r="M17" s="161" t="s">
        <v>89</v>
      </c>
      <c r="N17" s="161"/>
      <c r="O17" s="161"/>
      <c r="P17" s="160"/>
      <c r="Q17" s="160"/>
      <c r="R17" s="162"/>
      <c r="S17" s="162"/>
      <c r="U17" s="6"/>
      <c r="V17" s="6"/>
    </row>
    <row r="18" spans="2:28" ht="14.25" thickTop="1" thickBot="1" x14ac:dyDescent="0.25">
      <c r="B18" s="163"/>
      <c r="C18" s="164" t="s">
        <v>90</v>
      </c>
      <c r="D18" s="165">
        <f t="shared" ref="D18:I18" si="9">IF(D11&lt;0.55,"-",LOOKUP((0.5197*D11^2)+(0.2662*D11)+0.1999,$Z$135:$Z$214,$AB$135:$AB$214))</f>
        <v>0.11</v>
      </c>
      <c r="E18" s="166">
        <f t="shared" si="9"/>
        <v>0.1585</v>
      </c>
      <c r="F18" s="167">
        <f t="shared" si="9"/>
        <v>0.217</v>
      </c>
      <c r="G18" s="168">
        <f t="shared" si="9"/>
        <v>0.25</v>
      </c>
      <c r="H18" s="166">
        <f t="shared" si="9"/>
        <v>0.32500000000000001</v>
      </c>
      <c r="I18" s="169">
        <f t="shared" si="9"/>
        <v>0.40449999999999997</v>
      </c>
      <c r="J18" s="170">
        <f t="shared" ref="J18:R18" si="10">IF(J11&lt;0.55,"-",LOOKUP(J10,$Z$135:$Z$214,$AB$135:$AB$214))</f>
        <v>0.53350000000000009</v>
      </c>
      <c r="K18" s="166">
        <f t="shared" si="10"/>
        <v>0.65</v>
      </c>
      <c r="L18" s="167">
        <f t="shared" si="10"/>
        <v>0.70300000000000007</v>
      </c>
      <c r="M18" s="167">
        <f t="shared" si="10"/>
        <v>0.76300000000000001</v>
      </c>
      <c r="N18" s="168">
        <f t="shared" si="10"/>
        <v>0.8</v>
      </c>
      <c r="O18" s="165">
        <f t="shared" si="10"/>
        <v>0.86149999999999993</v>
      </c>
      <c r="P18" s="166">
        <f t="shared" si="10"/>
        <v>0.91700000000000004</v>
      </c>
      <c r="Q18" s="168">
        <f t="shared" si="10"/>
        <v>1</v>
      </c>
      <c r="R18" s="171">
        <f t="shared" si="10"/>
        <v>1.375</v>
      </c>
      <c r="U18" s="6"/>
      <c r="V18" s="6"/>
    </row>
    <row r="19" spans="2:28" x14ac:dyDescent="0.2">
      <c r="B19" s="172">
        <f>IF(AND($D$16,$E$16),2,1)</f>
        <v>1</v>
      </c>
      <c r="C19" s="173" t="str">
        <f>IF($D$16,"KM ","Mile ")</f>
        <v xml:space="preserve">Mile </v>
      </c>
      <c r="D19" s="174">
        <f t="shared" ref="D19:D44" si="11">IF(AND(D$18&lt;&gt;"-",AND(D$14&lt;&gt;"-",D$14&lt;&gt;0)),$B19*D$18*IF($A$14,IF($D$16,60/D$15,60/D$14),IF($D$16,D$15,D$14)*1440),"-")</f>
        <v>0.85740366533606216</v>
      </c>
      <c r="E19" s="175">
        <f t="shared" ref="E19:R34" si="12">IF(AND(E$18&lt;&gt;"-",AND(E$14&lt;&gt;"-",E$14&lt;&gt;0)),$B19*E$18*IF($A$14,IF($D$16,60/E$15,60/E$14),IF($D$16,E$15,E$14)*1440),"-")</f>
        <v>1.1717267318349516</v>
      </c>
      <c r="F19" s="176">
        <f t="shared" si="12"/>
        <v>1.5261704020092881</v>
      </c>
      <c r="G19" s="177">
        <f t="shared" si="12"/>
        <v>1.6968387986888711</v>
      </c>
      <c r="H19" s="178">
        <f t="shared" si="12"/>
        <v>2.1038567357161186</v>
      </c>
      <c r="I19" s="179">
        <f t="shared" si="12"/>
        <v>2.5037306093710496</v>
      </c>
      <c r="J19" s="180">
        <f t="shared" si="12"/>
        <v>3.1648443343552919</v>
      </c>
      <c r="K19" s="181">
        <f t="shared" si="12"/>
        <v>3.6988735680936666</v>
      </c>
      <c r="L19" s="182">
        <f t="shared" si="12"/>
        <v>3.9194314312217857</v>
      </c>
      <c r="M19" s="182">
        <f t="shared" si="12"/>
        <v>4.1973741467848873</v>
      </c>
      <c r="N19" s="183">
        <f t="shared" si="12"/>
        <v>4.3530359865196973</v>
      </c>
      <c r="O19" s="184">
        <f t="shared" si="12"/>
        <v>4.6253324285235236</v>
      </c>
      <c r="P19" s="185">
        <f t="shared" si="12"/>
        <v>4.7864089996800008</v>
      </c>
      <c r="Q19" s="186">
        <f t="shared" si="12"/>
        <v>5.0620863105158254</v>
      </c>
      <c r="R19" s="187">
        <f t="shared" si="12"/>
        <v>6.7050790408168064</v>
      </c>
      <c r="U19" s="6"/>
      <c r="V19" s="6"/>
    </row>
    <row r="20" spans="2:28" x14ac:dyDescent="0.2">
      <c r="B20" s="172">
        <f t="shared" ref="B20:B44" si="13">IF(AND($D$16,$E$16),B19+2,B19+1)</f>
        <v>2</v>
      </c>
      <c r="C20" s="173" t="str">
        <f t="shared" ref="C20:C44" si="14">IF($D$16,"KM ","Miles ")</f>
        <v xml:space="preserve">Miles </v>
      </c>
      <c r="D20" s="174">
        <f t="shared" si="11"/>
        <v>1.7148073306721243</v>
      </c>
      <c r="E20" s="188">
        <f t="shared" si="12"/>
        <v>2.3434534636699031</v>
      </c>
      <c r="F20" s="189">
        <f t="shared" si="12"/>
        <v>3.0523408040185762</v>
      </c>
      <c r="G20" s="190">
        <f t="shared" si="12"/>
        <v>3.3936775973777422</v>
      </c>
      <c r="H20" s="191">
        <f t="shared" si="12"/>
        <v>4.2077134714322373</v>
      </c>
      <c r="I20" s="192">
        <f t="shared" si="12"/>
        <v>5.0074612187420993</v>
      </c>
      <c r="J20" s="193">
        <f t="shared" si="12"/>
        <v>6.3296886687105838</v>
      </c>
      <c r="K20" s="194">
        <f t="shared" si="12"/>
        <v>7.3977471361873333</v>
      </c>
      <c r="L20" s="195">
        <f t="shared" si="12"/>
        <v>7.8388628624435714</v>
      </c>
      <c r="M20" s="195">
        <f t="shared" si="12"/>
        <v>8.3947482935697746</v>
      </c>
      <c r="N20" s="196">
        <f t="shared" si="12"/>
        <v>8.7060719730393945</v>
      </c>
      <c r="O20" s="197">
        <f t="shared" si="12"/>
        <v>9.2506648570470471</v>
      </c>
      <c r="P20" s="198">
        <f t="shared" si="12"/>
        <v>9.5728179993600016</v>
      </c>
      <c r="Q20" s="199">
        <f t="shared" si="12"/>
        <v>10.124172621031651</v>
      </c>
      <c r="R20" s="200">
        <f t="shared" si="12"/>
        <v>13.410158081633613</v>
      </c>
      <c r="U20" s="6"/>
      <c r="V20" s="6"/>
      <c r="W20" s="33"/>
      <c r="X20" s="33"/>
      <c r="Y20" s="33"/>
      <c r="Z20" s="33"/>
    </row>
    <row r="21" spans="2:28" x14ac:dyDescent="0.2">
      <c r="B21" s="172">
        <f t="shared" si="13"/>
        <v>3</v>
      </c>
      <c r="C21" s="173" t="str">
        <f t="shared" si="14"/>
        <v xml:space="preserve">Miles </v>
      </c>
      <c r="D21" s="174">
        <f t="shared" si="11"/>
        <v>2.5722109960081867</v>
      </c>
      <c r="E21" s="188">
        <f t="shared" si="12"/>
        <v>3.5151801955048554</v>
      </c>
      <c r="F21" s="189">
        <f t="shared" si="12"/>
        <v>4.5785112060278648</v>
      </c>
      <c r="G21" s="190">
        <f t="shared" si="12"/>
        <v>5.0905163960666133</v>
      </c>
      <c r="H21" s="191">
        <f t="shared" si="12"/>
        <v>6.3115702071483559</v>
      </c>
      <c r="I21" s="192">
        <f t="shared" si="12"/>
        <v>7.511191828113148</v>
      </c>
      <c r="J21" s="193">
        <f t="shared" si="12"/>
        <v>9.4945330030658752</v>
      </c>
      <c r="K21" s="194">
        <f t="shared" si="12"/>
        <v>11.096620704281001</v>
      </c>
      <c r="L21" s="195">
        <f t="shared" si="12"/>
        <v>11.758294293665356</v>
      </c>
      <c r="M21" s="195">
        <f t="shared" si="12"/>
        <v>12.592122440354663</v>
      </c>
      <c r="N21" s="196">
        <f t="shared" si="12"/>
        <v>13.059107959559093</v>
      </c>
      <c r="O21" s="197">
        <f t="shared" si="12"/>
        <v>13.875997285570572</v>
      </c>
      <c r="P21" s="198">
        <f t="shared" si="12"/>
        <v>14.359226999040004</v>
      </c>
      <c r="Q21" s="199">
        <f t="shared" si="12"/>
        <v>15.186258931547476</v>
      </c>
      <c r="R21" s="200">
        <f t="shared" si="12"/>
        <v>20.11523712245042</v>
      </c>
      <c r="U21" s="6"/>
      <c r="V21" s="6"/>
    </row>
    <row r="22" spans="2:28" x14ac:dyDescent="0.2">
      <c r="B22" s="172">
        <f t="shared" si="13"/>
        <v>4</v>
      </c>
      <c r="C22" s="173" t="str">
        <f t="shared" si="14"/>
        <v xml:space="preserve">Miles </v>
      </c>
      <c r="D22" s="174">
        <f t="shared" si="11"/>
        <v>3.4296146613442486</v>
      </c>
      <c r="E22" s="188">
        <f t="shared" si="12"/>
        <v>4.6869069273398063</v>
      </c>
      <c r="F22" s="189">
        <f t="shared" si="12"/>
        <v>6.1046816080371524</v>
      </c>
      <c r="G22" s="190">
        <f t="shared" si="12"/>
        <v>6.7873551947554844</v>
      </c>
      <c r="H22" s="191">
        <f t="shared" si="12"/>
        <v>8.4154269428644746</v>
      </c>
      <c r="I22" s="192">
        <f t="shared" si="12"/>
        <v>10.014922437484199</v>
      </c>
      <c r="J22" s="193">
        <f t="shared" si="12"/>
        <v>12.659377337421168</v>
      </c>
      <c r="K22" s="194">
        <f t="shared" si="12"/>
        <v>14.795494272374667</v>
      </c>
      <c r="L22" s="195">
        <f t="shared" si="12"/>
        <v>15.677725724887143</v>
      </c>
      <c r="M22" s="195">
        <f t="shared" si="12"/>
        <v>16.789496587139549</v>
      </c>
      <c r="N22" s="196">
        <f t="shared" si="12"/>
        <v>17.412143946078789</v>
      </c>
      <c r="O22" s="197">
        <f t="shared" si="12"/>
        <v>18.501329714094094</v>
      </c>
      <c r="P22" s="198">
        <f t="shared" si="12"/>
        <v>19.145635998720003</v>
      </c>
      <c r="Q22" s="199">
        <f t="shared" si="12"/>
        <v>20.248345242063301</v>
      </c>
      <c r="R22" s="200">
        <f t="shared" si="12"/>
        <v>26.820316163267226</v>
      </c>
      <c r="U22" s="6"/>
      <c r="V22" s="6"/>
      <c r="W22" s="33"/>
      <c r="X22" s="33"/>
      <c r="Y22" s="33"/>
      <c r="Z22" s="33"/>
      <c r="AA22" s="33"/>
    </row>
    <row r="23" spans="2:28" ht="13.5" thickBot="1" x14ac:dyDescent="0.25">
      <c r="B23" s="201">
        <f t="shared" si="13"/>
        <v>5</v>
      </c>
      <c r="C23" s="202" t="str">
        <f t="shared" si="14"/>
        <v xml:space="preserve">Miles </v>
      </c>
      <c r="D23" s="203">
        <f t="shared" si="11"/>
        <v>4.287018326680311</v>
      </c>
      <c r="E23" s="204">
        <f t="shared" si="12"/>
        <v>5.8586336591747585</v>
      </c>
      <c r="F23" s="205">
        <f t="shared" si="12"/>
        <v>7.6308520100464401</v>
      </c>
      <c r="G23" s="206">
        <f t="shared" si="12"/>
        <v>8.4841939934443555</v>
      </c>
      <c r="H23" s="207">
        <f t="shared" si="12"/>
        <v>10.519283678580592</v>
      </c>
      <c r="I23" s="208">
        <f t="shared" si="12"/>
        <v>12.518653046855249</v>
      </c>
      <c r="J23" s="209">
        <f t="shared" si="12"/>
        <v>15.824221671776458</v>
      </c>
      <c r="K23" s="210">
        <f t="shared" si="12"/>
        <v>18.494367840468332</v>
      </c>
      <c r="L23" s="211">
        <f t="shared" si="12"/>
        <v>19.597157156108931</v>
      </c>
      <c r="M23" s="211">
        <f t="shared" si="12"/>
        <v>20.986870733924437</v>
      </c>
      <c r="N23" s="212">
        <f t="shared" si="12"/>
        <v>21.765179932598485</v>
      </c>
      <c r="O23" s="213">
        <f t="shared" si="12"/>
        <v>23.126662142617615</v>
      </c>
      <c r="P23" s="214">
        <f t="shared" si="12"/>
        <v>23.932044998400002</v>
      </c>
      <c r="Q23" s="199">
        <f t="shared" si="12"/>
        <v>25.310431552579125</v>
      </c>
      <c r="R23" s="215" t="s">
        <v>91</v>
      </c>
      <c r="U23" s="6"/>
      <c r="V23" s="6"/>
      <c r="W23" s="33"/>
      <c r="X23" s="33"/>
      <c r="Y23" s="33"/>
      <c r="Z23" s="33"/>
      <c r="AA23" s="33"/>
    </row>
    <row r="24" spans="2:28" x14ac:dyDescent="0.2">
      <c r="B24" s="216">
        <f t="shared" si="13"/>
        <v>6</v>
      </c>
      <c r="C24" s="217" t="str">
        <f t="shared" si="14"/>
        <v xml:space="preserve">Miles </v>
      </c>
      <c r="D24" s="218">
        <f t="shared" si="11"/>
        <v>5.1444219920163734</v>
      </c>
      <c r="E24" s="219">
        <f t="shared" si="12"/>
        <v>7.0303603910097108</v>
      </c>
      <c r="F24" s="220">
        <f t="shared" si="12"/>
        <v>9.1570224120557295</v>
      </c>
      <c r="G24" s="221">
        <f t="shared" si="12"/>
        <v>10.181032792133227</v>
      </c>
      <c r="H24" s="222">
        <f t="shared" si="12"/>
        <v>12.623140414296712</v>
      </c>
      <c r="I24" s="223">
        <f t="shared" si="12"/>
        <v>15.022383656226296</v>
      </c>
      <c r="J24" s="224">
        <f t="shared" si="12"/>
        <v>18.98906600613175</v>
      </c>
      <c r="K24" s="225">
        <f t="shared" si="12"/>
        <v>22.193241408562002</v>
      </c>
      <c r="L24" s="226">
        <f t="shared" si="12"/>
        <v>23.516588587330713</v>
      </c>
      <c r="M24" s="226">
        <f t="shared" si="12"/>
        <v>25.184244880709326</v>
      </c>
      <c r="N24" s="227">
        <f t="shared" si="12"/>
        <v>26.118215919118185</v>
      </c>
      <c r="O24" s="228">
        <f t="shared" si="12"/>
        <v>27.751994571141143</v>
      </c>
      <c r="P24" s="229" t="s">
        <v>91</v>
      </c>
      <c r="Q24" s="230" t="s">
        <v>91</v>
      </c>
      <c r="R24" s="231" t="s">
        <v>91</v>
      </c>
      <c r="U24" s="6"/>
      <c r="V24" s="6"/>
    </row>
    <row r="25" spans="2:28" x14ac:dyDescent="0.2">
      <c r="B25" s="172">
        <f t="shared" si="13"/>
        <v>7</v>
      </c>
      <c r="C25" s="173" t="str">
        <f t="shared" si="14"/>
        <v xml:space="preserve">Miles </v>
      </c>
      <c r="D25" s="232">
        <f t="shared" si="11"/>
        <v>6.0018256573524358</v>
      </c>
      <c r="E25" s="188">
        <f t="shared" si="12"/>
        <v>8.2020871228446612</v>
      </c>
      <c r="F25" s="189">
        <f t="shared" si="12"/>
        <v>10.683192814065016</v>
      </c>
      <c r="G25" s="190">
        <f t="shared" si="12"/>
        <v>11.877871590822098</v>
      </c>
      <c r="H25" s="191">
        <f t="shared" si="12"/>
        <v>14.72699715001283</v>
      </c>
      <c r="I25" s="192">
        <f t="shared" si="12"/>
        <v>17.526114265597347</v>
      </c>
      <c r="J25" s="193">
        <f t="shared" si="12"/>
        <v>22.153910340487041</v>
      </c>
      <c r="K25" s="194">
        <f t="shared" si="12"/>
        <v>25.892114976655666</v>
      </c>
      <c r="L25" s="195">
        <f t="shared" si="12"/>
        <v>27.436020018552497</v>
      </c>
      <c r="M25" s="195">
        <f t="shared" si="12"/>
        <v>29.381619027494214</v>
      </c>
      <c r="N25" s="196">
        <f t="shared" si="12"/>
        <v>30.471251905637882</v>
      </c>
      <c r="O25" s="197" t="s">
        <v>91</v>
      </c>
      <c r="P25" s="198" t="s">
        <v>91</v>
      </c>
      <c r="Q25" s="233" t="s">
        <v>91</v>
      </c>
      <c r="R25" s="200" t="s">
        <v>91</v>
      </c>
      <c r="U25" s="6"/>
      <c r="V25" s="6"/>
    </row>
    <row r="26" spans="2:28" ht="13.5" thickBot="1" x14ac:dyDescent="0.25">
      <c r="B26" s="172">
        <f t="shared" si="13"/>
        <v>8</v>
      </c>
      <c r="C26" s="173" t="str">
        <f t="shared" si="14"/>
        <v xml:space="preserve">Miles </v>
      </c>
      <c r="D26" s="232">
        <f t="shared" si="11"/>
        <v>6.8592293226884973</v>
      </c>
      <c r="E26" s="188">
        <f t="shared" si="12"/>
        <v>9.3738138546796126</v>
      </c>
      <c r="F26" s="189">
        <f t="shared" si="12"/>
        <v>12.209363216074305</v>
      </c>
      <c r="G26" s="190">
        <f t="shared" si="12"/>
        <v>13.574710389510969</v>
      </c>
      <c r="H26" s="191">
        <f t="shared" si="12"/>
        <v>16.830853885728949</v>
      </c>
      <c r="I26" s="192">
        <f t="shared" si="12"/>
        <v>20.029844874968397</v>
      </c>
      <c r="J26" s="193">
        <f t="shared" si="12"/>
        <v>25.318754674842335</v>
      </c>
      <c r="K26" s="194">
        <f t="shared" si="12"/>
        <v>29.590988544749333</v>
      </c>
      <c r="L26" s="195">
        <f t="shared" si="12"/>
        <v>31.355451449774286</v>
      </c>
      <c r="M26" s="234">
        <f t="shared" si="12"/>
        <v>33.578993174279098</v>
      </c>
      <c r="N26" s="235" t="s">
        <v>91</v>
      </c>
      <c r="O26" s="236" t="s">
        <v>91</v>
      </c>
      <c r="P26" s="237" t="s">
        <v>91</v>
      </c>
      <c r="Q26" s="238" t="s">
        <v>91</v>
      </c>
      <c r="R26" s="239" t="s">
        <v>91</v>
      </c>
      <c r="U26" s="6"/>
      <c r="V26" s="6"/>
      <c r="Y26" s="33"/>
    </row>
    <row r="27" spans="2:28" ht="14.25" thickTop="1" thickBot="1" x14ac:dyDescent="0.25">
      <c r="B27" s="172">
        <f t="shared" si="13"/>
        <v>9</v>
      </c>
      <c r="C27" s="173" t="str">
        <f t="shared" si="14"/>
        <v xml:space="preserve">Miles </v>
      </c>
      <c r="D27" s="232">
        <f t="shared" si="11"/>
        <v>7.7166329880245597</v>
      </c>
      <c r="E27" s="188">
        <f t="shared" si="12"/>
        <v>10.545540586514566</v>
      </c>
      <c r="F27" s="189">
        <f t="shared" si="12"/>
        <v>13.735533618083593</v>
      </c>
      <c r="G27" s="190">
        <f t="shared" si="12"/>
        <v>15.27154918819984</v>
      </c>
      <c r="H27" s="191">
        <f t="shared" si="12"/>
        <v>18.93471062144507</v>
      </c>
      <c r="I27" s="192">
        <f t="shared" si="12"/>
        <v>22.533575484339448</v>
      </c>
      <c r="J27" s="193">
        <f t="shared" si="12"/>
        <v>28.483599009197626</v>
      </c>
      <c r="K27" s="194">
        <f t="shared" si="12"/>
        <v>33.289862112843004</v>
      </c>
      <c r="L27" s="196">
        <f t="shared" si="12"/>
        <v>35.274882880996074</v>
      </c>
      <c r="M27" s="978" t="s">
        <v>92</v>
      </c>
      <c r="N27" s="979"/>
      <c r="O27" s="979"/>
      <c r="P27" s="979"/>
      <c r="Q27" s="979"/>
      <c r="R27" s="240"/>
      <c r="U27" s="6"/>
      <c r="V27" s="6"/>
      <c r="Y27" s="33"/>
    </row>
    <row r="28" spans="2:28" ht="14.25" thickTop="1" thickBot="1" x14ac:dyDescent="0.25">
      <c r="B28" s="201">
        <f t="shared" si="13"/>
        <v>10</v>
      </c>
      <c r="C28" s="202" t="str">
        <f t="shared" si="14"/>
        <v xml:space="preserve">Miles </v>
      </c>
      <c r="D28" s="241">
        <f t="shared" si="11"/>
        <v>8.574036653360622</v>
      </c>
      <c r="E28" s="204">
        <f t="shared" si="12"/>
        <v>11.717267318349517</v>
      </c>
      <c r="F28" s="205">
        <f t="shared" si="12"/>
        <v>15.26170402009288</v>
      </c>
      <c r="G28" s="206">
        <f t="shared" si="12"/>
        <v>16.968387986888711</v>
      </c>
      <c r="H28" s="207">
        <f t="shared" si="12"/>
        <v>21.038567357161185</v>
      </c>
      <c r="I28" s="208">
        <f t="shared" si="12"/>
        <v>25.037306093710498</v>
      </c>
      <c r="J28" s="209">
        <f t="shared" si="12"/>
        <v>31.648443343552916</v>
      </c>
      <c r="K28" s="210">
        <f t="shared" si="12"/>
        <v>36.988735680936664</v>
      </c>
      <c r="L28" s="242">
        <f t="shared" si="12"/>
        <v>39.194314312217863</v>
      </c>
      <c r="M28" s="243" t="s">
        <v>93</v>
      </c>
      <c r="N28" s="244"/>
      <c r="O28" s="244" t="s">
        <v>94</v>
      </c>
      <c r="P28" s="244"/>
      <c r="Q28" s="244"/>
      <c r="R28" s="245" t="s">
        <v>95</v>
      </c>
      <c r="U28" s="6"/>
      <c r="V28" s="6"/>
      <c r="W28" s="246"/>
      <c r="X28" s="247" t="s">
        <v>96</v>
      </c>
      <c r="Y28" s="247"/>
      <c r="Z28" s="247"/>
      <c r="AA28" s="33"/>
    </row>
    <row r="29" spans="2:28" ht="13.5" thickBot="1" x14ac:dyDescent="0.25">
      <c r="B29" s="216">
        <f t="shared" si="13"/>
        <v>11</v>
      </c>
      <c r="C29" s="217" t="str">
        <f t="shared" si="14"/>
        <v xml:space="preserve">Miles </v>
      </c>
      <c r="D29" s="218">
        <f t="shared" si="11"/>
        <v>9.4314403186966835</v>
      </c>
      <c r="E29" s="219">
        <f t="shared" si="12"/>
        <v>12.888994050184468</v>
      </c>
      <c r="F29" s="220">
        <f t="shared" si="12"/>
        <v>16.787874422102171</v>
      </c>
      <c r="G29" s="221">
        <f t="shared" si="12"/>
        <v>18.66522678557758</v>
      </c>
      <c r="H29" s="222">
        <f t="shared" si="12"/>
        <v>23.142424092877306</v>
      </c>
      <c r="I29" s="223">
        <f t="shared" si="12"/>
        <v>27.541036703081545</v>
      </c>
      <c r="J29" s="224">
        <f t="shared" si="12"/>
        <v>34.813287677908207</v>
      </c>
      <c r="K29" s="225">
        <f t="shared" si="12"/>
        <v>40.687609249030331</v>
      </c>
      <c r="L29" s="248" t="s">
        <v>91</v>
      </c>
      <c r="M29" s="249" t="s">
        <v>97</v>
      </c>
      <c r="N29" s="250"/>
      <c r="O29" s="250" t="s">
        <v>98</v>
      </c>
      <c r="P29" s="250"/>
      <c r="Q29" s="250"/>
      <c r="R29" s="251">
        <v>1</v>
      </c>
      <c r="U29" s="6"/>
      <c r="V29" s="6"/>
      <c r="W29" s="252" t="s">
        <v>99</v>
      </c>
      <c r="X29" s="253" t="s">
        <v>99</v>
      </c>
      <c r="Y29" s="253" t="s">
        <v>57</v>
      </c>
      <c r="Z29" s="254" t="s">
        <v>99</v>
      </c>
      <c r="AA29" s="33"/>
    </row>
    <row r="30" spans="2:28" ht="13.5" thickBot="1" x14ac:dyDescent="0.25">
      <c r="B30" s="172">
        <f t="shared" si="13"/>
        <v>12</v>
      </c>
      <c r="C30" s="173" t="str">
        <f t="shared" si="14"/>
        <v xml:space="preserve">Miles </v>
      </c>
      <c r="D30" s="232">
        <f t="shared" si="11"/>
        <v>10.288843984032747</v>
      </c>
      <c r="E30" s="188">
        <f t="shared" si="12"/>
        <v>14.060720782019422</v>
      </c>
      <c r="F30" s="189">
        <f t="shared" si="12"/>
        <v>18.314044824111459</v>
      </c>
      <c r="G30" s="190">
        <f t="shared" si="12"/>
        <v>20.362065584266453</v>
      </c>
      <c r="H30" s="191">
        <f t="shared" si="12"/>
        <v>25.246280828593424</v>
      </c>
      <c r="I30" s="192">
        <f t="shared" si="12"/>
        <v>30.044767312452592</v>
      </c>
      <c r="J30" s="193">
        <f t="shared" si="12"/>
        <v>37.978132012263501</v>
      </c>
      <c r="K30" s="194">
        <f t="shared" si="12"/>
        <v>44.386482817124005</v>
      </c>
      <c r="L30" s="255" t="s">
        <v>91</v>
      </c>
      <c r="M30" s="256" t="s">
        <v>100</v>
      </c>
      <c r="N30" s="257" t="str">
        <f>IF($D$16,"KM","Miles")</f>
        <v>Miles</v>
      </c>
      <c r="O30" s="257" t="s">
        <v>101</v>
      </c>
      <c r="P30" s="258" t="s">
        <v>102</v>
      </c>
      <c r="Q30" s="259" t="s">
        <v>103</v>
      </c>
      <c r="R30" s="260" t="s">
        <v>104</v>
      </c>
      <c r="U30" s="6"/>
      <c r="V30" s="6"/>
      <c r="W30" s="261" t="s">
        <v>57</v>
      </c>
      <c r="X30" s="6" t="s">
        <v>101</v>
      </c>
      <c r="Y30" s="6" t="s">
        <v>101</v>
      </c>
      <c r="Z30" s="262" t="s">
        <v>105</v>
      </c>
      <c r="AA30" s="263"/>
    </row>
    <row r="31" spans="2:28" x14ac:dyDescent="0.2">
      <c r="B31" s="172">
        <f t="shared" si="13"/>
        <v>13</v>
      </c>
      <c r="C31" s="173" t="str">
        <f t="shared" si="14"/>
        <v xml:space="preserve">Miles </v>
      </c>
      <c r="D31" s="232">
        <f t="shared" si="11"/>
        <v>11.146247649368808</v>
      </c>
      <c r="E31" s="188">
        <f t="shared" si="12"/>
        <v>15.232447513854373</v>
      </c>
      <c r="F31" s="189">
        <f t="shared" si="12"/>
        <v>19.840215226120748</v>
      </c>
      <c r="G31" s="190">
        <f t="shared" si="12"/>
        <v>22.058904382955326</v>
      </c>
      <c r="H31" s="191">
        <f t="shared" si="12"/>
        <v>27.350137564309545</v>
      </c>
      <c r="I31" s="192">
        <f t="shared" si="12"/>
        <v>32.548497921823646</v>
      </c>
      <c r="J31" s="193">
        <f t="shared" si="12"/>
        <v>41.142976346618795</v>
      </c>
      <c r="K31" s="194">
        <f t="shared" si="12"/>
        <v>48.085356385217672</v>
      </c>
      <c r="L31" s="255" t="s">
        <v>91</v>
      </c>
      <c r="M31" s="264">
        <v>4.1666666666666664E-2</v>
      </c>
      <c r="N31" s="265">
        <v>8</v>
      </c>
      <c r="O31" s="266">
        <v>0.3125</v>
      </c>
      <c r="P31" s="267">
        <v>125</v>
      </c>
      <c r="Q31" s="268">
        <f t="shared" ref="Q31:Q40" si="15">IF($R$29=1,IF(ISNA(W31),"too slow",W31),IF($R$29=2,IF(ISNA(X31),"too slow",X31),IF($R$29=3,IF(ISNA(Y31),"too slow",Y31),Z31)))</f>
        <v>0.1285</v>
      </c>
      <c r="R31" s="269">
        <f t="shared" ref="R31:R40" si="16">IF(Q31="Too Slow","",IF($R$29=3,O31*N31*24*Q31,M31*1440*Q31))</f>
        <v>7.71</v>
      </c>
      <c r="T31" s="458"/>
      <c r="U31" s="6"/>
      <c r="V31" s="6"/>
      <c r="W31" s="270">
        <f>IF(M31*N31,LOOKUP(((0.182258*(1/((M31/N31)*1440)*IF($D$16,1000,1609.344))+(0.000104*(1/((M31/N31)*1440)*IF($D$16,1000,1609.344))^2)-4.6)/$I$6),$Z$135:$Z$214,$AB$135:$AB$214),0)</f>
        <v>0.1285</v>
      </c>
      <c r="X31" s="270">
        <f t="shared" ref="X31:X40" si="17">IF(M31*O31,LOOKUP(((0.182258*(1/(O31*24)*IF($D$16,1000,1609.344))+(0.000104*(1/(O31*24)*IF($D$16,1000,1609.344))^2)-4.6)/$I$6),$Z$135:$Z$214,$AB$135:$AB$214),0)</f>
        <v>0.1285</v>
      </c>
      <c r="Y31" s="270">
        <f t="shared" ref="Y31:Y40" si="18">IF(N31*O31,LOOKUP(((0.182258*(1/(O31*24)*IF($D$16,1000,1609.344))+(0.000104*(1/(O31*24)*IF($D$16,1000,1609.344))^2)-4.6)/$I$6),$Z$135:$Z$214,$AB$135:$AB$214),0)</f>
        <v>0.1285</v>
      </c>
      <c r="Z31" s="270">
        <f>IF(M31*P31,LOOKUP(MAX(P31/$E$3,0.56),$AA$135:$AA$214,$AB$135:$AB$214),0)</f>
        <v>0.1</v>
      </c>
      <c r="AA31" s="271"/>
      <c r="AB31" s="781"/>
    </row>
    <row r="32" spans="2:28" x14ac:dyDescent="0.2">
      <c r="B32" s="172">
        <f t="shared" si="13"/>
        <v>14</v>
      </c>
      <c r="C32" s="173" t="str">
        <f t="shared" si="14"/>
        <v xml:space="preserve">Miles </v>
      </c>
      <c r="D32" s="232">
        <f t="shared" si="11"/>
        <v>12.003651314704872</v>
      </c>
      <c r="E32" s="188">
        <f t="shared" si="12"/>
        <v>16.404174245689322</v>
      </c>
      <c r="F32" s="189">
        <f t="shared" si="12"/>
        <v>21.366385628130033</v>
      </c>
      <c r="G32" s="190">
        <f t="shared" si="12"/>
        <v>23.755743181644196</v>
      </c>
      <c r="H32" s="191">
        <f t="shared" si="12"/>
        <v>29.453994300025659</v>
      </c>
      <c r="I32" s="192">
        <f t="shared" si="12"/>
        <v>35.052228531194693</v>
      </c>
      <c r="J32" s="193">
        <f t="shared" si="12"/>
        <v>44.307820680974082</v>
      </c>
      <c r="K32" s="194" t="s">
        <v>91</v>
      </c>
      <c r="L32" s="255" t="s">
        <v>91</v>
      </c>
      <c r="M32" s="272">
        <v>5.2083333333333336E-2</v>
      </c>
      <c r="N32" s="273">
        <v>10</v>
      </c>
      <c r="O32" s="274">
        <v>0.28125</v>
      </c>
      <c r="P32" s="275">
        <v>126</v>
      </c>
      <c r="Q32" s="276">
        <f t="shared" si="15"/>
        <v>0.1285</v>
      </c>
      <c r="R32" s="277">
        <f t="shared" si="16"/>
        <v>9.6375000000000011</v>
      </c>
      <c r="U32" s="6"/>
      <c r="V32" s="6"/>
      <c r="W32" s="278">
        <f t="shared" ref="W32:W40" si="19">IF(M32*N32,LOOKUP(((0.182258*(1/((M32/N32)*1440)*IF($D$16,1000,1609.344))+(0.000104*(1/((M32/N32)*1440)*IF($D$16,1000,1609.344))^2)-4.6)/$I$6),$Z$135:$Z$214,$AB$135:$AB$214),0)</f>
        <v>0.1285</v>
      </c>
      <c r="X32" s="278">
        <f t="shared" si="17"/>
        <v>0.26649999999999996</v>
      </c>
      <c r="Y32" s="278">
        <f t="shared" si="18"/>
        <v>0.26649999999999996</v>
      </c>
      <c r="Z32" s="278">
        <f t="shared" ref="Z32:Z40" si="20">IF(M32*P32,LOOKUP(MAX(ROUND(P32/$E$3,2),0.65),$AA$135:$AA$214,$AB$135:$AB$214),0)</f>
        <v>0.1</v>
      </c>
      <c r="AB32" s="781"/>
    </row>
    <row r="33" spans="2:28" ht="13.5" thickBot="1" x14ac:dyDescent="0.25">
      <c r="B33" s="201">
        <f t="shared" si="13"/>
        <v>15</v>
      </c>
      <c r="C33" s="202" t="str">
        <f t="shared" si="14"/>
        <v xml:space="preserve">Miles </v>
      </c>
      <c r="D33" s="241">
        <f t="shared" si="11"/>
        <v>12.861054980040933</v>
      </c>
      <c r="E33" s="204">
        <f t="shared" si="12"/>
        <v>17.575900977524274</v>
      </c>
      <c r="F33" s="205">
        <f t="shared" si="12"/>
        <v>22.892556030139321</v>
      </c>
      <c r="G33" s="206">
        <f t="shared" si="12"/>
        <v>25.452581980333065</v>
      </c>
      <c r="H33" s="207">
        <f t="shared" si="12"/>
        <v>31.557851035741781</v>
      </c>
      <c r="I33" s="208">
        <f t="shared" si="12"/>
        <v>37.555959140565747</v>
      </c>
      <c r="J33" s="209">
        <f t="shared" si="12"/>
        <v>47.472665015329376</v>
      </c>
      <c r="K33" s="210" t="s">
        <v>91</v>
      </c>
      <c r="L33" s="242" t="s">
        <v>91</v>
      </c>
      <c r="M33" s="272">
        <v>4.1666666666666664E-2</v>
      </c>
      <c r="N33" s="273">
        <v>8</v>
      </c>
      <c r="O33" s="274">
        <v>0.3125</v>
      </c>
      <c r="P33" s="275">
        <v>127</v>
      </c>
      <c r="Q33" s="276">
        <f t="shared" si="15"/>
        <v>0.1285</v>
      </c>
      <c r="R33" s="277">
        <f t="shared" si="16"/>
        <v>7.71</v>
      </c>
      <c r="U33" s="6"/>
      <c r="V33" s="6"/>
      <c r="W33" s="278">
        <f t="shared" si="19"/>
        <v>0.1285</v>
      </c>
      <c r="X33" s="278">
        <f t="shared" si="17"/>
        <v>0.1285</v>
      </c>
      <c r="Y33" s="278">
        <f t="shared" si="18"/>
        <v>0.1285</v>
      </c>
      <c r="Z33" s="278">
        <f t="shared" si="20"/>
        <v>0.1</v>
      </c>
      <c r="AB33" s="781"/>
    </row>
    <row r="34" spans="2:28" x14ac:dyDescent="0.2">
      <c r="B34" s="216">
        <f t="shared" si="13"/>
        <v>16</v>
      </c>
      <c r="C34" s="217" t="str">
        <f t="shared" si="14"/>
        <v xml:space="preserve">Miles </v>
      </c>
      <c r="D34" s="218">
        <f t="shared" si="11"/>
        <v>13.718458645376995</v>
      </c>
      <c r="E34" s="219">
        <f t="shared" si="12"/>
        <v>18.747627709359225</v>
      </c>
      <c r="F34" s="220">
        <f t="shared" si="12"/>
        <v>24.41872643214861</v>
      </c>
      <c r="G34" s="221">
        <f t="shared" si="12"/>
        <v>27.149420779021938</v>
      </c>
      <c r="H34" s="222">
        <f t="shared" si="12"/>
        <v>33.661707771457898</v>
      </c>
      <c r="I34" s="223">
        <f t="shared" si="12"/>
        <v>40.059689749936794</v>
      </c>
      <c r="J34" s="224">
        <f t="shared" si="12"/>
        <v>50.63750934968467</v>
      </c>
      <c r="K34" s="225" t="s">
        <v>91</v>
      </c>
      <c r="L34" s="279" t="s">
        <v>91</v>
      </c>
      <c r="M34" s="272">
        <v>3.9583333333333331E-2</v>
      </c>
      <c r="N34" s="273">
        <v>10</v>
      </c>
      <c r="O34" s="274">
        <v>0.27083333333333331</v>
      </c>
      <c r="P34" s="275">
        <v>128</v>
      </c>
      <c r="Q34" s="276">
        <f t="shared" si="15"/>
        <v>0.63349999999999995</v>
      </c>
      <c r="R34" s="277">
        <f t="shared" si="16"/>
        <v>36.109499999999997</v>
      </c>
      <c r="V34" s="280"/>
      <c r="W34" s="278">
        <f t="shared" si="19"/>
        <v>0.63349999999999995</v>
      </c>
      <c r="X34" s="278">
        <f t="shared" si="17"/>
        <v>0.32500000000000001</v>
      </c>
      <c r="Y34" s="278">
        <f t="shared" si="18"/>
        <v>0.32500000000000001</v>
      </c>
      <c r="Z34" s="278">
        <f t="shared" si="20"/>
        <v>0.1</v>
      </c>
      <c r="AB34" s="781"/>
    </row>
    <row r="35" spans="2:28" x14ac:dyDescent="0.2">
      <c r="B35" s="172">
        <f t="shared" si="13"/>
        <v>17</v>
      </c>
      <c r="C35" s="173" t="str">
        <f t="shared" si="14"/>
        <v xml:space="preserve">Miles </v>
      </c>
      <c r="D35" s="232">
        <f t="shared" si="11"/>
        <v>14.575862310713058</v>
      </c>
      <c r="E35" s="188">
        <f t="shared" ref="E35:J44" si="21">IF(AND(E$18&lt;&gt;"-",AND(E$14&lt;&gt;"-",E$14&lt;&gt;0)),$B35*E$18*IF($A$14,IF($D$16,60/E$15,60/E$14),IF($D$16,E$15,E$14)*1440),"-")</f>
        <v>19.91935444119418</v>
      </c>
      <c r="F35" s="189">
        <f t="shared" si="21"/>
        <v>25.944896834157898</v>
      </c>
      <c r="G35" s="190">
        <f t="shared" si="21"/>
        <v>28.846259577710811</v>
      </c>
      <c r="H35" s="191">
        <f t="shared" si="21"/>
        <v>35.76556450717402</v>
      </c>
      <c r="I35" s="192">
        <f t="shared" si="21"/>
        <v>42.563420359307841</v>
      </c>
      <c r="J35" s="193">
        <f t="shared" si="21"/>
        <v>53.802353684039957</v>
      </c>
      <c r="K35" s="194" t="s">
        <v>91</v>
      </c>
      <c r="L35" s="255" t="s">
        <v>91</v>
      </c>
      <c r="M35" s="272">
        <v>5.2083333333333336E-2</v>
      </c>
      <c r="N35" s="273">
        <v>10</v>
      </c>
      <c r="O35" s="274">
        <v>0.3125</v>
      </c>
      <c r="P35" s="275">
        <v>129</v>
      </c>
      <c r="Q35" s="276">
        <f t="shared" si="15"/>
        <v>0.1285</v>
      </c>
      <c r="R35" s="277">
        <f t="shared" si="16"/>
        <v>9.6375000000000011</v>
      </c>
      <c r="V35" s="280"/>
      <c r="W35" s="278">
        <f t="shared" si="19"/>
        <v>0.1285</v>
      </c>
      <c r="X35" s="278">
        <f t="shared" si="17"/>
        <v>0.1285</v>
      </c>
      <c r="Y35" s="278">
        <f t="shared" si="18"/>
        <v>0.1285</v>
      </c>
      <c r="Z35" s="278">
        <f t="shared" si="20"/>
        <v>0.1</v>
      </c>
      <c r="AB35" s="781"/>
    </row>
    <row r="36" spans="2:28" x14ac:dyDescent="0.2">
      <c r="B36" s="172">
        <f t="shared" si="13"/>
        <v>18</v>
      </c>
      <c r="C36" s="173" t="str">
        <f t="shared" si="14"/>
        <v xml:space="preserve">Miles </v>
      </c>
      <c r="D36" s="232">
        <f t="shared" si="11"/>
        <v>15.433265976049119</v>
      </c>
      <c r="E36" s="188">
        <f t="shared" si="21"/>
        <v>21.091081173029131</v>
      </c>
      <c r="F36" s="189">
        <f t="shared" si="21"/>
        <v>27.471067236167187</v>
      </c>
      <c r="G36" s="190">
        <f t="shared" si="21"/>
        <v>30.54309837639968</v>
      </c>
      <c r="H36" s="191">
        <f t="shared" si="21"/>
        <v>37.869421242890141</v>
      </c>
      <c r="I36" s="192">
        <f t="shared" si="21"/>
        <v>45.067150968678895</v>
      </c>
      <c r="J36" s="193">
        <f t="shared" si="21"/>
        <v>56.967198018395251</v>
      </c>
      <c r="K36" s="194" t="s">
        <v>91</v>
      </c>
      <c r="L36" s="255" t="s">
        <v>91</v>
      </c>
      <c r="M36" s="272">
        <v>4.1666666666666664E-2</v>
      </c>
      <c r="N36" s="273">
        <v>8</v>
      </c>
      <c r="O36" s="274">
        <v>0.30208333333333331</v>
      </c>
      <c r="P36" s="275">
        <v>130</v>
      </c>
      <c r="Q36" s="276">
        <f t="shared" si="15"/>
        <v>0.1285</v>
      </c>
      <c r="R36" s="277">
        <f t="shared" si="16"/>
        <v>7.71</v>
      </c>
      <c r="V36" s="280"/>
      <c r="W36" s="278">
        <f t="shared" si="19"/>
        <v>0.1285</v>
      </c>
      <c r="X36" s="278">
        <f t="shared" si="17"/>
        <v>0.16700000000000001</v>
      </c>
      <c r="Y36" s="278">
        <f t="shared" si="18"/>
        <v>0.16700000000000001</v>
      </c>
      <c r="Z36" s="278">
        <f t="shared" si="20"/>
        <v>0.1</v>
      </c>
      <c r="AB36" s="781"/>
    </row>
    <row r="37" spans="2:28" x14ac:dyDescent="0.2">
      <c r="B37" s="172">
        <f t="shared" si="13"/>
        <v>19</v>
      </c>
      <c r="C37" s="173" t="str">
        <f t="shared" si="14"/>
        <v xml:space="preserve">Miles </v>
      </c>
      <c r="D37" s="232">
        <f t="shared" si="11"/>
        <v>16.290669641385179</v>
      </c>
      <c r="E37" s="188">
        <f t="shared" si="21"/>
        <v>22.262807904864079</v>
      </c>
      <c r="F37" s="189">
        <f t="shared" si="21"/>
        <v>28.997237638176475</v>
      </c>
      <c r="G37" s="190">
        <f t="shared" si="21"/>
        <v>32.239937175088549</v>
      </c>
      <c r="H37" s="191">
        <f t="shared" si="21"/>
        <v>39.973277978606255</v>
      </c>
      <c r="I37" s="192">
        <f t="shared" si="21"/>
        <v>47.570881578049942</v>
      </c>
      <c r="J37" s="193">
        <f t="shared" si="21"/>
        <v>60.132042352750545</v>
      </c>
      <c r="K37" s="194" t="s">
        <v>91</v>
      </c>
      <c r="L37" s="255" t="s">
        <v>91</v>
      </c>
      <c r="M37" s="272">
        <v>5.7013888888888892E-2</v>
      </c>
      <c r="N37" s="273">
        <v>14</v>
      </c>
      <c r="O37" s="274">
        <v>0.33333333333333331</v>
      </c>
      <c r="P37" s="275"/>
      <c r="Q37" s="276">
        <f t="shared" si="15"/>
        <v>0.5665</v>
      </c>
      <c r="R37" s="277">
        <f t="shared" si="16"/>
        <v>46.509650000000008</v>
      </c>
      <c r="V37" s="280"/>
      <c r="W37" s="278">
        <f t="shared" si="19"/>
        <v>0.5665</v>
      </c>
      <c r="X37" s="278">
        <f t="shared" si="17"/>
        <v>0.1</v>
      </c>
      <c r="Y37" s="278">
        <f t="shared" si="18"/>
        <v>0.1</v>
      </c>
      <c r="Z37" s="278">
        <f t="shared" si="20"/>
        <v>0</v>
      </c>
      <c r="AB37" s="781"/>
    </row>
    <row r="38" spans="2:28" ht="13.5" thickBot="1" x14ac:dyDescent="0.25">
      <c r="B38" s="201">
        <f t="shared" si="13"/>
        <v>20</v>
      </c>
      <c r="C38" s="202" t="str">
        <f t="shared" si="14"/>
        <v xml:space="preserve">Miles </v>
      </c>
      <c r="D38" s="241">
        <f t="shared" si="11"/>
        <v>17.148073306721244</v>
      </c>
      <c r="E38" s="204">
        <f t="shared" si="21"/>
        <v>23.434534636699034</v>
      </c>
      <c r="F38" s="205">
        <f t="shared" si="21"/>
        <v>30.52340804018576</v>
      </c>
      <c r="G38" s="206">
        <f t="shared" si="21"/>
        <v>33.936775973777422</v>
      </c>
      <c r="H38" s="207">
        <f t="shared" si="21"/>
        <v>42.077134714322369</v>
      </c>
      <c r="I38" s="208">
        <f t="shared" si="21"/>
        <v>50.074612187420996</v>
      </c>
      <c r="J38" s="209">
        <f t="shared" si="21"/>
        <v>63.296886687105832</v>
      </c>
      <c r="K38" s="210" t="s">
        <v>91</v>
      </c>
      <c r="L38" s="242" t="s">
        <v>91</v>
      </c>
      <c r="M38" s="272">
        <v>3.125E-2</v>
      </c>
      <c r="N38" s="273">
        <v>6</v>
      </c>
      <c r="O38" s="274"/>
      <c r="P38" s="275"/>
      <c r="Q38" s="276">
        <f t="shared" si="15"/>
        <v>0.1285</v>
      </c>
      <c r="R38" s="277">
        <f t="shared" si="16"/>
        <v>5.7824999999999998</v>
      </c>
      <c r="V38" s="280"/>
      <c r="W38" s="278">
        <f t="shared" si="19"/>
        <v>0.1285</v>
      </c>
      <c r="X38" s="278">
        <f t="shared" si="17"/>
        <v>0</v>
      </c>
      <c r="Y38" s="278">
        <f t="shared" si="18"/>
        <v>0</v>
      </c>
      <c r="Z38" s="278">
        <f t="shared" si="20"/>
        <v>0</v>
      </c>
    </row>
    <row r="39" spans="2:28" x14ac:dyDescent="0.2">
      <c r="B39" s="216">
        <f t="shared" si="13"/>
        <v>21</v>
      </c>
      <c r="C39" s="217" t="str">
        <f t="shared" si="14"/>
        <v xml:space="preserve">Miles </v>
      </c>
      <c r="D39" s="218">
        <f t="shared" si="11"/>
        <v>18.005476972057306</v>
      </c>
      <c r="E39" s="219">
        <f t="shared" si="21"/>
        <v>24.606261368533985</v>
      </c>
      <c r="F39" s="220">
        <f t="shared" si="21"/>
        <v>32.049578442195049</v>
      </c>
      <c r="G39" s="221">
        <f t="shared" si="21"/>
        <v>35.633614772466295</v>
      </c>
      <c r="H39" s="222">
        <f t="shared" si="21"/>
        <v>44.180991450038491</v>
      </c>
      <c r="I39" s="223">
        <f t="shared" si="21"/>
        <v>52.578342796792036</v>
      </c>
      <c r="J39" s="224">
        <f t="shared" si="21"/>
        <v>66.461731021461119</v>
      </c>
      <c r="K39" s="225" t="s">
        <v>91</v>
      </c>
      <c r="L39" s="279" t="s">
        <v>91</v>
      </c>
      <c r="M39" s="281">
        <v>3.6111111111111115E-2</v>
      </c>
      <c r="N39" s="282">
        <v>7</v>
      </c>
      <c r="O39" s="283"/>
      <c r="P39" s="284"/>
      <c r="Q39" s="285">
        <f t="shared" si="15"/>
        <v>0.14250000000000002</v>
      </c>
      <c r="R39" s="286">
        <f t="shared" si="16"/>
        <v>7.4100000000000019</v>
      </c>
      <c r="V39" s="280"/>
      <c r="W39" s="278">
        <f t="shared" si="19"/>
        <v>0.14250000000000002</v>
      </c>
      <c r="X39" s="278">
        <f t="shared" si="17"/>
        <v>0</v>
      </c>
      <c r="Y39" s="278">
        <f t="shared" si="18"/>
        <v>0</v>
      </c>
      <c r="Z39" s="278">
        <f t="shared" si="20"/>
        <v>0</v>
      </c>
    </row>
    <row r="40" spans="2:28" ht="13.5" thickBot="1" x14ac:dyDescent="0.25">
      <c r="B40" s="172">
        <f t="shared" si="13"/>
        <v>22</v>
      </c>
      <c r="C40" s="173" t="str">
        <f t="shared" si="14"/>
        <v xml:space="preserve">Miles </v>
      </c>
      <c r="D40" s="232">
        <f t="shared" si="11"/>
        <v>18.862880637393367</v>
      </c>
      <c r="E40" s="188">
        <f t="shared" si="21"/>
        <v>25.777988100368937</v>
      </c>
      <c r="F40" s="189">
        <f t="shared" si="21"/>
        <v>33.575748844204341</v>
      </c>
      <c r="G40" s="190">
        <f t="shared" si="21"/>
        <v>37.330453571155161</v>
      </c>
      <c r="H40" s="191">
        <f t="shared" si="21"/>
        <v>46.284848185754612</v>
      </c>
      <c r="I40" s="192">
        <f t="shared" si="21"/>
        <v>55.08207340616309</v>
      </c>
      <c r="J40" s="193">
        <f t="shared" si="21"/>
        <v>69.626575355816414</v>
      </c>
      <c r="K40" s="194" t="s">
        <v>91</v>
      </c>
      <c r="L40" s="255" t="s">
        <v>91</v>
      </c>
      <c r="M40" s="287"/>
      <c r="N40" s="288"/>
      <c r="O40" s="289"/>
      <c r="P40" s="290"/>
      <c r="Q40" s="285">
        <f t="shared" si="15"/>
        <v>0</v>
      </c>
      <c r="R40" s="286">
        <f t="shared" si="16"/>
        <v>0</v>
      </c>
      <c r="V40" s="280"/>
      <c r="W40" s="291">
        <f t="shared" si="19"/>
        <v>0</v>
      </c>
      <c r="X40" s="291">
        <f t="shared" si="17"/>
        <v>0</v>
      </c>
      <c r="Y40" s="291">
        <f t="shared" si="18"/>
        <v>0</v>
      </c>
      <c r="Z40" s="291">
        <f t="shared" si="20"/>
        <v>0</v>
      </c>
    </row>
    <row r="41" spans="2:28" ht="13.5" thickBot="1" x14ac:dyDescent="0.25">
      <c r="B41" s="172">
        <f t="shared" si="13"/>
        <v>23</v>
      </c>
      <c r="C41" s="173" t="str">
        <f t="shared" si="14"/>
        <v xml:space="preserve">Miles </v>
      </c>
      <c r="D41" s="232">
        <f t="shared" si="11"/>
        <v>19.720284302729429</v>
      </c>
      <c r="E41" s="188">
        <f t="shared" si="21"/>
        <v>26.949714832203888</v>
      </c>
      <c r="F41" s="189">
        <f t="shared" si="21"/>
        <v>35.101919246213626</v>
      </c>
      <c r="G41" s="190">
        <f t="shared" si="21"/>
        <v>39.027292369844034</v>
      </c>
      <c r="H41" s="191">
        <f t="shared" si="21"/>
        <v>48.388704921470733</v>
      </c>
      <c r="I41" s="192">
        <f t="shared" si="21"/>
        <v>57.585804015534144</v>
      </c>
      <c r="J41" s="193">
        <f t="shared" si="21"/>
        <v>72.791419690171708</v>
      </c>
      <c r="K41" s="194" t="s">
        <v>91</v>
      </c>
      <c r="L41" s="255" t="s">
        <v>91</v>
      </c>
      <c r="M41" s="292">
        <f>IF(SUM(M31:M40)&gt;0,SUM(M31:M40),"")</f>
        <v>0.39312499999999995</v>
      </c>
      <c r="N41" s="293">
        <f>IF(SUM(N31:N40)&gt;0,SUM(N31:N40),"")</f>
        <v>81</v>
      </c>
      <c r="O41" s="294">
        <f>IF(SUM(O31:O40)&gt;0,AVERAGE(O31:O40),"")</f>
        <v>0.30357142857142855</v>
      </c>
      <c r="P41" s="295">
        <f>IF(SUM(P31:P40)&gt;0,AVERAGE(P31:P40),"")</f>
        <v>127.5</v>
      </c>
      <c r="Q41" s="296" t="str">
        <f>"Total "</f>
        <v xml:space="preserve">Total </v>
      </c>
      <c r="R41" s="297">
        <f>IF(SUM(R31:R40)&gt;0,SUM(R31:R40),"")</f>
        <v>138.21665000000002</v>
      </c>
      <c r="W41" s="4"/>
    </row>
    <row r="42" spans="2:28" ht="14.25" thickTop="1" thickBot="1" x14ac:dyDescent="0.25">
      <c r="B42" s="172">
        <f t="shared" si="13"/>
        <v>24</v>
      </c>
      <c r="C42" s="173" t="str">
        <f t="shared" si="14"/>
        <v xml:space="preserve">Miles </v>
      </c>
      <c r="D42" s="232">
        <f t="shared" si="11"/>
        <v>20.577687968065494</v>
      </c>
      <c r="E42" s="188">
        <f t="shared" si="21"/>
        <v>28.121441564038843</v>
      </c>
      <c r="F42" s="189">
        <f t="shared" si="21"/>
        <v>36.628089648222918</v>
      </c>
      <c r="G42" s="190">
        <f t="shared" si="21"/>
        <v>40.724131168532907</v>
      </c>
      <c r="H42" s="191">
        <f t="shared" si="21"/>
        <v>50.492561657186847</v>
      </c>
      <c r="I42" s="192">
        <f t="shared" si="21"/>
        <v>60.089534624905184</v>
      </c>
      <c r="J42" s="193">
        <f t="shared" si="21"/>
        <v>75.956264024527002</v>
      </c>
      <c r="K42" s="194" t="s">
        <v>91</v>
      </c>
      <c r="L42" s="255" t="s">
        <v>91</v>
      </c>
      <c r="M42" s="980" t="s">
        <v>106</v>
      </c>
      <c r="N42" s="981"/>
      <c r="O42" s="981"/>
      <c r="P42" s="981"/>
      <c r="Q42" s="981"/>
      <c r="R42" s="982"/>
      <c r="V42" s="298"/>
      <c r="W42" s="4"/>
    </row>
    <row r="43" spans="2:28" ht="13.5" thickBot="1" x14ac:dyDescent="0.25">
      <c r="B43" s="172">
        <f t="shared" si="13"/>
        <v>25</v>
      </c>
      <c r="C43" s="173" t="str">
        <f t="shared" si="14"/>
        <v xml:space="preserve">Miles </v>
      </c>
      <c r="D43" s="241">
        <f t="shared" si="11"/>
        <v>21.435091633401555</v>
      </c>
      <c r="E43" s="204">
        <f t="shared" si="21"/>
        <v>29.293168295873791</v>
      </c>
      <c r="F43" s="205">
        <f t="shared" si="21"/>
        <v>38.154260050232203</v>
      </c>
      <c r="G43" s="206">
        <f t="shared" si="21"/>
        <v>42.420969967221779</v>
      </c>
      <c r="H43" s="207">
        <f t="shared" si="21"/>
        <v>52.596418392902962</v>
      </c>
      <c r="I43" s="208">
        <f t="shared" si="21"/>
        <v>62.593265234276238</v>
      </c>
      <c r="J43" s="209">
        <f t="shared" si="21"/>
        <v>79.121108358882296</v>
      </c>
      <c r="K43" s="210" t="s">
        <v>91</v>
      </c>
      <c r="L43" s="242" t="s">
        <v>91</v>
      </c>
      <c r="M43" s="983" t="s">
        <v>107</v>
      </c>
      <c r="N43" s="924"/>
      <c r="O43" s="924"/>
      <c r="P43" s="924" t="s">
        <v>108</v>
      </c>
      <c r="Q43" s="924"/>
      <c r="R43" s="925"/>
    </row>
    <row r="44" spans="2:28" ht="13.5" thickBot="1" x14ac:dyDescent="0.25">
      <c r="B44" s="201">
        <f t="shared" si="13"/>
        <v>26</v>
      </c>
      <c r="C44" s="202" t="str">
        <f t="shared" si="14"/>
        <v xml:space="preserve">Miles </v>
      </c>
      <c r="D44" s="203">
        <f t="shared" si="11"/>
        <v>22.292495298737617</v>
      </c>
      <c r="E44" s="299">
        <f t="shared" si="21"/>
        <v>30.464895027708746</v>
      </c>
      <c r="F44" s="300">
        <f t="shared" si="21"/>
        <v>39.680430452241495</v>
      </c>
      <c r="G44" s="301">
        <f t="shared" si="21"/>
        <v>44.117808765910652</v>
      </c>
      <c r="H44" s="302">
        <f t="shared" si="21"/>
        <v>54.70027512861909</v>
      </c>
      <c r="I44" s="303">
        <f t="shared" si="21"/>
        <v>65.096995843647292</v>
      </c>
      <c r="J44" s="304">
        <f t="shared" si="21"/>
        <v>82.28595269323759</v>
      </c>
      <c r="K44" s="305" t="s">
        <v>91</v>
      </c>
      <c r="L44" s="306" t="s">
        <v>91</v>
      </c>
      <c r="M44" s="963" t="s">
        <v>109</v>
      </c>
      <c r="N44" s="964"/>
      <c r="O44" s="964"/>
      <c r="P44" s="964" t="s">
        <v>110</v>
      </c>
      <c r="Q44" s="964"/>
      <c r="R44" s="965"/>
    </row>
    <row r="45" spans="2:28" ht="13.5" thickBot="1" x14ac:dyDescent="0.25">
      <c r="B45" s="966" t="s">
        <v>111</v>
      </c>
      <c r="C45" s="967"/>
      <c r="D45" s="967"/>
      <c r="E45" s="967"/>
      <c r="F45" s="967"/>
      <c r="G45" s="967"/>
      <c r="H45" s="967"/>
      <c r="I45" s="967"/>
      <c r="J45" s="967"/>
      <c r="K45" s="967"/>
      <c r="L45" s="967"/>
      <c r="M45" s="967"/>
      <c r="N45" s="967"/>
      <c r="O45" s="967"/>
      <c r="P45" s="967"/>
      <c r="Q45" s="967"/>
      <c r="R45" s="968"/>
    </row>
    <row r="46" spans="2:28" ht="14.25" thickTop="1" thickBot="1" x14ac:dyDescent="0.25">
      <c r="B46" s="307"/>
      <c r="C46" s="308"/>
      <c r="D46" s="307"/>
      <c r="E46" s="309"/>
      <c r="F46" s="307"/>
      <c r="G46" s="309"/>
      <c r="H46" s="309"/>
      <c r="I46" s="307"/>
      <c r="J46" s="307"/>
      <c r="K46" s="309"/>
      <c r="L46" s="309"/>
      <c r="M46" s="309"/>
      <c r="N46" s="309"/>
      <c r="O46" s="309"/>
      <c r="P46" s="310"/>
      <c r="Q46" s="310"/>
      <c r="R46" s="310"/>
      <c r="S46" s="310"/>
      <c r="W46" s="904" t="s">
        <v>112</v>
      </c>
      <c r="X46" s="904"/>
    </row>
    <row r="47" spans="2:28" ht="14.25" thickTop="1" thickBot="1" x14ac:dyDescent="0.25">
      <c r="B47" s="311">
        <f>E3</f>
        <v>201</v>
      </c>
      <c r="C47" s="312"/>
      <c r="D47" s="969" t="str">
        <f>"Custom Heart Rate Zones - "&amp;IF(L47,"% HR Reserve","% HRmax")</f>
        <v>Custom Heart Rate Zones - % HRmax</v>
      </c>
      <c r="E47" s="969"/>
      <c r="F47" s="969"/>
      <c r="G47" s="969"/>
      <c r="H47" s="969"/>
      <c r="I47" s="969"/>
      <c r="J47" s="969"/>
      <c r="K47" s="313"/>
      <c r="L47" s="314" t="b">
        <v>0</v>
      </c>
      <c r="M47" s="315" t="s">
        <v>113</v>
      </c>
      <c r="N47" s="970" t="s">
        <v>114</v>
      </c>
      <c r="O47" s="971"/>
      <c r="P47" s="971"/>
      <c r="Q47" s="316" t="b">
        <v>1</v>
      </c>
      <c r="R47" s="317">
        <v>25</v>
      </c>
      <c r="W47" s="972" t="s">
        <v>115</v>
      </c>
      <c r="X47" s="972"/>
      <c r="Y47" s="972" t="s">
        <v>116</v>
      </c>
      <c r="Z47" s="972"/>
      <c r="AA47" s="972"/>
      <c r="AB47" s="972"/>
    </row>
    <row r="48" spans="2:28" ht="13.5" thickBot="1" x14ac:dyDescent="0.25">
      <c r="B48" s="318">
        <f>E4</f>
        <v>54</v>
      </c>
      <c r="C48" s="985" t="s">
        <v>117</v>
      </c>
      <c r="D48" s="986"/>
      <c r="E48" s="987" t="s">
        <v>65</v>
      </c>
      <c r="F48" s="986"/>
      <c r="G48" s="987" t="s">
        <v>118</v>
      </c>
      <c r="H48" s="986"/>
      <c r="I48" s="987" t="s">
        <v>76</v>
      </c>
      <c r="J48" s="986"/>
      <c r="K48" s="987" t="s">
        <v>78</v>
      </c>
      <c r="L48" s="988"/>
      <c r="M48" s="319" t="s">
        <v>119</v>
      </c>
      <c r="N48" s="320" t="str">
        <f ca="1">"Age: "&amp;$E$5</f>
        <v>Age: 31</v>
      </c>
      <c r="O48" s="321"/>
      <c r="P48" s="322" t="str">
        <f>"Wght: "&amp;$C$3</f>
        <v>Wght: 155</v>
      </c>
      <c r="Q48" s="323" t="b">
        <v>1</v>
      </c>
      <c r="R48" s="324">
        <v>155</v>
      </c>
      <c r="S48" s="325"/>
      <c r="T48" s="989" t="s">
        <v>120</v>
      </c>
      <c r="U48" s="990"/>
      <c r="W48" s="326"/>
      <c r="X48" s="327" t="s">
        <v>121</v>
      </c>
      <c r="Y48" s="991" t="s">
        <v>122</v>
      </c>
      <c r="Z48" s="992"/>
      <c r="AA48" s="992" t="s">
        <v>123</v>
      </c>
      <c r="AB48" s="993"/>
    </row>
    <row r="49" spans="2:28" ht="13.5" thickBot="1" x14ac:dyDescent="0.25">
      <c r="B49" s="328"/>
      <c r="C49" s="329">
        <v>0.65</v>
      </c>
      <c r="D49" s="330">
        <v>0.8</v>
      </c>
      <c r="E49" s="331">
        <v>0.8</v>
      </c>
      <c r="F49" s="330">
        <v>0.89</v>
      </c>
      <c r="G49" s="331">
        <v>0.88</v>
      </c>
      <c r="H49" s="330">
        <v>0.92</v>
      </c>
      <c r="I49" s="331">
        <v>0.92</v>
      </c>
      <c r="J49" s="330">
        <v>0.96</v>
      </c>
      <c r="K49" s="331">
        <v>0.92</v>
      </c>
      <c r="L49" s="332">
        <v>1</v>
      </c>
      <c r="M49" s="333">
        <v>0.53541666666666665</v>
      </c>
      <c r="N49" s="334" t="s">
        <v>57</v>
      </c>
      <c r="O49" s="335" t="s">
        <v>99</v>
      </c>
      <c r="P49" s="336" t="str">
        <f>IF($P$70,"Pace/ km","Pace/ mi")</f>
        <v>Pace/ mi</v>
      </c>
      <c r="Q49" s="337" t="b">
        <v>1</v>
      </c>
      <c r="R49" s="338" t="str">
        <f>IF($P$70,"Pace/ km","Pace/ mi")</f>
        <v>Pace/ mi</v>
      </c>
      <c r="S49" s="339" t="s">
        <v>124</v>
      </c>
      <c r="T49" s="340" t="s">
        <v>125</v>
      </c>
      <c r="U49" s="341" t="s">
        <v>126</v>
      </c>
      <c r="V49" s="26"/>
      <c r="W49" s="342" t="s">
        <v>127</v>
      </c>
      <c r="X49" s="343" t="s">
        <v>128</v>
      </c>
      <c r="Y49" s="344" t="s">
        <v>125</v>
      </c>
      <c r="Z49" s="345" t="s">
        <v>126</v>
      </c>
      <c r="AA49" s="345" t="s">
        <v>125</v>
      </c>
      <c r="AB49" s="346" t="s">
        <v>126</v>
      </c>
    </row>
    <row r="50" spans="2:28" ht="13.5" thickBot="1" x14ac:dyDescent="0.25">
      <c r="B50" s="347"/>
      <c r="C50" s="958" t="str">
        <f>IF($L$47,TEXT((($B$47-$B$48)*C49)+$B$48,0)&amp;"  -  "&amp;TEXT((($B$47-$B$48)*D49)+$B$48,0),TEXT($B$47*C49,0)&amp;"  -  "&amp;TEXT($B$47*D49,0))</f>
        <v>131  -  161</v>
      </c>
      <c r="D50" s="959"/>
      <c r="E50" s="960" t="str">
        <f>IF($L$47,TEXT((($B$47-$B$48)*E49)+$B$48,0)&amp;"  -  "&amp;TEXT((($B$47-$B$48)*F49)+$B$48,0),TEXT($B$47*E49,0)&amp;"  -  "&amp;TEXT($B$47*F49,0))</f>
        <v>161  -  179</v>
      </c>
      <c r="F50" s="961"/>
      <c r="G50" s="960" t="str">
        <f>IF($L$47,TEXT((($B$47-$B$48)*G49)+$B$48,0)&amp;"  -  "&amp;TEXT((($B$47-$B$48)*H49)+$B$48,0),TEXT($B$47*G49,0)&amp;"  -  "&amp;TEXT($B$47*H49,0))</f>
        <v>177  -  185</v>
      </c>
      <c r="H50" s="961"/>
      <c r="I50" s="960" t="str">
        <f>IF($L$47,TEXT((($B$47-$B$48)*I49)+$B$48,0)&amp;"  -  "&amp;TEXT((($B$47-$B$48)*J49)+$B$48,0),TEXT($B$47*I49,0)&amp;"  -  "&amp;TEXT($B$47*J49,0))</f>
        <v>185  -  193</v>
      </c>
      <c r="J50" s="961"/>
      <c r="K50" s="960" t="str">
        <f>IF($L$47,TEXT((($B$47-$B$48)*K49)+$B$48,0)&amp;"  -  "&amp;TEXT((($B$47-$B$48)*L49)+$B$48,0),TEXT($B$47*K49,0)&amp;"  -  "&amp;TEXT($B$47*L49,0))</f>
        <v>185  -  201</v>
      </c>
      <c r="L50" s="962"/>
      <c r="M50" s="348">
        <v>0.50763888888888886</v>
      </c>
      <c r="N50" s="349" t="s">
        <v>129</v>
      </c>
      <c r="O50" s="350">
        <f>IF(AND($E$6&gt;0,$G$6&gt;0),IF($G$16=1,(W50/(29.54+5.000663*($I$6*(X50))-0.007546*($I$6*(X50))^2)/1440),($G$6*(S50/$D$8)^1.06)),"-")</f>
        <v>3.1430234970774838E-3</v>
      </c>
      <c r="P50" s="351">
        <f t="shared" ref="P50:P69" si="22">IF(O50&lt;&gt;"-",O50/S50*IF($P$70,0.621371192,1),"-")</f>
        <v>3.3721373379204441E-3</v>
      </c>
      <c r="Q50" s="352">
        <f t="shared" ref="Q50:Q69" ca="1" si="23">IF($O$85="yes",IF($Q$47,(O50*LOOKUP($E$5,$AD$135:$AD$230,IF($C$4,$AE$135:$AE$230,$AF$135:$AF$230))/LOOKUP($R$47,$AD$135:$AD$230,IF($Q$49,$AE$135:$AE$230,$AF$135:$AF$230))),O50)*(IF(AND($C$4,NOT($Q$49)),LOOKUP($E$5,$AD$135:$AD$230,$AG$135:$AG$230),IF(AND(NOT($C$4),$Q$49),1/LOOKUP($R$47,$AD$135:$AD$230,$AG$135:$AG$230),1)))*IF($Q$48,($R$48/$C$3*IF($C$4=$Q$49,1,IF($C$4=TRUE,1.1,0.90909)))^$I$93,1),"-")</f>
        <v>3.1398595200904256E-3</v>
      </c>
      <c r="R50" s="353">
        <f t="shared" ref="R50:R69" ca="1" si="24">IF($O$85="yes",Q50/S50*IF($P$70,0.621371192,1),"-")</f>
        <v>3.3687427196669372E-3</v>
      </c>
      <c r="S50" s="354">
        <f>1.5/1.609344</f>
        <v>0.93205678835600092</v>
      </c>
      <c r="T50" s="355">
        <v>2.3726851851851851E-3</v>
      </c>
      <c r="U50" s="356">
        <v>2.6967592592592594E-3</v>
      </c>
      <c r="V50" s="357" t="s">
        <v>130</v>
      </c>
      <c r="W50" s="358">
        <f>S50*1609.344</f>
        <v>1500</v>
      </c>
      <c r="X50" s="359">
        <f t="shared" ref="X50:X69" si="25">IF($G$6&gt;0,0.8+0.1894393 * EXP(-0.012778*O50*1440)+0.2989558* EXP(-0.1932605*O50*1440),0)</f>
        <v>1.1034565008342117</v>
      </c>
      <c r="Y50" s="360">
        <f>0.8+0.1894393 * EXP(-0.012778*T50*1440)+0.2989558* EXP(-0.1932605*T50*1440)</f>
        <v>1.1358149877746491</v>
      </c>
      <c r="Z50" s="361">
        <f>0.8+0.1894393 * EXP(-0.012778*U50*1440)+0.2989558* EXP(-0.1932605*U50*1440)</f>
        <v>1.1214153470101593</v>
      </c>
      <c r="AA50" s="362">
        <f>(-4.6 + 0.182258 * ($W50/T50/1440) + 0.000104 *($W50/T50/1440)^2)/Y50</f>
        <v>84.04618668391106</v>
      </c>
      <c r="AB50" s="363">
        <f>(-4.6 + 0.182258 * ($W50/U50/1440) + 0.000104 *($W50/U50/1440)^2)/Z50</f>
        <v>72.512866536383726</v>
      </c>
    </row>
    <row r="51" spans="2:28" ht="13.5" thickBot="1" x14ac:dyDescent="0.25">
      <c r="B51" s="364"/>
      <c r="C51" s="365"/>
      <c r="D51" s="365"/>
      <c r="E51" s="365"/>
      <c r="F51" s="365"/>
      <c r="G51" s="365"/>
      <c r="H51" s="365"/>
      <c r="I51" s="365"/>
      <c r="J51" s="365"/>
      <c r="K51" s="365"/>
      <c r="L51" s="366"/>
      <c r="M51" s="348">
        <v>0.42638888888888887</v>
      </c>
      <c r="N51" s="367" t="s">
        <v>80</v>
      </c>
      <c r="O51" s="368">
        <f t="shared" ref="O51:O69" si="26">IF(AND($E$6&gt;0,$G$6&gt;0),IF($G$16=1,(W51/(29.54+5.000663*($I$6*(X51))-0.007546*($I$6*(X51))^2)/1440),($G$6*(S51/$D$8)^1.06)),"-")</f>
        <v>3.3864035559680841E-3</v>
      </c>
      <c r="P51" s="369">
        <f t="shared" si="22"/>
        <v>3.3864035559680841E-3</v>
      </c>
      <c r="Q51" s="370">
        <f t="shared" ca="1" si="23"/>
        <v>3.3829945763884095E-3</v>
      </c>
      <c r="R51" s="371">
        <f t="shared" ca="1" si="24"/>
        <v>3.3829945763884095E-3</v>
      </c>
      <c r="S51" s="354">
        <v>1</v>
      </c>
      <c r="T51" s="372">
        <v>2.5694444444444445E-3</v>
      </c>
      <c r="U51" s="373">
        <v>2.9120370370370368E-3</v>
      </c>
      <c r="V51" s="374" t="s">
        <v>131</v>
      </c>
      <c r="W51" s="375">
        <f t="shared" ref="W51:W69" si="27">S51*1609.344</f>
        <v>1609.3440000000001</v>
      </c>
      <c r="X51" s="376">
        <f t="shared" si="25"/>
        <v>1.0944936456265038</v>
      </c>
      <c r="Y51" s="377">
        <f t="shared" ref="Y51:Z69" si="28">0.8+0.1894393 * EXP(-0.012778*T51*1440)+0.2989558* EXP(-0.1932605*T51*1440)</f>
        <v>1.1269287827032155</v>
      </c>
      <c r="Z51" s="376">
        <f t="shared" si="28"/>
        <v>1.1124947947660067</v>
      </c>
      <c r="AA51" s="378">
        <f t="shared" ref="AA51:AB69" si="29">(-4.6 + 0.182258 * ($W51/T51/1440) + 0.000104 *($W51/T51/1440)^2)/Y51</f>
        <v>83.723241795963048</v>
      </c>
      <c r="AB51" s="379">
        <f t="shared" si="29"/>
        <v>72.509544454813323</v>
      </c>
    </row>
    <row r="52" spans="2:28" ht="14.25" thickTop="1" thickBot="1" x14ac:dyDescent="0.25">
      <c r="B52" s="380">
        <v>3.2406670000000012E-2</v>
      </c>
      <c r="C52" s="984" t="s">
        <v>132</v>
      </c>
      <c r="D52" s="984"/>
      <c r="E52" s="984"/>
      <c r="F52" s="984"/>
      <c r="G52" s="984"/>
      <c r="H52" s="984"/>
      <c r="I52" s="984"/>
      <c r="J52" s="984"/>
      <c r="K52" s="381"/>
      <c r="L52" s="382" t="b">
        <v>0</v>
      </c>
      <c r="M52" s="348">
        <v>0.37708333333333338</v>
      </c>
      <c r="N52" s="367" t="s">
        <v>133</v>
      </c>
      <c r="O52" s="368">
        <f t="shared" si="26"/>
        <v>4.2636612119066122E-3</v>
      </c>
      <c r="P52" s="369">
        <f t="shared" si="22"/>
        <v>3.4308487947073175E-3</v>
      </c>
      <c r="Q52" s="370">
        <f t="shared" ca="1" si="23"/>
        <v>4.259369126286626E-3</v>
      </c>
      <c r="R52" s="371">
        <f t="shared" ca="1" si="24"/>
        <v>3.4273950735873122E-3</v>
      </c>
      <c r="S52" s="354">
        <f>2/1.609344</f>
        <v>1.2427423844746679</v>
      </c>
      <c r="T52" s="372">
        <v>3.2754629629629631E-3</v>
      </c>
      <c r="U52" s="373">
        <v>3.7268518518518514E-3</v>
      </c>
      <c r="V52" s="374" t="s">
        <v>134</v>
      </c>
      <c r="W52" s="375">
        <f t="shared" si="27"/>
        <v>2000</v>
      </c>
      <c r="X52" s="376">
        <f t="shared" si="25"/>
        <v>1.066407770710853</v>
      </c>
      <c r="Y52" s="377">
        <f t="shared" si="28"/>
        <v>1.0985102591715143</v>
      </c>
      <c r="Z52" s="376">
        <f t="shared" si="28"/>
        <v>1.0828512181419061</v>
      </c>
      <c r="AA52" s="383">
        <f t="shared" si="29"/>
        <v>83.186971218374168</v>
      </c>
      <c r="AB52" s="384">
        <f t="shared" si="29"/>
        <v>71.816074006912757</v>
      </c>
    </row>
    <row r="53" spans="2:28" ht="13.5" thickBot="1" x14ac:dyDescent="0.25">
      <c r="B53" s="1007" t="s">
        <v>135</v>
      </c>
      <c r="C53" s="1008"/>
      <c r="D53" s="385">
        <v>20</v>
      </c>
      <c r="E53" s="386">
        <v>25</v>
      </c>
      <c r="F53" s="386">
        <v>30</v>
      </c>
      <c r="G53" s="386">
        <v>35</v>
      </c>
      <c r="H53" s="386">
        <v>40</v>
      </c>
      <c r="I53" s="386">
        <v>45</v>
      </c>
      <c r="J53" s="386">
        <v>50</v>
      </c>
      <c r="K53" s="386">
        <v>55</v>
      </c>
      <c r="L53" s="387">
        <v>60</v>
      </c>
      <c r="M53" s="348">
        <v>0.33958333333333335</v>
      </c>
      <c r="N53" s="367" t="s">
        <v>79</v>
      </c>
      <c r="O53" s="368">
        <f t="shared" si="26"/>
        <v>6.5529887624448035E-3</v>
      </c>
      <c r="P53" s="369">
        <f t="shared" si="22"/>
        <v>3.51533771563599E-3</v>
      </c>
      <c r="Q53" s="370">
        <f t="shared" ca="1" si="23"/>
        <v>6.5463920870906089E-3</v>
      </c>
      <c r="R53" s="371">
        <f t="shared" ca="1" si="24"/>
        <v>3.5117989423355833E-3</v>
      </c>
      <c r="S53" s="354">
        <f>3/1.609344</f>
        <v>1.8641135767120018</v>
      </c>
      <c r="T53" s="372">
        <v>5.092592592592593E-3</v>
      </c>
      <c r="U53" s="373">
        <v>5.7986111111111112E-3</v>
      </c>
      <c r="V53" s="374" t="s">
        <v>136</v>
      </c>
      <c r="W53" s="375">
        <f t="shared" si="27"/>
        <v>3000</v>
      </c>
      <c r="X53" s="376">
        <f t="shared" si="25"/>
        <v>1.0161819989720546</v>
      </c>
      <c r="Y53" s="377">
        <f t="shared" si="28"/>
        <v>1.044955409742395</v>
      </c>
      <c r="Z53" s="376">
        <f t="shared" si="28"/>
        <v>1.0298031453085916</v>
      </c>
      <c r="AA53" s="383">
        <f t="shared" si="29"/>
        <v>83.606485762214774</v>
      </c>
      <c r="AB53" s="384">
        <f t="shared" si="29"/>
        <v>72.156085574942367</v>
      </c>
    </row>
    <row r="54" spans="2:28" x14ac:dyDescent="0.2">
      <c r="B54" s="1009" t="str">
        <f>IF($L$52,"Pace / km","Pace / mile")</f>
        <v>Pace / mile</v>
      </c>
      <c r="C54" s="1010"/>
      <c r="D54" s="388">
        <f>IF($L$6&lt;&gt;"-",IF($L$52,$L$6*0.621371192,$L$6)*(IF(B56,1+B52,1)),"-")</f>
        <v>3.9117357661323827E-3</v>
      </c>
      <c r="E54" s="389">
        <f>IF($D$54&lt;&gt;"-",D$54*1.012,"-")</f>
        <v>3.9586765953259712E-3</v>
      </c>
      <c r="F54" s="389">
        <f>IF($D$54&lt;&gt;"-",$D$54*1.022,"-")</f>
        <v>3.9977939529872953E-3</v>
      </c>
      <c r="G54" s="389">
        <f>IF($D$54&lt;&gt;"-",$D$54*1.027,"-")</f>
        <v>4.0173526318179565E-3</v>
      </c>
      <c r="H54" s="389">
        <f>IF($D$54&lt;&gt;"-",$D$54*1.033,"-")</f>
        <v>4.0408230464147512E-3</v>
      </c>
      <c r="I54" s="389">
        <f>IF($D$54&lt;&gt;"-",$D$54*1.038,"-")</f>
        <v>4.0603817252454133E-3</v>
      </c>
      <c r="J54" s="389">
        <f>IF($D$54&lt;&gt;"-",$D$54*1.043,"-")</f>
        <v>4.0799404040760753E-3</v>
      </c>
      <c r="K54" s="389">
        <f>IF($D$54&lt;&gt;"-",$D$54*1.04866,"-")</f>
        <v>4.1020808285123838E-3</v>
      </c>
      <c r="L54" s="390">
        <f>IF($D$54&lt;&gt;"-",$D$54*1.055,"-")</f>
        <v>4.1268812332696638E-3</v>
      </c>
      <c r="M54" s="348"/>
      <c r="N54" s="367" t="s">
        <v>137</v>
      </c>
      <c r="O54" s="368">
        <f t="shared" si="26"/>
        <v>7.0604195189746958E-3</v>
      </c>
      <c r="P54" s="369">
        <f t="shared" si="22"/>
        <v>3.5302097594873479E-3</v>
      </c>
      <c r="Q54" s="370">
        <f t="shared" ca="1" si="23"/>
        <v>7.0533120299922612E-3</v>
      </c>
      <c r="R54" s="371">
        <f t="shared" ca="1" si="24"/>
        <v>3.5266560149961306E-3</v>
      </c>
      <c r="S54" s="354">
        <v>2</v>
      </c>
      <c r="T54" s="391">
        <v>5.4861111111111117E-3</v>
      </c>
      <c r="U54" s="392">
        <v>6.2731481481481484E-3</v>
      </c>
      <c r="V54" s="374" t="s">
        <v>138</v>
      </c>
      <c r="W54" s="375">
        <f t="shared" si="27"/>
        <v>3218.6880000000001</v>
      </c>
      <c r="X54" s="376">
        <f t="shared" si="25"/>
        <v>1.0082655248005339</v>
      </c>
      <c r="Y54" s="377">
        <f t="shared" si="28"/>
        <v>1.0361944609976594</v>
      </c>
      <c r="Z54" s="376">
        <f t="shared" si="28"/>
        <v>1.0209576166884211</v>
      </c>
      <c r="AA54" s="383">
        <f t="shared" si="29"/>
        <v>83.8848240753114</v>
      </c>
      <c r="AB54" s="384">
        <f t="shared" si="29"/>
        <v>72.034775629497389</v>
      </c>
    </row>
    <row r="55" spans="2:28" ht="13.5" thickBot="1" x14ac:dyDescent="0.25">
      <c r="B55" s="1011" t="s">
        <v>139</v>
      </c>
      <c r="C55" s="1012"/>
      <c r="D55" s="393" t="str">
        <f t="shared" ref="D55:L55" si="30">IF(D54&lt;&gt;"-",IF($L$52,ROUND(D53/D54/1440,1)&amp;" km",ROUND(D53/D54/1440,1)&amp;" mi"),"-")</f>
        <v>3.6 mi</v>
      </c>
      <c r="E55" s="394" t="str">
        <f t="shared" si="30"/>
        <v>4.4 mi</v>
      </c>
      <c r="F55" s="394" t="str">
        <f t="shared" si="30"/>
        <v>5.2 mi</v>
      </c>
      <c r="G55" s="394" t="str">
        <f t="shared" si="30"/>
        <v>6.1 mi</v>
      </c>
      <c r="H55" s="394" t="str">
        <f t="shared" si="30"/>
        <v>6.9 mi</v>
      </c>
      <c r="I55" s="394" t="str">
        <f t="shared" si="30"/>
        <v>7.7 mi</v>
      </c>
      <c r="J55" s="394" t="str">
        <f t="shared" si="30"/>
        <v>8.5 mi</v>
      </c>
      <c r="K55" s="394" t="str">
        <f t="shared" si="30"/>
        <v>9.3 mi</v>
      </c>
      <c r="L55" s="395" t="str">
        <f t="shared" si="30"/>
        <v>10.1 mi</v>
      </c>
      <c r="M55" s="348"/>
      <c r="N55" s="367" t="s">
        <v>140</v>
      </c>
      <c r="O55" s="368">
        <f t="shared" si="26"/>
        <v>1.0851436703456478E-2</v>
      </c>
      <c r="P55" s="369">
        <f t="shared" si="22"/>
        <v>3.6171455678188258E-3</v>
      </c>
      <c r="Q55" s="370">
        <f t="shared" ca="1" si="23"/>
        <v>1.0840512923841665E-2</v>
      </c>
      <c r="R55" s="371">
        <f t="shared" ca="1" si="24"/>
        <v>3.6135043079472216E-3</v>
      </c>
      <c r="S55" s="354">
        <v>3</v>
      </c>
      <c r="T55" s="396">
        <v>8.4490740740740741E-3</v>
      </c>
      <c r="U55" s="397">
        <v>9.6412037037037039E-3</v>
      </c>
      <c r="V55" s="398" t="s">
        <v>141</v>
      </c>
      <c r="W55" s="375">
        <f t="shared" si="27"/>
        <v>4828.0320000000002</v>
      </c>
      <c r="X55" s="376">
        <f t="shared" si="25"/>
        <v>0.96974182529539976</v>
      </c>
      <c r="Y55" s="377">
        <f t="shared" si="28"/>
        <v>0.99063625649949227</v>
      </c>
      <c r="Z55" s="376">
        <f t="shared" si="28"/>
        <v>0.97907865998853183</v>
      </c>
      <c r="AA55" s="383">
        <f t="shared" si="29"/>
        <v>84.896246205621992</v>
      </c>
      <c r="AB55" s="384">
        <f t="shared" si="29"/>
        <v>72.883655481978408</v>
      </c>
    </row>
    <row r="56" spans="2:28" ht="13.5" thickBot="1" x14ac:dyDescent="0.25">
      <c r="B56" s="399" t="b">
        <v>0</v>
      </c>
      <c r="C56" s="400">
        <v>80</v>
      </c>
      <c r="D56" s="1013" t="str">
        <f>"◄ "&amp;J80&amp;" - "&amp;LEFT(B81,LEN(B81)-3)&amp;IF(L52,"°C","°F")</f>
        <v>◄ J.Daniels - Temperature °F</v>
      </c>
      <c r="E56" s="1014"/>
      <c r="F56" s="1015"/>
      <c r="G56" s="1016" t="s">
        <v>142</v>
      </c>
      <c r="H56" s="1017"/>
      <c r="I56" s="1017"/>
      <c r="J56" s="1017"/>
      <c r="K56" s="1017"/>
      <c r="L56" s="1018"/>
      <c r="M56" s="348"/>
      <c r="N56" s="367" t="s">
        <v>78</v>
      </c>
      <c r="O56" s="368">
        <f t="shared" si="26"/>
        <v>1.1261574074074075E-2</v>
      </c>
      <c r="P56" s="369">
        <f t="shared" si="22"/>
        <v>3.6247493333333336E-3</v>
      </c>
      <c r="Q56" s="370">
        <f t="shared" ca="1" si="23"/>
        <v>1.1250237422839506E-2</v>
      </c>
      <c r="R56" s="371">
        <f t="shared" ca="1" si="24"/>
        <v>3.6211004190044448E-3</v>
      </c>
      <c r="S56" s="354">
        <f>5/1.609344</f>
        <v>3.1068559611866697</v>
      </c>
      <c r="T56" s="401">
        <v>9.0162037037037034E-3</v>
      </c>
      <c r="U56" s="402">
        <v>1.0254629629629629E-2</v>
      </c>
      <c r="V56" s="357"/>
      <c r="W56" s="375">
        <f t="shared" si="27"/>
        <v>5000</v>
      </c>
      <c r="X56" s="376">
        <f t="shared" si="25"/>
        <v>0.96700150145062314</v>
      </c>
      <c r="Y56" s="377">
        <f t="shared" si="28"/>
        <v>0.98479562185948155</v>
      </c>
      <c r="Z56" s="376">
        <f t="shared" si="28"/>
        <v>0.97409123354038751</v>
      </c>
      <c r="AA56" s="383">
        <f t="shared" si="29"/>
        <v>82.264131007315953</v>
      </c>
      <c r="AB56" s="384">
        <f t="shared" si="29"/>
        <v>70.87248744547729</v>
      </c>
    </row>
    <row r="57" spans="2:28" ht="13.5" thickBot="1" x14ac:dyDescent="0.25">
      <c r="B57" s="1019" t="s">
        <v>143</v>
      </c>
      <c r="C57" s="1020"/>
      <c r="D57" s="1020"/>
      <c r="E57" s="1020"/>
      <c r="F57" s="1020"/>
      <c r="G57" s="1020" t="s">
        <v>144</v>
      </c>
      <c r="H57" s="1020"/>
      <c r="I57" s="1020"/>
      <c r="J57" s="1020"/>
      <c r="K57" s="1020"/>
      <c r="L57" s="1021"/>
      <c r="M57" s="348"/>
      <c r="N57" s="367" t="s">
        <v>145</v>
      </c>
      <c r="O57" s="368">
        <f t="shared" si="26"/>
        <v>1.4720491211410922E-2</v>
      </c>
      <c r="P57" s="369">
        <f t="shared" si="22"/>
        <v>3.6801228028527306E-3</v>
      </c>
      <c r="Q57" s="370">
        <f t="shared" ca="1" si="23"/>
        <v>1.4705672583591435E-2</v>
      </c>
      <c r="R57" s="371">
        <f t="shared" ca="1" si="24"/>
        <v>3.6764181458978588E-3</v>
      </c>
      <c r="S57" s="354">
        <v>4</v>
      </c>
      <c r="T57" s="372">
        <v>1.1736111111111109E-2</v>
      </c>
      <c r="U57" s="373">
        <v>1.3414351851851851E-2</v>
      </c>
      <c r="V57" s="374"/>
      <c r="W57" s="375">
        <f t="shared" si="27"/>
        <v>6437.3760000000002</v>
      </c>
      <c r="X57" s="376">
        <f t="shared" si="25"/>
        <v>0.94946067793502265</v>
      </c>
      <c r="Y57" s="377">
        <f t="shared" si="28"/>
        <v>0.96405245155236163</v>
      </c>
      <c r="Z57" s="376">
        <f t="shared" si="28"/>
        <v>0.95515439471114272</v>
      </c>
      <c r="AA57" s="383">
        <f t="shared" si="29"/>
        <v>82.893270750842035</v>
      </c>
      <c r="AB57" s="384">
        <f t="shared" si="29"/>
        <v>70.86657246549413</v>
      </c>
    </row>
    <row r="58" spans="2:28" ht="13.5" thickBot="1" x14ac:dyDescent="0.25">
      <c r="B58" s="994" t="str">
        <f>"Interval Split Times In "&amp;IF(L58,"Metric","US/Imperial")&amp;" Distances (Daniels)"</f>
        <v>Interval Split Times In Metric Distances (Daniels)</v>
      </c>
      <c r="C58" s="995"/>
      <c r="D58" s="995"/>
      <c r="E58" s="995"/>
      <c r="F58" s="995"/>
      <c r="G58" s="995"/>
      <c r="H58" s="995"/>
      <c r="I58" s="995"/>
      <c r="J58" s="995"/>
      <c r="K58" s="996"/>
      <c r="L58" s="403" t="b">
        <v>1</v>
      </c>
      <c r="M58" s="348"/>
      <c r="N58" s="367" t="s">
        <v>77</v>
      </c>
      <c r="O58" s="368">
        <f t="shared" si="26"/>
        <v>1.8533877123916073E-2</v>
      </c>
      <c r="P58" s="369">
        <f t="shared" si="22"/>
        <v>3.7284229932639484E-3</v>
      </c>
      <c r="Q58" s="370">
        <f t="shared" ca="1" si="23"/>
        <v>1.8515219687611328E-2</v>
      </c>
      <c r="R58" s="371">
        <f t="shared" ca="1" si="24"/>
        <v>3.7246697141173958E-3</v>
      </c>
      <c r="S58" s="354">
        <f>8/1.609344</f>
        <v>4.9709695378986716</v>
      </c>
      <c r="T58" s="372">
        <v>1.4722222222222222E-2</v>
      </c>
      <c r="U58" s="373">
        <v>1.6689814814814817E-2</v>
      </c>
      <c r="V58" s="404" t="s">
        <v>146</v>
      </c>
      <c r="W58" s="375">
        <f t="shared" si="27"/>
        <v>8000</v>
      </c>
      <c r="X58" s="376">
        <f t="shared" si="25"/>
        <v>0.93641870344771949</v>
      </c>
      <c r="Y58" s="377">
        <f t="shared" si="28"/>
        <v>0.94945368165745703</v>
      </c>
      <c r="Z58" s="376">
        <f t="shared" si="28"/>
        <v>0.94222119124623838</v>
      </c>
      <c r="AA58" s="383">
        <f t="shared" si="29"/>
        <v>83.191150933804494</v>
      </c>
      <c r="AB58" s="384">
        <f t="shared" si="29"/>
        <v>71.736795096480776</v>
      </c>
    </row>
    <row r="59" spans="2:28" ht="13.5" thickBot="1" x14ac:dyDescent="0.25">
      <c r="B59" s="997" t="str">
        <f>"Pace per "&amp;IF($L$58,"/ km","/ mile")</f>
        <v>Pace per / km</v>
      </c>
      <c r="C59" s="998"/>
      <c r="D59" s="405" t="str">
        <f>IF($L$58,"100m","110yd")</f>
        <v>100m</v>
      </c>
      <c r="E59" s="405" t="str">
        <f>IF($L$58,"200m","220yd")</f>
        <v>200m</v>
      </c>
      <c r="F59" s="405" t="str">
        <f>IF($L$58,"300m","330yd")</f>
        <v>300m</v>
      </c>
      <c r="G59" s="405" t="str">
        <f>IF($L$58,"400m","440yd")</f>
        <v>400m</v>
      </c>
      <c r="H59" s="405" t="str">
        <f>IF($L$58,"600m","660yd")</f>
        <v>600m</v>
      </c>
      <c r="I59" s="405" t="str">
        <f>IF($L$58,"800m","880yd")</f>
        <v>800m</v>
      </c>
      <c r="J59" s="405" t="str">
        <f>IF($L$58,"1000m","1100yd")</f>
        <v>1000m</v>
      </c>
      <c r="K59" s="405" t="str">
        <f>IF($L$58,"1200m","1320yd")</f>
        <v>1200m</v>
      </c>
      <c r="L59" s="406" t="str">
        <f>IF($L$58,"1600m","1 mile")</f>
        <v>1600m</v>
      </c>
      <c r="M59" s="348"/>
      <c r="N59" s="367" t="s">
        <v>147</v>
      </c>
      <c r="O59" s="368">
        <f t="shared" si="26"/>
        <v>1.8648629301251704E-2</v>
      </c>
      <c r="P59" s="369">
        <f t="shared" si="22"/>
        <v>3.7297258602503407E-3</v>
      </c>
      <c r="Q59" s="370">
        <f t="shared" ca="1" si="23"/>
        <v>1.862985634775511E-2</v>
      </c>
      <c r="R59" s="371">
        <f t="shared" ca="1" si="24"/>
        <v>3.7259712695510219E-3</v>
      </c>
      <c r="S59" s="354">
        <v>5</v>
      </c>
      <c r="T59" s="372">
        <v>1.480324074074074E-2</v>
      </c>
      <c r="U59" s="373">
        <v>1.6805555555555556E-2</v>
      </c>
      <c r="V59" s="374" t="s">
        <v>131</v>
      </c>
      <c r="W59" s="375">
        <f t="shared" si="27"/>
        <v>8046.72</v>
      </c>
      <c r="X59" s="376">
        <f t="shared" si="25"/>
        <v>0.93608052573858336</v>
      </c>
      <c r="Y59" s="377">
        <f t="shared" si="28"/>
        <v>0.94912767115464203</v>
      </c>
      <c r="Z59" s="376">
        <f t="shared" si="28"/>
        <v>0.94183365592937773</v>
      </c>
      <c r="AA59" s="383">
        <f t="shared" si="29"/>
        <v>83.254458075129591</v>
      </c>
      <c r="AB59" s="384">
        <f t="shared" si="29"/>
        <v>71.669684133520008</v>
      </c>
    </row>
    <row r="60" spans="2:28" x14ac:dyDescent="0.2">
      <c r="B60" s="999">
        <f>B61-(IF(L58,1000,1609.344)/400) * TIME(0,0,6)</f>
        <v>2.0534242267332254E-3</v>
      </c>
      <c r="C60" s="1000"/>
      <c r="D60" s="407">
        <f>IF($R$14&lt;&gt;"-",IF($L$58,B60*0.1,B60*0.0625),"-")</f>
        <v>2.0534242267332254E-4</v>
      </c>
      <c r="E60" s="407">
        <f>IF($R$14&lt;&gt;"-",IF($L$58,B60*0.2,B60*0.125),"-")</f>
        <v>4.1068484534664509E-4</v>
      </c>
      <c r="F60" s="407">
        <f>IF($R$14&lt;&gt;"-",IF($L$58,B60*0.3,B60*0.1875),"-")</f>
        <v>6.1602726801996755E-4</v>
      </c>
      <c r="G60" s="407">
        <f>IF($R$14&lt;&gt;"-",IF($L$58,B60*0.4,B60*0.25),"-")</f>
        <v>8.2136969069329018E-4</v>
      </c>
      <c r="H60" s="407">
        <f>IF($R$14&lt;&gt;"-",IF($L$58,B60*0.6,B60*0.375),"-")</f>
        <v>1.2320545360399351E-3</v>
      </c>
      <c r="I60" s="407">
        <f>IF($R$14&lt;&gt;"-",IF($L$58,B60*0.8,B60*0.5),"-")</f>
        <v>1.6427393813865804E-3</v>
      </c>
      <c r="J60" s="407">
        <f>IF($R$14&lt;&gt;"-",IF($L$58,B60*1,B60*0.625),"-")</f>
        <v>2.0534242267332254E-3</v>
      </c>
      <c r="K60" s="407">
        <f>IF($R$14&lt;&gt;"-",IF($L$58,B60*1.2,B60*0.75),"-")</f>
        <v>2.4641090720798702E-3</v>
      </c>
      <c r="L60" s="408">
        <f>IF($R$14&lt;&gt;"-",IF($L$58,B60*1.6,B60*1),"-")</f>
        <v>3.2854787627731607E-3</v>
      </c>
      <c r="M60" s="348"/>
      <c r="N60" s="367" t="s">
        <v>76</v>
      </c>
      <c r="O60" s="368">
        <f t="shared" si="26"/>
        <v>2.3479610770796557E-2</v>
      </c>
      <c r="P60" s="369">
        <f t="shared" si="22"/>
        <v>3.7786770716316813E-3</v>
      </c>
      <c r="Q60" s="370">
        <f t="shared" ca="1" si="23"/>
        <v>2.3455974629287286E-2</v>
      </c>
      <c r="R60" s="371">
        <f t="shared" ca="1" si="24"/>
        <v>3.7748732033795721E-3</v>
      </c>
      <c r="S60" s="354">
        <f>10/1.609344</f>
        <v>6.2137119223733395</v>
      </c>
      <c r="T60" s="372">
        <v>1.8553240740740742E-2</v>
      </c>
      <c r="U60" s="373">
        <v>2.1064814814814814E-2</v>
      </c>
      <c r="V60" s="374" t="s">
        <v>134</v>
      </c>
      <c r="W60" s="375">
        <f t="shared" si="27"/>
        <v>10000</v>
      </c>
      <c r="X60" s="376">
        <f t="shared" si="25"/>
        <v>0.9234161147608092</v>
      </c>
      <c r="Y60" s="377">
        <f t="shared" si="28"/>
        <v>0.93636147475550613</v>
      </c>
      <c r="Z60" s="376">
        <f t="shared" si="28"/>
        <v>0.92941995531591082</v>
      </c>
      <c r="AA60" s="383">
        <f t="shared" si="29"/>
        <v>83.503168270942339</v>
      </c>
      <c r="AB60" s="384">
        <f t="shared" si="29"/>
        <v>71.859913588693914</v>
      </c>
    </row>
    <row r="61" spans="2:28" ht="13.5" thickBot="1" x14ac:dyDescent="0.25">
      <c r="B61" s="1001">
        <f>IF(AND($E$6&gt;0,$G$6&gt;0),(1/(29.54 + 5.000663 * ($I$6*0.98) - 0.007546 * ($I$6*0.98)^2)*IF($L$58,1000,1609.344)/1440),"-")</f>
        <v>2.2270353378443363E-3</v>
      </c>
      <c r="C61" s="1002"/>
      <c r="D61" s="409">
        <f>IF($R$14&lt;&gt;"-",IF($L$58,B61*0.1,B61*0.0625),"-")</f>
        <v>2.2270353378443363E-4</v>
      </c>
      <c r="E61" s="409">
        <f>IF($R$14&lt;&gt;"-",IF($L$58,B61*0.2,B61*0.125),"-")</f>
        <v>4.4540706756886726E-4</v>
      </c>
      <c r="F61" s="409">
        <f>IF($R$14&lt;&gt;"-",IF($L$58,B61*0.3,B61*0.1875),"-")</f>
        <v>6.6811060135330089E-4</v>
      </c>
      <c r="G61" s="409">
        <f>IF($R$14&lt;&gt;"-",IF($L$58,B61*0.4,B61*0.25),"-")</f>
        <v>8.9081413513773453E-4</v>
      </c>
      <c r="H61" s="409">
        <f>IF($R$14&lt;&gt;"-",IF($L$58,B61*0.6,B61*0.375),"-")</f>
        <v>1.3362212027066018E-3</v>
      </c>
      <c r="I61" s="409">
        <f>IF($R$14&lt;&gt;"-",IF($L$58,B61*0.8,B61*0.5),"-")</f>
        <v>1.7816282702754691E-3</v>
      </c>
      <c r="J61" s="409">
        <f>IF($R$14&lt;&gt;"-",IF($L$58,B61*1,B61*0.625),"-")</f>
        <v>2.2270353378443363E-3</v>
      </c>
      <c r="K61" s="409">
        <f>IF($R$14&lt;&gt;"-",IF($L$58,B61*1.2,B61*0.75),"-")</f>
        <v>2.6724424054132036E-3</v>
      </c>
      <c r="L61" s="410">
        <f>IF($R$14&lt;&gt;"-",IF($L$58,B61*1.6,B61*1),"-")</f>
        <v>3.5632565405509381E-3</v>
      </c>
      <c r="M61" s="348"/>
      <c r="N61" s="367" t="s">
        <v>75</v>
      </c>
      <c r="O61" s="368">
        <f t="shared" si="26"/>
        <v>2.8485445367561028E-2</v>
      </c>
      <c r="P61" s="369">
        <f t="shared" si="22"/>
        <v>3.820240049134345E-3</v>
      </c>
      <c r="Q61" s="370">
        <f t="shared" ca="1" si="23"/>
        <v>2.8456770019224351E-2</v>
      </c>
      <c r="R61" s="371">
        <f t="shared" ca="1" si="24"/>
        <v>3.8163943408182164E-3</v>
      </c>
      <c r="S61" s="354">
        <f>12/1.609344</f>
        <v>7.4564543068480074</v>
      </c>
      <c r="T61" s="372">
        <v>2.2476851851851855E-2</v>
      </c>
      <c r="U61" s="373">
        <v>2.539351851851852E-2</v>
      </c>
      <c r="V61" s="404" t="s">
        <v>148</v>
      </c>
      <c r="W61" s="375">
        <f t="shared" si="27"/>
        <v>12000</v>
      </c>
      <c r="X61" s="376">
        <f t="shared" si="25"/>
        <v>0.91226794806763423</v>
      </c>
      <c r="Y61" s="377">
        <f t="shared" si="28"/>
        <v>0.92584613035566721</v>
      </c>
      <c r="Z61" s="376">
        <f t="shared" si="28"/>
        <v>0.91898114812139364</v>
      </c>
      <c r="AA61" s="383">
        <f t="shared" si="29"/>
        <v>83.456631645174227</v>
      </c>
      <c r="AB61" s="384">
        <f t="shared" si="29"/>
        <v>72.266309761498462</v>
      </c>
    </row>
    <row r="62" spans="2:28" ht="13.5" thickBot="1" x14ac:dyDescent="0.25">
      <c r="B62" s="1003">
        <f>IF(AND($E$6&gt;0,$G$6&gt;0),(1/(29.54 + 5.000663 * ($I$6*0.88) - 0.007546 * ($I$6*0.88)^2)*IF($L$58,1000,1609.344)/1440),"-")</f>
        <v>2.4306399167190996E-3</v>
      </c>
      <c r="C62" s="1004"/>
      <c r="D62" s="411">
        <f>IF($R$14&lt;&gt;"-",IF($L$58,B62*0.1,B62*0.0625),"-")</f>
        <v>2.4306399167190997E-4</v>
      </c>
      <c r="E62" s="411">
        <f>IF($R$14&lt;&gt;"-",IF($L$58,B62*0.2,B62*0.125),"-")</f>
        <v>4.8612798334381993E-4</v>
      </c>
      <c r="F62" s="411">
        <f>IF($R$14&lt;&gt;"-",IF($L$58,B62*0.3,B62*0.1875),"-")</f>
        <v>7.2919197501572985E-4</v>
      </c>
      <c r="G62" s="411">
        <f>IF($R$14&lt;&gt;"-",IF($L$58,B62*0.4,B62*0.25),"-")</f>
        <v>9.7225596668763987E-4</v>
      </c>
      <c r="H62" s="411">
        <f>IF($R$14&lt;&gt;"-",IF($L$58,B62*0.6,B62*0.375),"-")</f>
        <v>1.4583839500314597E-3</v>
      </c>
      <c r="I62" s="411">
        <f>IF($R$14&lt;&gt;"-",IF($L$58,B62*0.8,B62*0.5),"-")</f>
        <v>1.9445119333752797E-3</v>
      </c>
      <c r="J62" s="411">
        <f>IF($R$14&lt;&gt;"-",IF($L$58,B62*1,B62*0.625),"-")</f>
        <v>2.4306399167190996E-3</v>
      </c>
      <c r="K62" s="411">
        <f>IF($R$14&lt;&gt;"-",IF($L$58,B62*1.2,B62*0.75),"-")</f>
        <v>2.9167679000629194E-3</v>
      </c>
      <c r="L62" s="412">
        <f>IF($R$14&lt;&gt;"-",IF($L$58,B62*1.6,B62*1),"-")</f>
        <v>3.8890238667505595E-3</v>
      </c>
      <c r="M62" s="413">
        <f>(SUM(M49:M61)/60)*M66</f>
        <v>3.6435185185185189E-2</v>
      </c>
      <c r="N62" s="367" t="s">
        <v>74</v>
      </c>
      <c r="O62" s="368">
        <f t="shared" si="26"/>
        <v>3.6086738106193117E-2</v>
      </c>
      <c r="P62" s="369">
        <f t="shared" si="22"/>
        <v>3.8717316967182172E-3</v>
      </c>
      <c r="Q62" s="370">
        <f t="shared" ca="1" si="23"/>
        <v>3.6050410789832878E-2</v>
      </c>
      <c r="R62" s="371">
        <f t="shared" ca="1" si="24"/>
        <v>3.8678341534768533E-3</v>
      </c>
      <c r="S62" s="354">
        <f>15/1.609344</f>
        <v>9.3205678835600096</v>
      </c>
      <c r="T62" s="372">
        <v>2.8414351851851847E-2</v>
      </c>
      <c r="U62" s="373">
        <v>3.1886574074074074E-2</v>
      </c>
      <c r="V62" s="404" t="s">
        <v>149</v>
      </c>
      <c r="W62" s="375">
        <f t="shared" si="27"/>
        <v>15000</v>
      </c>
      <c r="X62" s="376">
        <f t="shared" si="25"/>
        <v>0.89753335961951231</v>
      </c>
      <c r="Y62" s="377">
        <f t="shared" si="28"/>
        <v>0.91241692052851031</v>
      </c>
      <c r="Z62" s="376">
        <f t="shared" si="28"/>
        <v>0.90539789536192106</v>
      </c>
      <c r="AA62" s="383">
        <f t="shared" si="29"/>
        <v>83.506348278675873</v>
      </c>
      <c r="AB62" s="384">
        <f t="shared" si="29"/>
        <v>72.938756012249129</v>
      </c>
    </row>
    <row r="63" spans="2:28" ht="13.5" thickTop="1" x14ac:dyDescent="0.2">
      <c r="B63" s="1005">
        <f>IF($L$58, R15,R14)</f>
        <v>2.1042136141649274E-3</v>
      </c>
      <c r="C63" s="1006"/>
      <c r="D63" s="414">
        <f>IF($R$14&lt;&gt;"-",IF($L$58,R15*0.1,R14*0.0625),"-")</f>
        <v>2.1042136141649276E-4</v>
      </c>
      <c r="E63" s="414">
        <f>IF($R$14&lt;&gt;"-",IF($L$58,R15*0.2,R14*0.125),"-")</f>
        <v>4.2084272283298552E-4</v>
      </c>
      <c r="F63" s="414">
        <f>IF($R$14&lt;&gt;"-",IF($L$58,R15*0.3,R14*0.1875),"-")</f>
        <v>6.3126408424947825E-4</v>
      </c>
      <c r="G63" s="414">
        <f>IF($R$14&lt;&gt;"-",IF($L$58,R15*0.4,R14*0.25),"-")</f>
        <v>8.4168544566597104E-4</v>
      </c>
      <c r="H63" s="414">
        <f>IF($R$14&lt;&gt;"-",IF($L$58,R15*0.6,R14*0.375),"-")</f>
        <v>1.2625281684989565E-3</v>
      </c>
      <c r="I63" s="414">
        <f>IF($R$14&lt;&gt;"-",IF($L$58,R15*0.8,R14*0.5),"-")</f>
        <v>1.6833708913319421E-3</v>
      </c>
      <c r="J63" s="414">
        <f>IF($R$14&lt;&gt;"-",IF($L$58,R15,R14*0.625),"-")</f>
        <v>2.1042136141649274E-3</v>
      </c>
      <c r="K63" s="414">
        <f>IF($R$14&lt;&gt;"-",IF($L$58,R15*1.2,R14*0.75),"-")</f>
        <v>2.525056336997913E-3</v>
      </c>
      <c r="L63" s="415">
        <f>IF($R$14&lt;&gt;"-",IF($L$58,R15*1.6,R14),"-")</f>
        <v>3.3667417826638841E-3</v>
      </c>
      <c r="M63" s="416">
        <f>(SUM(M49:M61)/60)*M66</f>
        <v>3.6435185185185189E-2</v>
      </c>
      <c r="N63" s="367" t="s">
        <v>150</v>
      </c>
      <c r="O63" s="368">
        <f t="shared" si="26"/>
        <v>3.8881115066346776E-2</v>
      </c>
      <c r="P63" s="369">
        <f t="shared" si="22"/>
        <v>3.8881115066346774E-3</v>
      </c>
      <c r="Q63" s="370">
        <f t="shared" ca="1" si="23"/>
        <v>3.8841974743846652E-2</v>
      </c>
      <c r="R63" s="371">
        <f t="shared" ca="1" si="24"/>
        <v>3.8841974743846651E-3</v>
      </c>
      <c r="S63" s="354">
        <v>10</v>
      </c>
      <c r="T63" s="372">
        <v>3.0555555555555555E-2</v>
      </c>
      <c r="U63" s="373">
        <v>3.4270833333333334E-2</v>
      </c>
      <c r="V63" s="404" t="s">
        <v>138</v>
      </c>
      <c r="W63" s="375">
        <f t="shared" si="27"/>
        <v>16093.44</v>
      </c>
      <c r="X63" s="376">
        <f t="shared" si="25"/>
        <v>0.89263881293717007</v>
      </c>
      <c r="Y63" s="377">
        <f t="shared" si="28"/>
        <v>0.90802880889367932</v>
      </c>
      <c r="Z63" s="376">
        <f t="shared" si="28"/>
        <v>0.90085543039542837</v>
      </c>
      <c r="AA63" s="383">
        <f t="shared" si="29"/>
        <v>83.671183784319751</v>
      </c>
      <c r="AB63" s="384">
        <f t="shared" si="29"/>
        <v>73.148109904996048</v>
      </c>
    </row>
    <row r="64" spans="2:28" x14ac:dyDescent="0.2">
      <c r="B64" s="1036">
        <f>IF($L$58, P15,P14)</f>
        <v>2.2523148139545388E-3</v>
      </c>
      <c r="C64" s="1037"/>
      <c r="D64" s="409">
        <f>IF($P$14&lt;&gt;"-",IF($L$58,P15*0.1,P14*0.0625),"-")</f>
        <v>2.2523148139545388E-4</v>
      </c>
      <c r="E64" s="409">
        <f>IF($P$14&lt;&gt;"-",IF($L$58,P15*0.2,P14*0.125),"-")</f>
        <v>4.5046296279090776E-4</v>
      </c>
      <c r="F64" s="409">
        <f>IF($P$14&lt;&gt;"-",IF($L$58,P15*0.3,P14*0.1875),"-")</f>
        <v>6.7569444418636164E-4</v>
      </c>
      <c r="G64" s="409">
        <f>IF($P$14&lt;&gt;"-",IF($L$58,P15*0.4,P14*0.25),"-")</f>
        <v>9.0092592558181552E-4</v>
      </c>
      <c r="H64" s="409">
        <f>IF($P$14&lt;&gt;"-",IF($L$58,P15*0.6,P14*0.375),"-")</f>
        <v>1.3513888883727233E-3</v>
      </c>
      <c r="I64" s="409">
        <f>IF($P$14&lt;&gt;"-",IF($L$58,P15*0.8,P14*0.5),"-")</f>
        <v>1.801851851163631E-3</v>
      </c>
      <c r="J64" s="409">
        <f>IF($P$14&lt;&gt;"-",IF($L$58,P15,P14*0.625),"-")</f>
        <v>2.2523148139545388E-3</v>
      </c>
      <c r="K64" s="409">
        <f>IF($P$14&lt;&gt;"-",IF($L$58,P15*1.2,P14*0.75),"-")</f>
        <v>2.7027777767454466E-3</v>
      </c>
      <c r="L64" s="410">
        <f>IF($P$14&lt;&gt;"-",IF($L$58,P15*1.6,P14),"-")</f>
        <v>3.6037037023272621E-3</v>
      </c>
      <c r="M64" s="417">
        <f>IF(COUNT(M49:M61)&gt;0,M62/M65,0)</f>
        <v>7.287037037037038E-3</v>
      </c>
      <c r="N64" s="367" t="s">
        <v>151</v>
      </c>
      <c r="O64" s="368">
        <f t="shared" si="26"/>
        <v>4.8953380612863646E-2</v>
      </c>
      <c r="P64" s="369">
        <f t="shared" si="22"/>
        <v>3.9391414684514219E-3</v>
      </c>
      <c r="Q64" s="370">
        <f t="shared" ca="1" si="23"/>
        <v>4.890410087638003E-2</v>
      </c>
      <c r="R64" s="371">
        <f t="shared" ca="1" si="24"/>
        <v>3.9351760660398475E-3</v>
      </c>
      <c r="S64" s="354">
        <f>20/1.609344</f>
        <v>12.427423844746679</v>
      </c>
      <c r="T64" s="372">
        <v>3.8368055555555551E-2</v>
      </c>
      <c r="U64" s="373">
        <v>4.282407407407407E-2</v>
      </c>
      <c r="V64" s="374" t="s">
        <v>141</v>
      </c>
      <c r="W64" s="375">
        <f t="shared" si="27"/>
        <v>20000</v>
      </c>
      <c r="X64" s="376">
        <f t="shared" si="25"/>
        <v>0.87696228487333483</v>
      </c>
      <c r="Y64" s="377">
        <f t="shared" si="28"/>
        <v>0.89351836737590107</v>
      </c>
      <c r="Z64" s="376">
        <f t="shared" si="28"/>
        <v>0.88615216897563609</v>
      </c>
      <c r="AA64" s="383">
        <f t="shared" si="29"/>
        <v>83.94191316218766</v>
      </c>
      <c r="AB64" s="384">
        <f t="shared" si="29"/>
        <v>73.858730812110522</v>
      </c>
    </row>
    <row r="65" spans="2:28" ht="13.5" thickBot="1" x14ac:dyDescent="0.25">
      <c r="B65" s="1038">
        <f>IF($L$58,N15,N14)</f>
        <v>2.3479610761828473E-3</v>
      </c>
      <c r="C65" s="1039"/>
      <c r="D65" s="418">
        <f>IF($N$14&lt;&gt;"-",IF($L$58,N15*0.1,N14*0.0625),"-")</f>
        <v>2.3479610761828473E-4</v>
      </c>
      <c r="E65" s="418">
        <f>IF($N$14&lt;&gt;"-",IF($L$58,N15*0.2,N14*0.125),"-")</f>
        <v>4.6959221523656947E-4</v>
      </c>
      <c r="F65" s="418">
        <f>IF($N$14&lt;&gt;"-",IF($L$58,N15*0.3,N14*0.1875),"-")</f>
        <v>7.043883228548542E-4</v>
      </c>
      <c r="G65" s="418">
        <f>IF($N$14&lt;&gt;"-",IF($L$58,N15*0.4,N14*0.25),"-")</f>
        <v>9.3918443047313893E-4</v>
      </c>
      <c r="H65" s="418">
        <f>IF($N$14&lt;&gt;"-",IF($L$58,N15*0.6,N14*0.375),"-")</f>
        <v>1.4087766457097084E-3</v>
      </c>
      <c r="I65" s="418">
        <f>IF($N$14&lt;&gt;"-",IF($L$58,N15*0.8,N14*0.5),"-")</f>
        <v>1.8783688609462779E-3</v>
      </c>
      <c r="J65" s="418">
        <f>IF($N$14&lt;&gt;"-",IF($L$58,N15,N14*0.625),"-")</f>
        <v>2.3479610761828473E-3</v>
      </c>
      <c r="K65" s="418">
        <f>IF($N$14&lt;&gt;"-",IF($L$58,N15*1.2,N14*0.75),"-")</f>
        <v>2.8175532914194168E-3</v>
      </c>
      <c r="L65" s="419">
        <f>IF($N$14&lt;&gt;"-",IF($L$58,N15*1.6,N14),"-")</f>
        <v>3.7567377218925557E-3</v>
      </c>
      <c r="M65" s="420">
        <f>COUNT(M49:M61)*M66</f>
        <v>5</v>
      </c>
      <c r="N65" s="367" t="s">
        <v>73</v>
      </c>
      <c r="O65" s="368">
        <f t="shared" si="26"/>
        <v>5.18054855469752E-2</v>
      </c>
      <c r="P65" s="369">
        <f t="shared" si="22"/>
        <v>3.9517880001000713E-3</v>
      </c>
      <c r="Q65" s="370">
        <f t="shared" ca="1" si="23"/>
        <v>5.1753334691524579E-2</v>
      </c>
      <c r="R65" s="371">
        <f t="shared" ca="1" si="24"/>
        <v>3.9478098668466379E-3</v>
      </c>
      <c r="S65" s="354">
        <f>K8</f>
        <v>13.109378728227153</v>
      </c>
      <c r="T65" s="372">
        <v>4.0543981481481479E-2</v>
      </c>
      <c r="U65" s="373">
        <v>4.5277777777777778E-2</v>
      </c>
      <c r="V65" s="374"/>
      <c r="W65" s="375">
        <f t="shared" si="27"/>
        <v>21097.5</v>
      </c>
      <c r="X65" s="376">
        <f t="shared" si="25"/>
        <v>0.87302730319901356</v>
      </c>
      <c r="Y65" s="377">
        <f t="shared" si="28"/>
        <v>0.88984520924202637</v>
      </c>
      <c r="Z65" s="376">
        <f t="shared" si="28"/>
        <v>0.88234809235297695</v>
      </c>
      <c r="AA65" s="383">
        <f t="shared" si="29"/>
        <v>84.106330289276514</v>
      </c>
      <c r="AB65" s="384">
        <f t="shared" si="29"/>
        <v>73.966933723571358</v>
      </c>
    </row>
    <row r="66" spans="2:28" ht="13.5" thickBot="1" x14ac:dyDescent="0.25">
      <c r="B66" s="1040" t="s">
        <v>152</v>
      </c>
      <c r="C66" s="1041"/>
      <c r="D66" s="1041"/>
      <c r="E66" s="1041"/>
      <c r="F66" s="1041"/>
      <c r="G66" s="1041"/>
      <c r="H66" s="1041"/>
      <c r="I66" s="1041"/>
      <c r="J66" s="1041"/>
      <c r="K66" s="1041"/>
      <c r="L66" s="1042"/>
      <c r="M66" s="421">
        <v>1</v>
      </c>
      <c r="N66" s="367" t="s">
        <v>153</v>
      </c>
      <c r="O66" s="368">
        <f t="shared" si="26"/>
        <v>6.2016507124756162E-2</v>
      </c>
      <c r="P66" s="369">
        <f t="shared" si="22"/>
        <v>3.9922357456873437E-3</v>
      </c>
      <c r="Q66" s="370">
        <f t="shared" ca="1" si="23"/>
        <v>6.1954077174250569E-2</v>
      </c>
      <c r="R66" s="371">
        <f t="shared" ca="1" si="24"/>
        <v>3.9882168950366847E-3</v>
      </c>
      <c r="S66" s="354">
        <f>25/1.609344</f>
        <v>15.534279805933348</v>
      </c>
      <c r="T66" s="372">
        <v>4.8668981481481487E-2</v>
      </c>
      <c r="U66" s="373">
        <v>5.3993055555555558E-2</v>
      </c>
      <c r="V66" s="374"/>
      <c r="W66" s="375">
        <f t="shared" si="27"/>
        <v>25000</v>
      </c>
      <c r="X66" s="376">
        <f t="shared" si="25"/>
        <v>0.86051826607552617</v>
      </c>
      <c r="Y66" s="377">
        <f t="shared" si="28"/>
        <v>0.8773661147741546</v>
      </c>
      <c r="Z66" s="376">
        <f t="shared" si="28"/>
        <v>0.87014611522163554</v>
      </c>
      <c r="AA66" s="383">
        <f t="shared" si="29"/>
        <v>83.942748053237494</v>
      </c>
      <c r="AB66" s="384">
        <f t="shared" si="29"/>
        <v>74.420185745735807</v>
      </c>
    </row>
    <row r="67" spans="2:28" ht="14.25" thickTop="1" thickBot="1" x14ac:dyDescent="0.25">
      <c r="B67" s="364"/>
      <c r="C67" s="365"/>
      <c r="D67" s="365"/>
      <c r="E67" s="365"/>
      <c r="F67" s="365"/>
      <c r="G67" s="365"/>
      <c r="H67" s="365"/>
      <c r="I67" s="365"/>
      <c r="J67" s="365"/>
      <c r="K67" s="365"/>
      <c r="L67" s="366"/>
      <c r="M67" s="422" t="s">
        <v>154</v>
      </c>
      <c r="N67" s="367" t="s">
        <v>155</v>
      </c>
      <c r="O67" s="368">
        <f t="shared" si="26"/>
        <v>7.5238377792293781E-2</v>
      </c>
      <c r="P67" s="369">
        <f t="shared" si="22"/>
        <v>4.0361477289920416E-3</v>
      </c>
      <c r="Q67" s="370">
        <f t="shared" ca="1" si="23"/>
        <v>7.5162637825316209E-2</v>
      </c>
      <c r="R67" s="371">
        <f t="shared" ca="1" si="24"/>
        <v>4.0320846736115225E-3</v>
      </c>
      <c r="S67" s="354">
        <f>30/1.609344</f>
        <v>18.641135767120019</v>
      </c>
      <c r="T67" s="372">
        <v>5.9143518518518519E-2</v>
      </c>
      <c r="U67" s="373">
        <v>6.5509259259259267E-2</v>
      </c>
      <c r="V67" s="423"/>
      <c r="W67" s="375">
        <f t="shared" si="27"/>
        <v>30000</v>
      </c>
      <c r="X67" s="376">
        <f t="shared" si="25"/>
        <v>0.847449141587586</v>
      </c>
      <c r="Y67" s="377">
        <f t="shared" si="28"/>
        <v>0.86380358136395219</v>
      </c>
      <c r="Z67" s="376">
        <f t="shared" si="28"/>
        <v>0.85675123322378022</v>
      </c>
      <c r="AA67" s="383">
        <f t="shared" si="29"/>
        <v>83.936711512887442</v>
      </c>
      <c r="AB67" s="384">
        <f t="shared" si="29"/>
        <v>74.560974111327553</v>
      </c>
    </row>
    <row r="68" spans="2:28" ht="13.5" thickBot="1" x14ac:dyDescent="0.25">
      <c r="B68" s="1043" t="s">
        <v>156</v>
      </c>
      <c r="C68" s="1044"/>
      <c r="D68" s="1044"/>
      <c r="E68" s="1044"/>
      <c r="F68" s="1045" t="s">
        <v>157</v>
      </c>
      <c r="G68" s="1045"/>
      <c r="H68" s="1045"/>
      <c r="I68" s="1045"/>
      <c r="J68" s="1045"/>
      <c r="K68" s="1046"/>
      <c r="L68" s="424" t="b">
        <v>0</v>
      </c>
      <c r="M68" s="425" t="s">
        <v>119</v>
      </c>
      <c r="N68" s="367" t="s">
        <v>65</v>
      </c>
      <c r="O68" s="368">
        <f t="shared" si="26"/>
        <v>0.1080108898129425</v>
      </c>
      <c r="P68" s="369">
        <f t="shared" si="22"/>
        <v>4.1196036842071375E-3</v>
      </c>
      <c r="Q68" s="370">
        <f t="shared" ca="1" si="23"/>
        <v>0.10790215885053081</v>
      </c>
      <c r="R68" s="371">
        <f t="shared" ca="1" si="24"/>
        <v>4.1154566164983688E-3</v>
      </c>
      <c r="S68" s="354">
        <f>J8</f>
        <v>26.218757456454306</v>
      </c>
      <c r="T68" s="372">
        <v>8.5381944444444455E-2</v>
      </c>
      <c r="U68" s="373">
        <v>9.4039351851851846E-2</v>
      </c>
      <c r="V68" s="374"/>
      <c r="W68" s="375">
        <f t="shared" si="27"/>
        <v>42195</v>
      </c>
      <c r="X68" s="376">
        <f t="shared" si="25"/>
        <v>0.82596199454992247</v>
      </c>
      <c r="Y68" s="377">
        <f t="shared" si="28"/>
        <v>0.83937037212683074</v>
      </c>
      <c r="Z68" s="376">
        <f t="shared" si="28"/>
        <v>0.83357274207491261</v>
      </c>
      <c r="AA68" s="383">
        <f t="shared" si="29"/>
        <v>83.631429237546513</v>
      </c>
      <c r="AB68" s="384">
        <f t="shared" si="29"/>
        <v>74.724020429459273</v>
      </c>
    </row>
    <row r="69" spans="2:28" ht="13.5" thickBot="1" x14ac:dyDescent="0.25">
      <c r="B69" s="997" t="s">
        <v>158</v>
      </c>
      <c r="C69" s="1047"/>
      <c r="D69" s="998"/>
      <c r="E69" s="426" t="s">
        <v>159</v>
      </c>
      <c r="F69" s="427" t="s">
        <v>160</v>
      </c>
      <c r="G69" s="427" t="s">
        <v>161</v>
      </c>
      <c r="H69" s="427" t="s">
        <v>162</v>
      </c>
      <c r="I69" s="427" t="s">
        <v>163</v>
      </c>
      <c r="J69" s="427" t="s">
        <v>164</v>
      </c>
      <c r="K69" s="427" t="s">
        <v>165</v>
      </c>
      <c r="L69" s="428" t="s">
        <v>166</v>
      </c>
      <c r="M69" s="429">
        <v>0.13320601851851852</v>
      </c>
      <c r="N69" s="367" t="s">
        <v>167</v>
      </c>
      <c r="O69" s="430">
        <f t="shared" si="26"/>
        <v>0.12930017056903562</v>
      </c>
      <c r="P69" s="431">
        <f t="shared" si="22"/>
        <v>4.161769074085081E-3</v>
      </c>
      <c r="Q69" s="432">
        <f t="shared" ca="1" si="23"/>
        <v>0.12917000839732945</v>
      </c>
      <c r="R69" s="433">
        <f t="shared" ca="1" si="24"/>
        <v>4.1575795598838353E-3</v>
      </c>
      <c r="S69" s="354">
        <f>50/1.609344</f>
        <v>31.068559611866696</v>
      </c>
      <c r="T69" s="396">
        <v>0.10381944444444445</v>
      </c>
      <c r="U69" s="397">
        <v>0.11365740740740742</v>
      </c>
      <c r="V69" s="434"/>
      <c r="W69" s="435">
        <f t="shared" si="27"/>
        <v>50000</v>
      </c>
      <c r="X69" s="436">
        <f t="shared" si="25"/>
        <v>0.81754737106916797</v>
      </c>
      <c r="Y69" s="437">
        <f t="shared" si="28"/>
        <v>0.82804352188881181</v>
      </c>
      <c r="Z69" s="436">
        <f t="shared" si="28"/>
        <v>0.82339999924084262</v>
      </c>
      <c r="AA69" s="438">
        <f t="shared" si="29"/>
        <v>82.107800547242761</v>
      </c>
      <c r="AB69" s="439">
        <f t="shared" si="29"/>
        <v>73.823068676968091</v>
      </c>
    </row>
    <row r="70" spans="2:28" ht="13.5" thickBot="1" x14ac:dyDescent="0.25">
      <c r="B70" s="1022" t="s">
        <v>168</v>
      </c>
      <c r="C70" s="1023"/>
      <c r="D70" s="1024"/>
      <c r="E70" s="440" t="str">
        <f>IF($L$68,"1.6 k","Mile")</f>
        <v>Mile</v>
      </c>
      <c r="F70" s="440" t="s">
        <v>169</v>
      </c>
      <c r="G70" s="440" t="s">
        <v>170</v>
      </c>
      <c r="H70" s="440" t="s">
        <v>171</v>
      </c>
      <c r="I70" s="440" t="s">
        <v>172</v>
      </c>
      <c r="J70" s="440" t="s">
        <v>173</v>
      </c>
      <c r="K70" s="440" t="s">
        <v>174</v>
      </c>
      <c r="L70" s="441" t="s">
        <v>175</v>
      </c>
      <c r="M70" s="442">
        <v>0.13295138888888888</v>
      </c>
      <c r="N70" s="1025" t="s">
        <v>176</v>
      </c>
      <c r="O70" s="1026"/>
      <c r="P70" s="443" t="b">
        <v>0</v>
      </c>
      <c r="Q70" s="1027" t="s">
        <v>177</v>
      </c>
      <c r="R70" s="1028"/>
    </row>
    <row r="71" spans="2:28" ht="13.5" thickBot="1" x14ac:dyDescent="0.25">
      <c r="B71" s="1029" t="str">
        <f>IF($L$68,"Pace / km","Pace / mile")</f>
        <v>Pace / mile</v>
      </c>
      <c r="C71" s="1030"/>
      <c r="D71" s="1031"/>
      <c r="E71" s="444">
        <f>IF($L$68,$R$15,$R$14)</f>
        <v>3.3864035559680841E-3</v>
      </c>
      <c r="F71" s="445" t="str">
        <f>IF($L$68,TEXT($Q$15,"m:ss")&amp;" - "&amp;TEXT($O$15,"m:ss"),TEXT($Q$14,"m:ss")&amp;"-"&amp;TEXT($O$14,"m:ss"))</f>
        <v>5:04-5:22</v>
      </c>
      <c r="G71" s="445" t="str">
        <f>IF($L$68,TEXT($O$15,"m:ss")&amp;" - "&amp;TEXT($M$15,"m:ss"),TEXT($O$14,"m:ss")&amp;"-"&amp;TEXT($M$14,"m:ss"))</f>
        <v>5:22-5:30</v>
      </c>
      <c r="H71" s="445" t="str">
        <f>IF($L$68,TEXT($N$15,"m:ss")&amp;" - "&amp;TEXT($L$15,"m:ss"),TEXT($N$14,"m:ss")&amp;"-"&amp;TEXT($L$14,"m:ss"))</f>
        <v>5:26-5:35</v>
      </c>
      <c r="I71" s="445" t="str">
        <f>IF($L$68,TEXT($M$15,"m:ss")&amp;" - "&amp;TEXT($K$15,"m:ss"),TEXT($M$14,"m:ss")&amp;"-"&amp;TEXT($K$14,"m:ss"))</f>
        <v>5:30-5:41</v>
      </c>
      <c r="J71" s="445" t="str">
        <f>IF($L$68,TEXT($K$15,"m:ss")&amp;" - "&amp;TEXT(($J$15+$K$15)/2,"m:ss"),TEXT($K$14,"m:ss")&amp;"-"&amp;TEXT(($J$14+$K$14)/2,"m:ss"))</f>
        <v>5:41-5:49</v>
      </c>
      <c r="K71" s="445" t="str">
        <f>TEXT(($J$14+"0:00:30")*IF($L$68,0.621371192,1),"m:ss")&amp;" - "&amp;TEXT(($J$14+"0:01:00")*IF($L$68,0.621371192,1),"m:ss")</f>
        <v>6:26 - 6:56</v>
      </c>
      <c r="L71" s="446" t="str">
        <f>TEXT(($J$14+"0:00:30")*IF($L$68,0.621371192,1),"m:ss")&amp;" - "&amp;TEXT(($J$14+"0:01:30")*IF($L$68,0.621371192,1),"m:ss")</f>
        <v>6:26 - 7:26</v>
      </c>
      <c r="M71" s="447">
        <f>M69-M70</f>
        <v>2.5462962962963243E-4</v>
      </c>
      <c r="N71" s="448" t="s">
        <v>178</v>
      </c>
      <c r="O71" s="449" t="s">
        <v>179</v>
      </c>
      <c r="P71" s="450" t="s">
        <v>180</v>
      </c>
      <c r="Q71" s="1032" t="s">
        <v>181</v>
      </c>
      <c r="R71" s="1033"/>
    </row>
    <row r="72" spans="2:28" ht="14.25" thickTop="1" thickBot="1" x14ac:dyDescent="0.25">
      <c r="B72" s="1034"/>
      <c r="C72" s="1035"/>
      <c r="D72" s="1035"/>
      <c r="E72" s="1035"/>
      <c r="F72" s="1035"/>
      <c r="G72" s="451" t="str">
        <f>IF($H$72,"Heart Rate","% HRmax")</f>
        <v>% HRmax</v>
      </c>
      <c r="H72" s="452" t="b">
        <v>0</v>
      </c>
      <c r="I72" s="453" t="str">
        <f>IF($H$72,TEXT(0.9*$E$3,0)&amp;" - "&amp;TEXT(0.85*$E$3,0),"90 - 85%")</f>
        <v>90 - 85%</v>
      </c>
      <c r="J72" s="453" t="str">
        <f>IF($H$72,TEXT(0.87*$E$3,0)&amp;" - "&amp;TEXT(0.83*$E$3,0),"87 - 83%")</f>
        <v>87 - 83%</v>
      </c>
      <c r="K72" s="454" t="str">
        <f>IF($H$72,TEXT(0.75*$E$3,0),"75%")</f>
        <v>75%</v>
      </c>
      <c r="L72" s="455" t="str">
        <f>IF($H$72,TEXT(0.7*$E$3,0),"70%")</f>
        <v>70%</v>
      </c>
      <c r="N72" s="456"/>
      <c r="R72" s="457" t="str">
        <f>IF(ISNA(MATCH(D8,S50:S69,0)),"No","Yes")</f>
        <v>Yes</v>
      </c>
    </row>
    <row r="73" spans="2:28" ht="14.25" thickTop="1" thickBot="1" x14ac:dyDescent="0.25">
      <c r="B73" s="1055" t="s">
        <v>182</v>
      </c>
      <c r="C73" s="1056"/>
      <c r="D73" s="1056"/>
      <c r="E73" s="1056"/>
      <c r="F73" s="1056"/>
      <c r="G73" s="1056"/>
      <c r="H73" s="1056"/>
      <c r="I73" s="1056"/>
      <c r="J73" s="1056"/>
      <c r="K73" s="1056"/>
      <c r="L73" s="1057"/>
      <c r="M73" s="1058" t="str">
        <f>"Entry Time Grading - "&amp;E6</f>
        <v>Entry Time Grading - 5k</v>
      </c>
      <c r="N73" s="1059"/>
      <c r="O73" s="1060"/>
      <c r="P73" s="1058" t="str">
        <f>IF(C4,"Male","Female")&amp;" Peak Potential - "&amp;$E$6</f>
        <v>Male Peak Potential - 5k</v>
      </c>
      <c r="Q73" s="1059"/>
      <c r="R73" s="1060"/>
      <c r="T73" s="458"/>
      <c r="U73" s="458"/>
      <c r="V73" s="33"/>
    </row>
    <row r="74" spans="2:28" ht="13.5" thickBot="1" x14ac:dyDescent="0.25">
      <c r="B74" s="1061" t="s">
        <v>183</v>
      </c>
      <c r="C74" s="1062"/>
      <c r="D74" s="1062"/>
      <c r="E74" s="1062"/>
      <c r="F74" s="1045" t="s">
        <v>184</v>
      </c>
      <c r="G74" s="1045"/>
      <c r="H74" s="1045"/>
      <c r="I74" s="1045"/>
      <c r="J74" s="1045"/>
      <c r="K74" s="1045"/>
      <c r="L74" s="459" t="b">
        <v>0</v>
      </c>
      <c r="M74" s="1063" t="str">
        <f ca="1">IF($C$4," Male ","Female ")&amp;IF(ISNUMBER($E$5),$E$5,"")</f>
        <v xml:space="preserve"> Male 31</v>
      </c>
      <c r="N74" s="1064"/>
      <c r="O74" s="1065">
        <f>$G$6</f>
        <v>1.1261574074074075E-2</v>
      </c>
      <c r="P74" s="460"/>
      <c r="Q74" s="461" t="s">
        <v>185</v>
      </c>
      <c r="R74" s="462">
        <f>IF(R72="No","No Std",LOOKUP($D$8,$S$50:$S$69,IF($C$4,$T$50:$T$69,$U$50:$U$69)))</f>
        <v>9.0162037037037034E-3</v>
      </c>
      <c r="T74" s="458"/>
      <c r="U74" s="458"/>
      <c r="V74" s="33"/>
      <c r="W74" s="33"/>
    </row>
    <row r="75" spans="2:28" ht="13.5" thickBot="1" x14ac:dyDescent="0.25">
      <c r="B75" s="997" t="s">
        <v>186</v>
      </c>
      <c r="C75" s="1047"/>
      <c r="D75" s="1047"/>
      <c r="E75" s="998"/>
      <c r="F75" s="463" t="s">
        <v>187</v>
      </c>
      <c r="G75" s="463" t="s">
        <v>188</v>
      </c>
      <c r="H75" s="463" t="s">
        <v>189</v>
      </c>
      <c r="I75" s="463" t="s">
        <v>190</v>
      </c>
      <c r="J75" s="463" t="s">
        <v>191</v>
      </c>
      <c r="K75" s="463" t="s">
        <v>192</v>
      </c>
      <c r="L75" s="464" t="s">
        <v>193</v>
      </c>
      <c r="M75" s="1048" t="str">
        <f>IF(O74=$G$6, "Current Entry Time","Manual Time")</f>
        <v>Current Entry Time</v>
      </c>
      <c r="N75" s="1049"/>
      <c r="O75" s="1066"/>
      <c r="P75" s="465"/>
      <c r="Q75" s="466" t="str">
        <f ca="1">IF($O$85="yes","Age "&amp;DATEDIF($E$2,NOW(),"y")&amp;" Std:","")</f>
        <v>Age 31 Std:</v>
      </c>
      <c r="R75" s="467">
        <f ca="1">IF(R72="No","No Std",IF($O$85="yes",$R$74/LOOKUP(DATEDIF($E$2,NOW(),"y"),$AD$135:$AD$230,IF($C$4,$AE$135:$AE$230,$AF$135:$AF$230)),"Birthdate?"))</f>
        <v>9.0252891614595737E-3</v>
      </c>
      <c r="T75" s="458"/>
      <c r="U75" s="458"/>
      <c r="V75" s="33"/>
      <c r="W75" s="33"/>
    </row>
    <row r="76" spans="2:28" ht="13.5" thickBot="1" x14ac:dyDescent="0.25">
      <c r="B76" s="1022" t="s">
        <v>194</v>
      </c>
      <c r="C76" s="1023"/>
      <c r="D76" s="1023"/>
      <c r="E76" s="1024"/>
      <c r="F76" s="468" t="str">
        <f>IF($E$3,"&lt; "&amp;TEXT(IF($D$78,$F$78,$C$78)*0.85,0),"-")</f>
        <v>&lt; 154</v>
      </c>
      <c r="G76" s="468" t="str">
        <f>IF($E$3,TEXT(IF($D$78,$F$78,$C$78)*0.85,0)&amp;" - "&amp;TEXT(IF($D$78,$F$78,$C$78)*0.89,0),"-")</f>
        <v>154 - 161</v>
      </c>
      <c r="H76" s="468" t="str">
        <f>IF($E$3,TEXT(IF($D$78,$F$78,$C$78)*0.9,0)&amp;" - "&amp;TEXT(IF($D$78,$F$78,$C$78)*0.94,0),"-")</f>
        <v>163 - 170</v>
      </c>
      <c r="I76" s="468" t="str">
        <f>IF($E$3,TEXT(IF($D$78,$F$78,$C$78)*0.95,0)&amp;" - "&amp;TEXT(IF($D$78,$F$78,$C$78)*0.99,0),"-")</f>
        <v>172 - 179</v>
      </c>
      <c r="J76" s="468" t="str">
        <f>IF($E$3,TEXT(IF($D$78,$F$78,$C$78)*1,0)&amp;" - "&amp;TEXT(IF($D$78,$F$78,$C$78)*1.02,0),"-")</f>
        <v>181 - 185</v>
      </c>
      <c r="K76" s="468" t="str">
        <f>IF($E$3,TEXT(IF($D$78,$F$78,$C$78)*1.03,0)&amp;" - "&amp;TEXT(IF($D$78,$F$78,$C$78)*1.06,0),"-")</f>
        <v>186 - 192</v>
      </c>
      <c r="L76" s="469" t="str">
        <f>IF($E$3,"&gt; "&amp;TEXT(IF($D$78,$F$78,$C$78)*1.06,0),"-")</f>
        <v>&gt; 192</v>
      </c>
      <c r="M76" s="1048"/>
      <c r="N76" s="1049"/>
      <c r="O76" s="470">
        <f>O74/IF(L80,F8/1000,D8)</f>
        <v>3.6247493333333336E-3</v>
      </c>
      <c r="P76" s="1050" t="s">
        <v>195</v>
      </c>
      <c r="Q76" s="1051"/>
      <c r="R76" s="471">
        <f ca="1">IF($O$85="Yes",$E$5,"Birthdate?")</f>
        <v>31</v>
      </c>
      <c r="T76" s="458"/>
      <c r="U76" s="458"/>
      <c r="V76" s="33"/>
      <c r="W76" s="33"/>
    </row>
    <row r="77" spans="2:28" ht="13.5" thickBot="1" x14ac:dyDescent="0.25">
      <c r="B77" s="1029" t="str">
        <f>IF($L$74,"Zone Pace / km","Zone Pace / mile")</f>
        <v>Zone Pace / mile</v>
      </c>
      <c r="C77" s="1030"/>
      <c r="D77" s="1030"/>
      <c r="E77" s="1031"/>
      <c r="F77" s="444" t="str">
        <f>"&lt; "&amp;TEXT(IF($J$78,$L$78/60,$I$78)*1.29*IF(L74,0.621371192,1),"m:ss")</f>
        <v>&lt; 7:16</v>
      </c>
      <c r="G77" s="444" t="str">
        <f>TEXT(IF($J$78,$L$78/60,$I$78)*1.29*IF(L74,0.621371192,1),"m:ss")&amp;" - "&amp;TEXT(IF($J$78,$L$78/60,$I$78)*1.14*IF(L74,0.621371192,1),"m:ss")</f>
        <v>7:16 - 6:25</v>
      </c>
      <c r="H77" s="444" t="str">
        <f>TEXT(IF($J$78,$L$78/60,$I$78)*1.13*IF(L74,0.621371192,1),"m:ss")&amp;" - "&amp;TEXT(IF($J$78,$L$78/60,$I$78)*1.06*IF(L74,0.621371192,1),"m:ss")</f>
        <v>6:22 - 5:58</v>
      </c>
      <c r="I77" s="444" t="str">
        <f>TEXT(IF($J$78,$L$78/60,$I$78)*1.05*IF(L74,0.621371192,1),"m:ss")&amp;" - "&amp;TEXT(IF($J$78,$L$78/60,$I$78)*0.99*IF(L74,0.621371192,1),"m:ss")</f>
        <v>5:55 - 5:35</v>
      </c>
      <c r="J77" s="444" t="str">
        <f>TEXT(IF($J$78,$L$78/60,$I$78)*1*IF(L74,0.621371192,1),"m:ss")&amp;" - "&amp;TEXT(IF($J$78,$L$78/60,$I$78)*0.97*IF(L74,0.621371192,1),"m:ss")</f>
        <v>5:38 - 5:28</v>
      </c>
      <c r="K77" s="444" t="str">
        <f>TEXT(IF($J$78,$L$78/60,$I$78)*0.96*IF(L74,0.621371192,1),"m:ss")&amp;" - "&amp;TEXT(IF($J$78,$L$78/60,$I$78)*0.9*IF(L74,0.621371192,1),"m:ss")</f>
        <v>5:24 - 5:04</v>
      </c>
      <c r="L77" s="472" t="str">
        <f>"&gt; "&amp;TEXT(IF($J$78,$L$78/60,$I$78)*0.9*IF(L74,0.621371192,1),"m:ss")</f>
        <v>&gt; 5:04</v>
      </c>
      <c r="M77" s="1052" t="s">
        <v>196</v>
      </c>
      <c r="N77" s="1053"/>
      <c r="O77" s="473" t="s">
        <v>101</v>
      </c>
      <c r="P77" s="1050" t="s">
        <v>197</v>
      </c>
      <c r="Q77" s="1054"/>
      <c r="R77" s="474">
        <f>IF(AND($C$2&gt;0,$C$3&gt;0),IF($B$4,$C$3 / ($C$2/100)^2,$C$3 / $C$2^2*703),"Wght / Hght?")</f>
        <v>21.61575084308669</v>
      </c>
      <c r="T77" s="458"/>
      <c r="U77" s="458"/>
      <c r="V77" s="33"/>
      <c r="W77" s="33"/>
    </row>
    <row r="78" spans="2:28" ht="13.5" thickBot="1" x14ac:dyDescent="0.25">
      <c r="B78" s="475" t="s">
        <v>198</v>
      </c>
      <c r="C78" s="476">
        <f>IF($E$3&lt;&gt;"",$E$3*0.9,"")</f>
        <v>180.9</v>
      </c>
      <c r="D78" s="1086" t="b">
        <v>0</v>
      </c>
      <c r="E78" s="1087"/>
      <c r="F78" s="477">
        <v>157</v>
      </c>
      <c r="G78" s="478"/>
      <c r="H78" s="479" t="s">
        <v>199</v>
      </c>
      <c r="I78" s="480">
        <f>+L6</f>
        <v>3.9117357661323827E-3</v>
      </c>
      <c r="J78" s="1086" t="b">
        <v>0</v>
      </c>
      <c r="K78" s="1087"/>
      <c r="L78" s="481">
        <v>0.30208333333333331</v>
      </c>
      <c r="M78" s="1088" t="s">
        <v>200</v>
      </c>
      <c r="N78" s="1089"/>
      <c r="O78" s="1090"/>
      <c r="P78" s="1091" t="str">
        <f>"current age, wght "&amp;ROUND($C$3,1)</f>
        <v>current age, wght 155</v>
      </c>
      <c r="Q78" s="1092"/>
      <c r="R78" s="482">
        <f ca="1">IF(R72="no","-",IF(AND($C$2&gt;0,$C$3&gt;0,$O$85="yes"),MAX($R$75*(C3/MIN(D98,F100))^$I$93,$R$75),"""?"))</f>
        <v>1.027079005252729E-2</v>
      </c>
      <c r="T78" s="458"/>
      <c r="U78" s="458"/>
      <c r="V78" s="33"/>
      <c r="W78" s="33"/>
    </row>
    <row r="79" spans="2:28" ht="13.5" thickBot="1" x14ac:dyDescent="0.25">
      <c r="B79" s="483"/>
      <c r="M79" s="484"/>
      <c r="N79" s="24"/>
      <c r="O79" s="485"/>
      <c r="P79" s="1052" t="s">
        <v>201</v>
      </c>
      <c r="Q79" s="1053"/>
      <c r="R79" s="486">
        <f>IF(AND($C$2&gt;0,$P$80&gt;0),IF($B$4,$P$80 / ($C$2/100)^2,$P$80 / $C$2^2*703),"")</f>
        <v>18.498158078143003</v>
      </c>
      <c r="T79" s="458"/>
      <c r="U79" s="458"/>
      <c r="V79" s="33"/>
      <c r="W79" s="33"/>
    </row>
    <row r="80" spans="2:28" ht="13.5" thickBot="1" x14ac:dyDescent="0.25">
      <c r="B80" s="487"/>
      <c r="C80" s="995" t="str">
        <f>"Projected Impact of Temperature on "&amp;E6&amp;" Time "&amp;IF($D$85=4,IF($C$4,"- Male","- Female"),"")</f>
        <v xml:space="preserve">Projected Impact of Temperature on 5k Time </v>
      </c>
      <c r="D80" s="995"/>
      <c r="E80" s="995"/>
      <c r="F80" s="995"/>
      <c r="G80" s="995"/>
      <c r="H80" s="995"/>
      <c r="I80" s="995"/>
      <c r="J80" s="1093" t="str">
        <f>IF($D$85=1,HYPERLINK($AE$232,"J.Daniels"),IF($D$85=2,HYPERLINK($AE$236,"M.Hadley"),IF($D$85=3,HYPERLINK($AE$240,"Tinman"),IF($D$85=4,HYPERLINK($AE$244,"El Helou, et al")))))</f>
        <v>J.Daniels</v>
      </c>
      <c r="K80" s="1093"/>
      <c r="L80" s="403" t="b">
        <v>0</v>
      </c>
      <c r="M80" s="484"/>
      <c r="N80" s="24"/>
      <c r="O80" s="485"/>
      <c r="P80" s="488">
        <f>D98</f>
        <v>132.64468687328431</v>
      </c>
      <c r="Q80" s="489" t="str">
        <f>IF($B$4," kg"," lbs")</f>
        <v xml:space="preserve"> lbs</v>
      </c>
      <c r="R80" s="490">
        <f ca="1">IF(R72="no","-",IF(AND($C$3&gt;0,$P$80&gt;0,$O$85="yes"),$R$78*(IF(P80&gt;=MIN(D98,F100,C3),P80,MIN(F100,D98,C3))/C3)^$I$93,"?"))</f>
        <v>9.0252891614595737E-3</v>
      </c>
      <c r="T80" s="458"/>
      <c r="U80" s="458"/>
      <c r="V80" s="33"/>
      <c r="W80" s="33"/>
    </row>
    <row r="81" spans="2:23" ht="14.25" thickTop="1" thickBot="1" x14ac:dyDescent="0.25">
      <c r="B81" s="1067" t="str">
        <f>IF($D$85=1,W233,IF($D$85=2,W237,IF($D$85=3,W241,IF($D$85=4,W245))))</f>
        <v>Temperature  °F</v>
      </c>
      <c r="C81" s="1068"/>
      <c r="D81" s="491">
        <f>IF($D$85=1,Y233,IF($D$85=2,Y237,IF($D$85=3,Y241,IF($D$85=4,Y245))))</f>
        <v>55</v>
      </c>
      <c r="E81" s="491">
        <f t="shared" ref="E81:K82" si="31">IF($D$85=1,Z233,IF($D$85=2,Z237,IF($D$85=3,Z241,IF($D$85=4,IF($C$4,Z245,Z249)))))</f>
        <v>60</v>
      </c>
      <c r="F81" s="491">
        <f t="shared" si="31"/>
        <v>65</v>
      </c>
      <c r="G81" s="491">
        <f t="shared" si="31"/>
        <v>70</v>
      </c>
      <c r="H81" s="491">
        <f t="shared" si="31"/>
        <v>75</v>
      </c>
      <c r="I81" s="491">
        <f t="shared" si="31"/>
        <v>80</v>
      </c>
      <c r="J81" s="491">
        <f t="shared" si="31"/>
        <v>85</v>
      </c>
      <c r="K81" s="491">
        <f t="shared" si="31"/>
        <v>90</v>
      </c>
      <c r="L81" s="491">
        <f>IF($D$85=1,AG233,IF($D$85=2,AG237,IF($D$85=3,AG241,IF($D$85=4,AG245))))</f>
        <v>95</v>
      </c>
      <c r="M81" s="1069" t="s">
        <v>202</v>
      </c>
      <c r="N81" s="1070"/>
      <c r="O81" s="1071"/>
      <c r="P81" s="162"/>
      <c r="R81" s="492"/>
      <c r="T81" s="458"/>
      <c r="U81" s="458"/>
      <c r="V81" s="33"/>
      <c r="W81" s="33"/>
    </row>
    <row r="82" spans="2:23" ht="14.25" thickTop="1" thickBot="1" x14ac:dyDescent="0.25">
      <c r="B82" s="1072" t="s">
        <v>203</v>
      </c>
      <c r="C82" s="1073"/>
      <c r="D82" s="493">
        <f>IF($D$85=1,Y234,IF($D$85=2,Y238,IF($D$85=3,Y242,IF($D$85=4,Y246))))</f>
        <v>1.1261574074074075E-2</v>
      </c>
      <c r="E82" s="494">
        <f t="shared" si="31"/>
        <v>1.1278834350810186E-2</v>
      </c>
      <c r="F82" s="494">
        <f t="shared" si="31"/>
        <v>1.1365756810300926E-2</v>
      </c>
      <c r="G82" s="494">
        <f t="shared" si="31"/>
        <v>1.1452679269791667E-2</v>
      </c>
      <c r="H82" s="494">
        <f t="shared" si="31"/>
        <v>1.1539601729282409E-2</v>
      </c>
      <c r="I82" s="494">
        <f t="shared" si="31"/>
        <v>1.1626524188773149E-2</v>
      </c>
      <c r="J82" s="494">
        <f t="shared" si="31"/>
        <v>1.1713446648263889E-2</v>
      </c>
      <c r="K82" s="494">
        <f t="shared" si="31"/>
        <v>1.180036910775463E-2</v>
      </c>
      <c r="L82" s="494">
        <f>IF($D$85=1,AG234,IF($D$85=2,AG238,IF($D$85=3,AG242,IF($D$85=4,AG246))))</f>
        <v>1.1887291567245372E-2</v>
      </c>
      <c r="M82" s="1074" t="s">
        <v>204</v>
      </c>
      <c r="N82" s="1075"/>
      <c r="O82" s="495">
        <v>25</v>
      </c>
      <c r="P82" s="1076" t="s">
        <v>205</v>
      </c>
      <c r="Q82" s="1077"/>
      <c r="R82" s="1078"/>
    </row>
    <row r="83" spans="2:23" ht="13.5" thickTop="1" x14ac:dyDescent="0.2">
      <c r="B83" s="1079" t="str">
        <f>IF($L$80,"Adj Pace / km","Adj Pace / mile")</f>
        <v>Adj Pace / mile</v>
      </c>
      <c r="C83" s="1080"/>
      <c r="D83" s="496">
        <f>IF($D$82&lt;&gt;"-",D82/IF($L$80,$F$8/1000,$D$8),"-")</f>
        <v>3.6247493333333336E-3</v>
      </c>
      <c r="E83" s="497">
        <f>IF($E$82&lt;&gt;"-",E82/IF($L$80,$F$8/1000,$D$8),"-")</f>
        <v>3.6303048778940539E-3</v>
      </c>
      <c r="F83" s="497">
        <f>IF($F$82&lt;&gt;"-",F82/IF($L$80,$F$8/1000,$D$8),"-")</f>
        <v>3.658282505623387E-3</v>
      </c>
      <c r="G83" s="497">
        <f>IF($G$82&lt;&gt;"-",G82/IF($L$80,$F$8/1000,$D$8),"-")</f>
        <v>3.6862601333527202E-3</v>
      </c>
      <c r="H83" s="497">
        <f>IF($H$82&lt;&gt;"-",H82/IF($L$80,$F$8/1000,$D$8),"-")</f>
        <v>3.7142377610820537E-3</v>
      </c>
      <c r="I83" s="497">
        <f>IF($I$82&lt;&gt;"-",I82/IF($L$80,$F$8/1000,$D$8),"-")</f>
        <v>3.7422153888113873E-3</v>
      </c>
      <c r="J83" s="497">
        <f>IF($J$82&lt;&gt;"-",J82/IF($L$80,$F$8/1000,$D$8),"-")</f>
        <v>3.7701930165407204E-3</v>
      </c>
      <c r="K83" s="497">
        <f>IF($K$82&lt;&gt;"-",K82/IF($L$80,$F$8/1000,$D$8),"-")</f>
        <v>3.7981706442700536E-3</v>
      </c>
      <c r="L83" s="498">
        <f>IF($L$82&lt;&gt;"-",L82/IF($L$80,$F$8/1000,$D$8),"-")</f>
        <v>3.8261482719993871E-3</v>
      </c>
      <c r="M83" s="1081" t="s">
        <v>206</v>
      </c>
      <c r="N83" s="1082"/>
      <c r="O83" s="499">
        <f ca="1">ABS(IF($O$85="yes",$O$74-$O$84,0))</f>
        <v>1.1336651234568687E-5</v>
      </c>
      <c r="P83" s="1083" t="s">
        <v>207</v>
      </c>
      <c r="Q83" s="1084"/>
      <c r="R83" s="1085"/>
      <c r="T83" s="500"/>
    </row>
    <row r="84" spans="2:23" ht="13.5" thickBot="1" x14ac:dyDescent="0.25">
      <c r="B84" s="1101" t="str">
        <f>IF($L$80,"Drop in Seconds / km","Drop in Seconds / mile")</f>
        <v>Drop in Seconds / mile</v>
      </c>
      <c r="C84" s="1102"/>
      <c r="D84" s="501"/>
      <c r="E84" s="502">
        <f>IF($D$85=4,MROUND(E83,"0:0:1")-MROUND($G83,"0:0:1"),MROUND(E83,"0:0:1")-MROUND($D$83,"0:0:1"))</f>
        <v>1.1574074074074004E-5</v>
      </c>
      <c r="F84" s="502">
        <f>IF($D$85=4,MROUND(F83,"0:0:1")-MROUND($G83,"0:0:1"),MROUND(F83,"0:0:1")-MROUND($D$83,"0:0:1"))</f>
        <v>3.4722222222222446E-5</v>
      </c>
      <c r="G84" s="502">
        <f>IF($D$85=4,"",MROUND(G83,"0:0:1")-MROUND($D$83,"0:0:1"))</f>
        <v>5.7870370370370454E-5</v>
      </c>
      <c r="H84" s="502">
        <f>IF($D$85=4,MROUND(H83,"0:0:1")-MROUND($G83,"0:0:1"),MROUND(H83,"0:0:1")-MROUND($D$83,"0:0:1"))</f>
        <v>9.2592592592592466E-5</v>
      </c>
      <c r="I84" s="502">
        <f>IF($D$85=4,MROUND(I83,"0:0:1")-MROUND($G83,"0:0:1"),MROUND(I83,"0:0:1")-MROUND($D$83,"0:0:1"))</f>
        <v>1.1574074074074091E-4</v>
      </c>
      <c r="J84" s="502">
        <f>IF($D$85=4,MROUND(J83,"0:0:1")-MROUND($G83,"0:0:1"),MROUND(J83,"0:0:1")-MROUND($D$83,"0:0:1"))</f>
        <v>1.5046296296296292E-4</v>
      </c>
      <c r="K84" s="502">
        <f>IF($D$85=4,MROUND(K83,"0:0:1")-MROUND($G83,"0:0:1"),MROUND(K83,"0:0:1")-MROUND($D$83,"0:0:1"))</f>
        <v>1.7361111111111136E-4</v>
      </c>
      <c r="L84" s="502">
        <f>IF($D$85&gt;2,"-",MROUND(L83,"0:0:1")-MROUND($D$83,"0:0:1"))</f>
        <v>2.0833333333333337E-4</v>
      </c>
      <c r="M84" s="1103" t="str">
        <f>IF(M100,"Age Grade Equivalent","No Age Grading")</f>
        <v>Age Grade Equivalent</v>
      </c>
      <c r="N84" s="1104"/>
      <c r="O84" s="503">
        <f ca="1">IF(AND($O$85="yes",$M$100),($O$74*LOOKUP($E$5,$AD$135:$AD$230,IF($C$4,$AE$135:$AE$230,$AF$135:$AF$230))/LOOKUP($O$82,$AD$135:$AD$230,IF($Q$49,$AE$135:$AE$230,$AF$135:$AF$230))),O74)</f>
        <v>1.1250237422839506E-2</v>
      </c>
      <c r="P84" s="504" t="str">
        <f>IF(R86,"Kilometers","Miles")</f>
        <v>Miles</v>
      </c>
      <c r="Q84" s="505" t="s">
        <v>99</v>
      </c>
      <c r="R84" s="506" t="s">
        <v>122</v>
      </c>
    </row>
    <row r="85" spans="2:23" ht="13.5" thickBot="1" x14ac:dyDescent="0.25">
      <c r="B85" s="507"/>
      <c r="C85" s="508"/>
      <c r="D85" s="509">
        <v>1</v>
      </c>
      <c r="E85" s="508"/>
      <c r="F85" s="509"/>
      <c r="G85" s="508"/>
      <c r="H85" s="509"/>
      <c r="I85" s="508"/>
      <c r="J85" s="509">
        <v>3</v>
      </c>
      <c r="K85" s="508"/>
      <c r="L85" s="510" t="s">
        <v>208</v>
      </c>
      <c r="M85" s="1105" t="s">
        <v>209</v>
      </c>
      <c r="N85" s="1106"/>
      <c r="O85" s="511" t="str">
        <f ca="1">IF(AND(DATEDIF($E$2,NOW(),"y")&gt;=5,DATEDIF($E$2,NOW(),"y")&lt;=100),"Yes","No")</f>
        <v>Yes</v>
      </c>
      <c r="P85" s="512">
        <v>5</v>
      </c>
      <c r="Q85" s="513">
        <v>1.480324074074074E-2</v>
      </c>
      <c r="R85" s="514">
        <f>0.8+0.1894393 * EXP(-0.012778*Q85*1440)+0.2989558* EXP(-0.1932605*Q85*1440)</f>
        <v>0.94912767115464203</v>
      </c>
    </row>
    <row r="86" spans="2:23" ht="13.5" thickBot="1" x14ac:dyDescent="0.25">
      <c r="B86" s="515"/>
      <c r="C86"/>
      <c r="L86" s="516"/>
      <c r="M86" s="517"/>
      <c r="N86" s="518"/>
      <c r="O86" s="519"/>
      <c r="P86" s="1107">
        <f>ROUND((-4.6 + 0.182258 * ((P85*IF(R86,1000,1))/Q85/1440*(IF(R86,1,1609.344))) + 0.000104 *((P85*IF(R86,1000,1))/Q85/1440*(IF(R86,1,1609.344)))^2)/R85,1)</f>
        <v>83.3</v>
      </c>
      <c r="Q86" s="1108"/>
      <c r="R86" s="520" t="b">
        <v>0</v>
      </c>
    </row>
    <row r="87" spans="2:23" ht="14.25" thickTop="1" thickBot="1" x14ac:dyDescent="0.25">
      <c r="B87" s="1109" t="str">
        <f>"Projected Impact of Weight Change on "&amp;$E$6&amp;" Time (Daniels)"</f>
        <v>Projected Impact of Weight Change on 5k Time (Daniels)</v>
      </c>
      <c r="C87" s="1110"/>
      <c r="D87" s="1110"/>
      <c r="E87" s="1110"/>
      <c r="F87" s="1110"/>
      <c r="G87" s="1110"/>
      <c r="H87" s="1110"/>
      <c r="I87" s="1110"/>
      <c r="J87" s="1110"/>
      <c r="K87" s="1110"/>
      <c r="L87" s="1111"/>
      <c r="M87" s="1069" t="s">
        <v>210</v>
      </c>
      <c r="N87" s="1070"/>
      <c r="O87" s="1071"/>
      <c r="P87" s="1112" t="s">
        <v>211</v>
      </c>
      <c r="Q87" s="1113"/>
      <c r="R87" s="1114"/>
    </row>
    <row r="88" spans="2:23" ht="13.5" thickBot="1" x14ac:dyDescent="0.25">
      <c r="B88" s="1128" t="str">
        <f>IF($C$4,"Male","Female")</f>
        <v>Male</v>
      </c>
      <c r="C88" s="1129"/>
      <c r="D88" s="521" t="s">
        <v>212</v>
      </c>
      <c r="E88" s="522">
        <f ca="1">$E$5</f>
        <v>31</v>
      </c>
      <c r="F88" s="1130" t="str">
        <f>IF($B$4,"Height (cm):","Height (in):")</f>
        <v>Height (in):</v>
      </c>
      <c r="G88" s="1131" t="str">
        <f>IF($B$4,"Height (cm):","Height (in):")</f>
        <v>Height (in):</v>
      </c>
      <c r="H88" s="523">
        <f>$C$2</f>
        <v>71</v>
      </c>
      <c r="I88" s="1132" t="str">
        <f>"Weight"&amp;IF($B$4," (kg):"," (lb):")</f>
        <v>Weight (lb):</v>
      </c>
      <c r="J88" s="1133" t="str">
        <f>"Weight"&amp;IF($B$4," (kg):"," (lb):")</f>
        <v>Weight (lb):</v>
      </c>
      <c r="K88" s="523">
        <f>$C$3</f>
        <v>155</v>
      </c>
      <c r="L88" s="524" t="b">
        <v>0</v>
      </c>
      <c r="M88" s="1134">
        <f>IF($C$3&gt;0,$C$3,"Current Weight?")</f>
        <v>155</v>
      </c>
      <c r="N88" s="1135"/>
      <c r="O88" s="1136">
        <f ca="1">IF(AND($N$89&gt;0,$N$90&gt;0,$N$90&lt;&gt;"",$M$101),ABS($O$84-$O$91),0)</f>
        <v>1.3642748671921362E-3</v>
      </c>
      <c r="P88" s="1094" t="s">
        <v>213</v>
      </c>
      <c r="Q88" s="1095"/>
      <c r="R88" s="1096"/>
    </row>
    <row r="89" spans="2:23" ht="14.25" thickTop="1" thickBot="1" x14ac:dyDescent="0.25">
      <c r="B89" s="1097" t="str">
        <f>"Projected Weight "&amp;IF(B4,"(kg)","(lb)")</f>
        <v>Projected Weight (lb)</v>
      </c>
      <c r="C89" s="1098"/>
      <c r="D89" s="525">
        <f>$C$3+($C$3*$L$93*2)</f>
        <v>168.95</v>
      </c>
      <c r="E89" s="526">
        <f>$C$3+($C$3*$L$93*1)</f>
        <v>161.97499999999999</v>
      </c>
      <c r="F89" s="527">
        <f>$C$3-($C$3*$L$93*0)</f>
        <v>155</v>
      </c>
      <c r="G89" s="528">
        <f>$C$3-($C$3*$L$93*1)</f>
        <v>148.02500000000001</v>
      </c>
      <c r="H89" s="525">
        <f>$C$3-($C$3*$L$93*2)</f>
        <v>141.05000000000001</v>
      </c>
      <c r="I89" s="525">
        <f>$C$3-($C$3*$L$93*3)</f>
        <v>134.07499999999999</v>
      </c>
      <c r="J89" s="525">
        <f>$C$3-($C$3*$L$93*4)</f>
        <v>127.1</v>
      </c>
      <c r="K89" s="525">
        <f>$C$3-($C$3*$L$93*5)</f>
        <v>120.125</v>
      </c>
      <c r="L89" s="525">
        <f>$C$3-($C$3*$L$93*6)</f>
        <v>113.15</v>
      </c>
      <c r="M89" s="529" t="s">
        <v>214</v>
      </c>
      <c r="N89" s="530">
        <f>D98</f>
        <v>132.64468687328431</v>
      </c>
      <c r="O89" s="1137"/>
      <c r="P89" s="531" t="s">
        <v>215</v>
      </c>
      <c r="Q89" s="505" t="s">
        <v>99</v>
      </c>
      <c r="R89" s="532" t="s">
        <v>101</v>
      </c>
    </row>
    <row r="90" spans="2:23" ht="13.5" thickBot="1" x14ac:dyDescent="0.25">
      <c r="B90" s="1099" t="s">
        <v>216</v>
      </c>
      <c r="C90" s="1100"/>
      <c r="D90" s="533">
        <f t="shared" ref="D90:L90" si="32">IF(AND(D89&gt;0,$I$6&lt;&gt;"-"),$C$3*$I$6/D89,"-")</f>
        <v>58.32968055722877</v>
      </c>
      <c r="E90" s="534">
        <f t="shared" si="32"/>
        <v>60.841484983138145</v>
      </c>
      <c r="F90" s="535">
        <f t="shared" si="32"/>
        <v>63.579351807379361</v>
      </c>
      <c r="G90" s="536">
        <f t="shared" si="32"/>
        <v>66.575237494638074</v>
      </c>
      <c r="H90" s="533">
        <f t="shared" si="32"/>
        <v>69.86741956854874</v>
      </c>
      <c r="I90" s="533">
        <f t="shared" si="32"/>
        <v>73.502140817779605</v>
      </c>
      <c r="J90" s="533">
        <f t="shared" si="32"/>
        <v>77.535794887047999</v>
      </c>
      <c r="K90" s="533">
        <f t="shared" si="32"/>
        <v>82.037873299844335</v>
      </c>
      <c r="L90" s="537">
        <f t="shared" si="32"/>
        <v>87.095002475862131</v>
      </c>
      <c r="M90" s="538">
        <f>IF(AND($C$2&gt;0,$N$89&gt;0),IF($B$4,$N$89 / ($C$2/100)^2,$N$89 / $C$2^2*703),"")</f>
        <v>18.498158078143003</v>
      </c>
      <c r="N90" s="539">
        <f>IF(AND($C$2&gt;0,$N$89&gt;0),$C$3*$I$6/IF(N89&gt;=MIN(D98,F100),$N$89,MIN(F100,D98)),"")</f>
        <v>74.294717432279114</v>
      </c>
      <c r="O90" s="1138"/>
      <c r="P90" s="512">
        <v>26.218800000000002</v>
      </c>
      <c r="Q90" s="513">
        <v>0.17318287037037036</v>
      </c>
      <c r="R90" s="540">
        <f>Q90/P90</f>
        <v>6.6052935439596915E-3</v>
      </c>
    </row>
    <row r="91" spans="2:23" ht="13.5" thickBot="1" x14ac:dyDescent="0.25">
      <c r="B91" s="1115" t="s">
        <v>217</v>
      </c>
      <c r="C91" s="1116"/>
      <c r="D91" s="541">
        <f t="shared" ref="D91:L91" si="33">IF(D90&lt;&gt;"-",$G$6*($I$6/D90)^$I$93,"-")</f>
        <v>1.2096593623575177E-2</v>
      </c>
      <c r="E91" s="542">
        <f t="shared" si="33"/>
        <v>1.1680612560485436E-2</v>
      </c>
      <c r="F91" s="543">
        <f t="shared" si="33"/>
        <v>1.1261574074074075E-2</v>
      </c>
      <c r="G91" s="544">
        <f t="shared" si="33"/>
        <v>1.0839316466417828E-2</v>
      </c>
      <c r="H91" s="541">
        <f t="shared" si="33"/>
        <v>1.0413661422142685E-2</v>
      </c>
      <c r="I91" s="541">
        <f t="shared" si="33"/>
        <v>9.9844113886842986E-3</v>
      </c>
      <c r="J91" s="541">
        <f t="shared" si="33"/>
        <v>9.5513463845910852E-3</v>
      </c>
      <c r="K91" s="541">
        <f t="shared" si="33"/>
        <v>9.1142200724216738E-3</v>
      </c>
      <c r="L91" s="542">
        <f t="shared" si="33"/>
        <v>8.6727548737532637E-3</v>
      </c>
      <c r="M91" s="1117" t="str">
        <f>IF(M101,"Weight Adjusted Time","No Weight Grading")</f>
        <v>Weight Adjusted Time</v>
      </c>
      <c r="N91" s="1118"/>
      <c r="O91" s="545">
        <f ca="1">IF(AND($N$89&gt;0,$N$90&gt;0,$N$90&lt;&gt;"",$M$101),$O$84*(IF(N89&gt;=MIN(D98,F100,C3),$N$89,MIN(F100,D98,C3))/C3)^$I$93,O84)</f>
        <v>9.88596255564737E-3</v>
      </c>
      <c r="P91" s="546" t="s">
        <v>218</v>
      </c>
      <c r="Q91" s="547" t="s">
        <v>99</v>
      </c>
      <c r="R91" s="548" t="s">
        <v>101</v>
      </c>
    </row>
    <row r="92" spans="2:23" ht="13.5" thickBot="1" x14ac:dyDescent="0.25">
      <c r="B92" s="1119" t="str">
        <f>IF($L$88,"Est Pace / km","Est Pace / mile")</f>
        <v>Est Pace / mile</v>
      </c>
      <c r="C92" s="1120"/>
      <c r="D92" s="549">
        <f t="shared" ref="D92:L92" si="34">IF(D91&lt;&gt;"-",D91/IF($L$88,$F$8/1000,$D$8),"-")</f>
        <v>3.8935160737077939E-3</v>
      </c>
      <c r="E92" s="550">
        <f t="shared" si="34"/>
        <v>3.7596247481083748E-3</v>
      </c>
      <c r="F92" s="551">
        <f t="shared" si="34"/>
        <v>3.6247493333333336E-3</v>
      </c>
      <c r="G92" s="552">
        <f t="shared" si="34"/>
        <v>3.4888377838661467E-3</v>
      </c>
      <c r="H92" s="549">
        <f t="shared" si="34"/>
        <v>3.3518327055513594E-3</v>
      </c>
      <c r="I92" s="549">
        <f t="shared" si="34"/>
        <v>3.2136705123821489E-3</v>
      </c>
      <c r="J92" s="549">
        <f t="shared" si="34"/>
        <v>3.0742803991926711E-3</v>
      </c>
      <c r="K92" s="549">
        <f t="shared" si="34"/>
        <v>2.9335830776462775E-3</v>
      </c>
      <c r="L92" s="550">
        <f t="shared" si="34"/>
        <v>2.7914892039091147E-3</v>
      </c>
      <c r="M92" s="553"/>
      <c r="N92" s="554"/>
      <c r="O92" s="555"/>
      <c r="P92" s="556">
        <v>42.195</v>
      </c>
      <c r="Q92" s="557">
        <v>0.17140046296296296</v>
      </c>
      <c r="R92" s="558">
        <f>Q92/P92</f>
        <v>4.062103636994027E-3</v>
      </c>
    </row>
    <row r="93" spans="2:23" ht="13.5" thickBot="1" x14ac:dyDescent="0.25">
      <c r="B93" s="1121" t="s">
        <v>219</v>
      </c>
      <c r="C93" s="1122"/>
      <c r="D93" s="1122"/>
      <c r="E93" s="1122"/>
      <c r="F93" s="1123"/>
      <c r="G93" s="1124"/>
      <c r="H93" s="559" t="s">
        <v>220</v>
      </c>
      <c r="I93" s="560">
        <v>0.83</v>
      </c>
      <c r="J93" s="1125" t="s">
        <v>221</v>
      </c>
      <c r="K93" s="1125"/>
      <c r="L93" s="561">
        <v>4.4999999999999998E-2</v>
      </c>
      <c r="M93" s="562"/>
      <c r="N93" s="1126" t="s">
        <v>222</v>
      </c>
      <c r="O93" s="1127"/>
      <c r="P93" s="1094" t="s">
        <v>223</v>
      </c>
      <c r="Q93" s="1095"/>
      <c r="R93" s="1096"/>
    </row>
    <row r="94" spans="2:23" ht="14.25" thickTop="1" thickBot="1" x14ac:dyDescent="0.25">
      <c r="B94" s="483"/>
      <c r="C94" s="1149" t="s">
        <v>224</v>
      </c>
      <c r="D94" s="1149"/>
      <c r="E94" s="1149"/>
      <c r="F94" s="1149"/>
      <c r="G94" s="1149"/>
      <c r="H94" s="1149"/>
      <c r="I94" s="1149"/>
      <c r="J94" s="1149"/>
      <c r="K94" s="1149"/>
      <c r="M94" s="1069" t="str">
        <f>IF($D$85=1,W233,IF($D$85=2,W237,IF($D$85=3,W241,IF($D$85=4,W245))))</f>
        <v>Temperature  °F</v>
      </c>
      <c r="N94" s="1070"/>
      <c r="O94" s="563"/>
      <c r="P94" s="531" t="s">
        <v>215</v>
      </c>
      <c r="Q94" s="505" t="s">
        <v>225</v>
      </c>
      <c r="R94" s="532" t="s">
        <v>99</v>
      </c>
    </row>
    <row r="95" spans="2:23" ht="13.5" thickBot="1" x14ac:dyDescent="0.25">
      <c r="B95" s="994" t="s">
        <v>226</v>
      </c>
      <c r="C95" s="995"/>
      <c r="D95" s="995"/>
      <c r="E95" s="995"/>
      <c r="F95" s="995"/>
      <c r="G95" s="564" t="str">
        <f>IF($C$4,"Male","Female")</f>
        <v>Male</v>
      </c>
      <c r="H95" s="565" t="str">
        <f ca="1">IF(ISNUMBER($E$5),"Age  "&amp;$E$5,"Birthdate?")</f>
        <v>Age  31</v>
      </c>
      <c r="I95" s="565" t="str">
        <f>"Hgt  "&amp;$C$2</f>
        <v>Hgt  71</v>
      </c>
      <c r="J95" s="566" t="str">
        <f>"Wgt  "&amp;$C$3</f>
        <v>Wgt  155</v>
      </c>
      <c r="K95" s="1150" t="str">
        <f>IF(AND(C2&gt;0,C3&gt;0),"Current BMI = " &amp;ROUND(IF($B$4,$C$3 / ($C$2/100)^2,$C$3 / $C$2^2*703),2),"Wght / Hght?")</f>
        <v>Current BMI = 21.62</v>
      </c>
      <c r="L95" s="1151"/>
      <c r="M95" s="567" t="str">
        <f>IF($D$85=1,"J.Daniels",IF($D$85=2,"M.Hadley",IF($D$85=3,"Tinman","El Helou")))</f>
        <v>J.Daniels</v>
      </c>
      <c r="N95" s="568">
        <v>80</v>
      </c>
      <c r="O95" s="569">
        <f ca="1">IF($D$85=1,AG253,IF($D$85=2,AG256,IF($D$85=3,AG259,IF($C$4,AG262,AG265))))</f>
        <v>3.2037112617322108E-4</v>
      </c>
      <c r="P95" s="570">
        <v>26.2</v>
      </c>
      <c r="Q95" s="571">
        <v>0.3576388888888889</v>
      </c>
      <c r="R95" s="572">
        <f>(Q95*P95)/60</f>
        <v>0.15616898148148148</v>
      </c>
    </row>
    <row r="96" spans="2:23" ht="13.5" thickBot="1" x14ac:dyDescent="0.25">
      <c r="B96" s="573" t="s">
        <v>227</v>
      </c>
      <c r="C96" s="574" t="s">
        <v>228</v>
      </c>
      <c r="D96" s="575">
        <v>18.5</v>
      </c>
      <c r="E96" s="575">
        <v>19</v>
      </c>
      <c r="F96" s="575">
        <v>20</v>
      </c>
      <c r="G96" s="575">
        <v>21</v>
      </c>
      <c r="H96" s="575">
        <v>22</v>
      </c>
      <c r="I96" s="575">
        <v>23</v>
      </c>
      <c r="J96" s="575">
        <v>24</v>
      </c>
      <c r="K96" s="575">
        <v>25</v>
      </c>
      <c r="L96" s="576" t="s">
        <v>229</v>
      </c>
      <c r="M96" s="1152" t="str">
        <f>IF(M102,"Temp Adjusted Time","No Temp Grading")</f>
        <v>Temp Adjusted Time</v>
      </c>
      <c r="N96" s="1153"/>
      <c r="O96" s="545">
        <f ca="1">IF($M$97,$O$91+$O$95,$O$91-$O$95)</f>
        <v>1.0206333681820591E-2</v>
      </c>
      <c r="P96" s="546" t="s">
        <v>218</v>
      </c>
      <c r="Q96" s="547" t="s">
        <v>230</v>
      </c>
      <c r="R96" s="548" t="s">
        <v>99</v>
      </c>
    </row>
    <row r="97" spans="2:21" ht="13.5" thickBot="1" x14ac:dyDescent="0.25">
      <c r="B97" s="577" t="str">
        <f>"for "&amp;IF($B$4,ROUND($C$2,0)&amp;" cm",INT($C$2/12)&amp;" ft "&amp;ROUND((($C$2/12)-INT($C$2/12))*12,1)&amp;" in")</f>
        <v>for 5 ft 11 in</v>
      </c>
      <c r="C97" s="578" t="s">
        <v>231</v>
      </c>
      <c r="D97" s="579" t="str">
        <f>IF($B$4,ROUND(D96*($C$2/100)^2,1)&amp;" kg",ROUND(D96/703*$C$2^2,0)&amp;" lb")</f>
        <v>133 lb</v>
      </c>
      <c r="E97" s="579" t="str">
        <f t="shared" ref="E97:K97" si="35">IF($B$4,ROUND(E96*($C$2/100)^2,1)&amp;" kg",ROUND(E96/703*$C$2^2,0)&amp;" lb")</f>
        <v>136 lb</v>
      </c>
      <c r="F97" s="579" t="str">
        <f t="shared" si="35"/>
        <v>143 lb</v>
      </c>
      <c r="G97" s="579" t="str">
        <f t="shared" si="35"/>
        <v>151 lb</v>
      </c>
      <c r="H97" s="579" t="str">
        <f t="shared" si="35"/>
        <v>158 lb</v>
      </c>
      <c r="I97" s="579" t="str">
        <f t="shared" si="35"/>
        <v>165 lb</v>
      </c>
      <c r="J97" s="579" t="str">
        <f t="shared" si="35"/>
        <v>172 lb</v>
      </c>
      <c r="K97" s="579" t="str">
        <f t="shared" si="35"/>
        <v>179 lb</v>
      </c>
      <c r="L97" s="580" t="s">
        <v>232</v>
      </c>
      <c r="M97" s="581" t="b">
        <v>1</v>
      </c>
      <c r="N97" s="582"/>
      <c r="O97" s="583"/>
      <c r="P97" s="584">
        <v>42.195</v>
      </c>
      <c r="Q97" s="585">
        <v>0.19722222222222222</v>
      </c>
      <c r="R97" s="586">
        <f>(Q97*P97)/60</f>
        <v>0.13869652777777777</v>
      </c>
    </row>
    <row r="98" spans="2:21" ht="13.5" thickBot="1" x14ac:dyDescent="0.25">
      <c r="B98" s="483"/>
      <c r="D98" s="587">
        <v>132.64468687328431</v>
      </c>
      <c r="E98" s="587">
        <v>136.22967841040008</v>
      </c>
      <c r="F98" s="587">
        <v>143.39966148463168</v>
      </c>
      <c r="G98" s="587">
        <v>150.56964455886327</v>
      </c>
      <c r="H98" s="587">
        <v>157.73962763309487</v>
      </c>
      <c r="I98" s="587">
        <v>164.90961070732644</v>
      </c>
      <c r="J98" s="587">
        <v>172.079593781558</v>
      </c>
      <c r="K98" s="587">
        <v>179.2495768557896</v>
      </c>
      <c r="M98" s="588"/>
      <c r="N98" s="589"/>
      <c r="O98" s="590"/>
      <c r="P98" s="1094" t="s">
        <v>233</v>
      </c>
      <c r="Q98" s="1095"/>
      <c r="R98" s="1096"/>
    </row>
    <row r="99" spans="2:21" ht="14.25" thickTop="1" thickBot="1" x14ac:dyDescent="0.25">
      <c r="B99" s="1139" t="s">
        <v>234</v>
      </c>
      <c r="C99" s="1140"/>
      <c r="D99" s="1140"/>
      <c r="E99" s="1140"/>
      <c r="F99" s="591"/>
      <c r="G99" s="1141" t="s">
        <v>235</v>
      </c>
      <c r="H99" s="1026"/>
      <c r="I99" s="1142" t="s">
        <v>236</v>
      </c>
      <c r="J99" s="1026"/>
      <c r="K99" s="1142" t="s">
        <v>237</v>
      </c>
      <c r="L99" s="1143"/>
      <c r="M99" s="1144" t="s">
        <v>238</v>
      </c>
      <c r="N99" s="1145"/>
      <c r="O99" s="1146"/>
      <c r="P99" s="531" t="s">
        <v>62</v>
      </c>
      <c r="Q99" s="1147" t="s">
        <v>239</v>
      </c>
      <c r="R99" s="1148"/>
      <c r="U99" s="592"/>
    </row>
    <row r="100" spans="2:21" ht="13.5" thickBot="1" x14ac:dyDescent="0.25">
      <c r="B100" s="119"/>
      <c r="C100" s="593"/>
      <c r="D100" s="593"/>
      <c r="E100" s="593"/>
      <c r="F100" s="594">
        <v>144.92499999999998</v>
      </c>
      <c r="G100" s="1154" t="s">
        <v>240</v>
      </c>
      <c r="H100" s="1155"/>
      <c r="I100" s="1156" t="s">
        <v>241</v>
      </c>
      <c r="J100" s="1157"/>
      <c r="K100" s="1156" t="s">
        <v>242</v>
      </c>
      <c r="L100" s="1158"/>
      <c r="M100" s="1159" t="b">
        <v>1</v>
      </c>
      <c r="N100" s="1160" t="b">
        <v>1</v>
      </c>
      <c r="O100" s="569">
        <f ca="1">$O$83</f>
        <v>1.1336651234568687E-5</v>
      </c>
      <c r="P100" s="595">
        <v>0.7</v>
      </c>
      <c r="Q100" s="1161">
        <f>IF($C$8=4,(P100/(1+$C$9)-0.37182)/0.6463,IF($C$8=3,1.303*P100/(1+$C$9)-0.345,IF($C$8=2,1.3*P100/(1+$C$9)-0.293,(P100/(1+$C$9)-0.1578)/0.855)))</f>
        <v>0.6341520467836258</v>
      </c>
      <c r="R100" s="1162"/>
    </row>
    <row r="101" spans="2:21" x14ac:dyDescent="0.2">
      <c r="B101" s="1163" t="str">
        <f>"Based on a height of "&amp;IF($B$4,ROUND($C$2,3)&amp;" cm",INT($C$2/12)&amp;" ft "&amp;ROUND((($C$2/12)-INT($C$2/12))*12,1)&amp;" in")</f>
        <v>Based on a height of 5 ft 11 in</v>
      </c>
      <c r="C101" s="1164"/>
      <c r="D101" s="1165"/>
      <c r="E101" s="1166" t="str">
        <f>"Male       "&amp;IF(B4,"(kg)    ","(lb)    ")</f>
        <v xml:space="preserve">Male       (lb)    </v>
      </c>
      <c r="F101" s="1167"/>
      <c r="G101" s="1168">
        <f>IF($B$4,49.8952+(MAX($C$2,152.4)-152.4)/2.54*2.49476,110+(MAX($C$2,60)-60)*5.5)</f>
        <v>170.5</v>
      </c>
      <c r="H101" s="1169"/>
      <c r="I101" s="1170">
        <f>G101*0.88</f>
        <v>150.04</v>
      </c>
      <c r="J101" s="1171"/>
      <c r="K101" s="1170">
        <f>G101*0.85</f>
        <v>144.92499999999998</v>
      </c>
      <c r="L101" s="1172"/>
      <c r="M101" s="1173" t="b">
        <v>1</v>
      </c>
      <c r="N101" s="1174" t="b">
        <v>1</v>
      </c>
      <c r="O101" s="569">
        <f ca="1">$O$88</f>
        <v>1.3642748671921362E-3</v>
      </c>
      <c r="P101" s="546" t="s">
        <v>243</v>
      </c>
      <c r="Q101" s="1175" t="s">
        <v>239</v>
      </c>
      <c r="R101" s="1176"/>
      <c r="U101" s="592"/>
    </row>
    <row r="102" spans="2:21" ht="13.5" thickBot="1" x14ac:dyDescent="0.25">
      <c r="B102" s="1177" t="str">
        <f>IF($B$4,"(Minimum height is 152.4 cm)","(Minimum height is 5 ft, 0 inches)")</f>
        <v>(Minimum height is 5 ft, 0 inches)</v>
      </c>
      <c r="C102" s="1178"/>
      <c r="D102" s="1179"/>
      <c r="E102" s="1180" t="str">
        <f>"Female     "&amp;IF(B4,"(kg)    ","(lb)    ")</f>
        <v xml:space="preserve">Female     (lb)    </v>
      </c>
      <c r="F102" s="1181"/>
      <c r="G102" s="1182">
        <f>IF($B$4,45.3592+(MAX($C$2,152.4)-152.4)/2.54*2.26796,100+(MAX($C$2,60)-60)*5)</f>
        <v>155</v>
      </c>
      <c r="H102" s="1183"/>
      <c r="I102" s="1183">
        <f>G102*0.88</f>
        <v>136.4</v>
      </c>
      <c r="J102" s="1183"/>
      <c r="K102" s="1183">
        <f>G102*0.85</f>
        <v>131.75</v>
      </c>
      <c r="L102" s="1184"/>
      <c r="M102" s="1185" t="b">
        <v>1</v>
      </c>
      <c r="N102" s="1186" t="b">
        <v>1</v>
      </c>
      <c r="O102" s="569">
        <f ca="1">$O$95</f>
        <v>3.2037112617322108E-4</v>
      </c>
      <c r="P102" s="596">
        <v>0.57499999999999996</v>
      </c>
      <c r="Q102" s="1187">
        <f>IF($C$8=4,((P102/$E$3*($E$3-$E$4)+E$4/$E$3)/(1+$C$9)-0.37182)/0.6463,IF($C$8=3,1.303*(P102/$E$3*($E$3-$E$4)+E$4/$E$3)/(1+$C$9) - 0.345,IF($C$8=2,(1.3*(P102/$E$3*($E$3-$E$4)+E$4/$E$3)/(1+$C$9)-0.293),((P102/$E$3*($E$3-$E$4)+E$4/$E$3)/(1+$C$9)-0.1578)/0.855)))</f>
        <v>0.62149602862878595</v>
      </c>
      <c r="R102" s="1188"/>
    </row>
    <row r="103" spans="2:21" ht="13.5" thickBot="1" x14ac:dyDescent="0.25">
      <c r="B103" s="483"/>
      <c r="I103" s="597"/>
      <c r="J103" s="597"/>
      <c r="M103" s="1205" t="s">
        <v>244</v>
      </c>
      <c r="N103" s="1206"/>
      <c r="O103" s="598">
        <f ca="1">$O$74+IF(O84&lt;O74,-$O$100,$O$100)+IF($N$89&lt;$M$88,-$O$101,$O$101)+IF($M$97,$O$102,-$O$102)</f>
        <v>1.0206333681820591E-2</v>
      </c>
      <c r="P103" s="1207" t="str">
        <f>"HR Profile "&amp;IF(AND(C8&gt;=1,C8&lt;=4),C8,1)</f>
        <v>HR Profile 1</v>
      </c>
      <c r="Q103" s="1208"/>
      <c r="R103" s="1209"/>
    </row>
    <row r="104" spans="2:21" ht="13.5" thickBot="1" x14ac:dyDescent="0.25">
      <c r="B104" s="1109" t="s">
        <v>245</v>
      </c>
      <c r="C104" s="1110"/>
      <c r="D104" s="1110"/>
      <c r="E104" s="1110"/>
      <c r="F104" s="599" t="str">
        <f>E6</f>
        <v>5k</v>
      </c>
      <c r="G104" s="1210">
        <f>$F$8</f>
        <v>5000</v>
      </c>
      <c r="H104" s="1210"/>
      <c r="I104" s="1211">
        <f>$G$6*1440</f>
        <v>16.216666666666669</v>
      </c>
      <c r="J104" s="1211"/>
      <c r="K104" s="1212">
        <f>G104/I104</f>
        <v>308.3247687564234</v>
      </c>
      <c r="L104" s="1213"/>
      <c r="M104" s="1214" t="str">
        <f>E6&amp;IF($L$80," Pace / km"," Pace / mile")</f>
        <v>5k Pace / mile</v>
      </c>
      <c r="N104" s="1215"/>
      <c r="O104" s="600">
        <f ca="1">O103/IF(L80,F8/1000,D8)</f>
        <v>3.2851003745671755E-3</v>
      </c>
      <c r="P104" s="1216" t="s">
        <v>246</v>
      </c>
      <c r="Q104" s="1217"/>
      <c r="R104" s="1218"/>
    </row>
    <row r="105" spans="2:21" ht="14.25" thickTop="1" thickBot="1" x14ac:dyDescent="0.25">
      <c r="B105" s="601" t="b">
        <v>0</v>
      </c>
      <c r="C105" s="602"/>
      <c r="D105" s="603"/>
      <c r="E105" s="604"/>
      <c r="F105" s="463" t="s">
        <v>123</v>
      </c>
      <c r="G105" s="463" t="s">
        <v>99</v>
      </c>
      <c r="H105" s="463" t="s">
        <v>101</v>
      </c>
      <c r="I105" s="463" t="s">
        <v>247</v>
      </c>
      <c r="J105" s="463" t="s">
        <v>122</v>
      </c>
      <c r="K105" s="1189" t="s">
        <v>248</v>
      </c>
      <c r="L105" s="1190"/>
      <c r="M105" s="1191" t="str">
        <f>IF($L$80,"Change in Pace / Km","Change in Pace / Mile")</f>
        <v>Change in Pace / Mile</v>
      </c>
      <c r="N105" s="1192"/>
      <c r="O105" s="605">
        <f ca="1">ABS((O76-O104))</f>
        <v>3.3964895876615817E-4</v>
      </c>
      <c r="P105" s="606">
        <v>3.1</v>
      </c>
      <c r="Q105" s="1193">
        <f>P105*1.609344</f>
        <v>4.9889664000000007</v>
      </c>
      <c r="R105" s="1194"/>
    </row>
    <row r="106" spans="2:21" x14ac:dyDescent="0.2">
      <c r="B106" s="1195" t="str">
        <f>"Entry Weight &amp; VDOT"</f>
        <v>Entry Weight &amp; VDOT</v>
      </c>
      <c r="C106" s="1196"/>
      <c r="D106" s="1197"/>
      <c r="E106" s="607" t="str">
        <f>IF($C$3,TEXT($C$3,0)&amp;IF(B4," kg"," lbs"),"Weight?")</f>
        <v>155 lbs</v>
      </c>
      <c r="F106" s="608">
        <f>$I$6</f>
        <v>63.579351807379361</v>
      </c>
      <c r="G106" s="609">
        <f>$G$6</f>
        <v>1.1261574074074075E-2</v>
      </c>
      <c r="H106" s="610">
        <f>(G106/($G$104/1000))*IF($B$105,1,1.609)</f>
        <v>3.6239745370370375E-3</v>
      </c>
      <c r="I106" s="611">
        <f>-4.6 + 0.182258 * ($G$104/$I$104) + 0.000104 *($G$104/I104)^2</f>
        <v>61.48132865899322</v>
      </c>
      <c r="J106" s="612">
        <f>0.8+0.1894393*EXP(-0.012778*G106*1440)+0.2989558*EXP(-0.1932605*G106*1440)</f>
        <v>0.96700150145062314</v>
      </c>
      <c r="K106" s="613">
        <f>1/(29.54+5.000663*F106-0.007546*F106^2)*IF(B105,0.62,1)</f>
        <v>3.1548183576061563E-3</v>
      </c>
      <c r="L106" s="614" t="str">
        <f>TEXT(11.033/(K106*1440),"0.00")&amp;IF($B$105, "  km","  mi")</f>
        <v>2.43  mi</v>
      </c>
      <c r="M106" s="615"/>
      <c r="N106" s="615"/>
      <c r="P106" s="616">
        <v>0.41666666666666669</v>
      </c>
      <c r="Q106" s="1198">
        <f>P106/1.609344/60</f>
        <v>4.3150777238703747E-3</v>
      </c>
      <c r="R106" s="1199"/>
    </row>
    <row r="107" spans="2:21" ht="13.5" thickBot="1" x14ac:dyDescent="0.25">
      <c r="B107" s="1200" t="s">
        <v>249</v>
      </c>
      <c r="C107" s="1201"/>
      <c r="D107" s="1202"/>
      <c r="E107" s="617">
        <v>150</v>
      </c>
      <c r="F107" s="618">
        <f>IF(E106="Weight?",E106,IF(E107,$C$3*F106/E107,"-"))</f>
        <v>65.69866353429201</v>
      </c>
      <c r="G107" s="619">
        <f>IF(AND(E107,F107&lt;&gt;"Weight?"),G106*(F106/F107)^$I$93,"-")</f>
        <v>1.0959217176125094E-2</v>
      </c>
      <c r="H107" s="620">
        <f>IF(F107="Weight?","-",(G107/($G$104/1000))*IF($B$105,1,1.609))</f>
        <v>3.5266760872770557E-3</v>
      </c>
      <c r="I107" s="621">
        <f>IF(AND(E107,F107&lt;&gt;"Weight?"),-4.6 + 0.182258 * ($G$104/(G107*1440)) + 0.000104 *($G$104/(G107*1440))^2,"-")</f>
        <v>63.584756456425055</v>
      </c>
      <c r="J107" s="622">
        <f>IF(AND(E107,F107&lt;&gt;"Weight?"),0.8+0.1894393*EXP(-0.012778*G107*1440)+0.2989558*EXP(-0.1932605*G107*1440),"-")</f>
        <v>0.96900328497523702</v>
      </c>
      <c r="K107" s="623">
        <f>IF(AND(E107,F107&lt;&gt;"Weight?"),1/(29.54+5.000663*F107-0.007546*F107^2)*IF(B105,0.62,1),"-")</f>
        <v>3.0721402980399613E-3</v>
      </c>
      <c r="L107" s="624" t="str">
        <f>IF(F107="Weight?","-",TEXT(11.033/(K107*1440),"0.00")&amp;IF($B$105, "  km","  mi"))</f>
        <v>2.49  mi</v>
      </c>
      <c r="O107" s="625"/>
      <c r="P107" s="626">
        <v>130</v>
      </c>
      <c r="Q107" s="1203">
        <f>P107*0.45359237</f>
        <v>58.967008100000001</v>
      </c>
      <c r="R107" s="1204"/>
    </row>
    <row r="108" spans="2:21" ht="13.5" thickBot="1" x14ac:dyDescent="0.25">
      <c r="B108" s="627" t="s">
        <v>74</v>
      </c>
      <c r="C108" s="1230" t="s">
        <v>250</v>
      </c>
      <c r="D108" s="1231"/>
      <c r="E108" s="628">
        <v>3.7002314814814814E-2</v>
      </c>
      <c r="F108" s="629">
        <f>IF(E108,(-4.6 + 0.182258 * (HLOOKUP(B108,$J$7:$P$9,3,0)/(E108*1440)) + 0.000104 *(HLOOKUP(B108,$J$7:$P$9,3,0)/(E108*1440))^2)/J108,"-")</f>
        <v>61.335075803577517</v>
      </c>
      <c r="G108" s="630">
        <f>IF(E108,E108,"-")</f>
        <v>3.7002314814814814E-2</v>
      </c>
      <c r="H108" s="631">
        <f>(G108/(HLOOKUP(B108,$J$7:$P$9,3,0)/1000))*IF($B$105,1,1.609)</f>
        <v>3.9691149691358021E-3</v>
      </c>
      <c r="I108" s="632">
        <f>IF(E108,-4.6 + 0.182258 * (HLOOKUP(B108,$J$7:$P$9,3,0)/(G108*1440)) + 0.000104 *(HLOOKUP(B108,$J$7:$P$9,3,0)/(G108*1440))^2,"-")</f>
        <v>54.950172926624504</v>
      </c>
      <c r="J108" s="633">
        <f>IF(E108,0.8+0.1894393*EXP(-0.012778*G108*1440)+0.2989558*EXP(-0.1932605*G108*1440),"-")</f>
        <v>0.89590128008644931</v>
      </c>
      <c r="K108" s="634">
        <f>IF(E108,1/(29.54+5.000663*F108-0.007546*F108^2),"-")*IF(B105,0.62,1)</f>
        <v>3.248144716786435E-3</v>
      </c>
      <c r="L108" s="614" t="str">
        <f>TEXT(11.033/(K108*1440),"0.00")&amp;IF($B$105, "  km","  mi")</f>
        <v>2.36  mi</v>
      </c>
      <c r="O108" s="625"/>
      <c r="P108" s="635">
        <v>74</v>
      </c>
      <c r="Q108" s="1232">
        <f>P108*2.54</f>
        <v>187.96</v>
      </c>
      <c r="R108" s="1233"/>
    </row>
    <row r="109" spans="2:21" ht="13.5" thickBot="1" x14ac:dyDescent="0.25">
      <c r="B109" s="636" t="s">
        <v>76</v>
      </c>
      <c r="C109" s="1234" t="s">
        <v>251</v>
      </c>
      <c r="D109" s="1235"/>
      <c r="E109" s="637">
        <v>2.3773148148148151E-2</v>
      </c>
      <c r="F109" s="638">
        <f>IF(E109,(-4.6 + 0.182258 * (HLOOKUP(B109,$J$7:$P$9,3,0)/(E109*1440)) + 0.000104 *(HLOOKUP(B109,$J$7:$P$9,3,0)/(E109*1440))^2)/J109,"-")</f>
        <v>62.331222039098861</v>
      </c>
      <c r="G109" s="619">
        <f>IF(E109,E109,"-")</f>
        <v>2.3773148148148151E-2</v>
      </c>
      <c r="H109" s="639">
        <f>(G109/(HLOOKUP(B109,$J$7:$P$9,3,0)/1000))*IF($B$105,1,1.609)</f>
        <v>3.8250995370370374E-3</v>
      </c>
      <c r="I109" s="640">
        <f>IF(E109,-4.6 + 0.182258 * (HLOOKUP(B109,$J$7:$P$9,3,0)/(G109*1440)) + 0.000104 *(HLOOKUP(B109,$J$7:$P$9,3,0)/(G109*1440))^2,"-")</f>
        <v>57.514239581921039</v>
      </c>
      <c r="J109" s="641">
        <f>IF(E109,0.8+0.1894393*EXP(-0.012778*G109*1440)+0.2989558*EXP(-0.1932605*G109*1440),"-")</f>
        <v>0.92271958900218187</v>
      </c>
      <c r="K109" s="642">
        <f>IF(E109,1/(29.54+5.000663*F109-0.007546*F109^2),"-")*IF(B105,0.62,1)</f>
        <v>3.2059517015835285E-3</v>
      </c>
      <c r="L109" s="643" t="str">
        <f>TEXT(11.033/(K109*1440),"0.00")&amp;IF($B$105, "  km","  mi")</f>
        <v>2.39  mi</v>
      </c>
      <c r="O109" s="625"/>
      <c r="P109" s="1216" t="s">
        <v>252</v>
      </c>
      <c r="Q109" s="1217"/>
      <c r="R109" s="1218"/>
    </row>
    <row r="110" spans="2:21" ht="13.5" thickBot="1" x14ac:dyDescent="0.25">
      <c r="B110" s="644" t="b">
        <v>1</v>
      </c>
      <c r="C110" s="1236" t="str">
        <f>"Elite "&amp;E6</f>
        <v>Elite 5k</v>
      </c>
      <c r="D110" s="1237"/>
      <c r="E110" s="645" t="str">
        <f>TEXT(IF($B$110,135,105)/IF($B$4,2.20462,1),0)&amp;IF(B4," kg"," lbs")</f>
        <v>135 lbs</v>
      </c>
      <c r="F110" s="646">
        <f>IF(E6="Custom","-",(-4.6 + 0.182258 * (HLOOKUP(E6,$J$7:$P$9,3,0)/(G110*1440)) + 0.000104 *(HLOOKUP(E6,$J$7:$P$9,3,0)/(G110*1440))^2)/J110)</f>
        <v>82.264131007315939</v>
      </c>
      <c r="G110" s="647">
        <f>IF(E6="Custom","not",IF($B$110,VLOOKUP($E$6,$N$50:$AB69,7,0),VLOOKUP($E$6,$N$50:$AB69,8,0)))</f>
        <v>9.0162037037037034E-3</v>
      </c>
      <c r="H110" s="648">
        <f>IF(E6="Custom","avail",(G110/($G$104/1000))*IF($B$105,1,1.609))</f>
        <v>2.9014143518518516E-3</v>
      </c>
      <c r="I110" s="649">
        <f>IF(E6="Custom","for",-4.6 + 0.182258 * ($G$104/(G110*1440)) + 0.000104 *($G$104/(G110*1440))^2)</f>
        <v>81.013356052079558</v>
      </c>
      <c r="J110" s="650">
        <f>IF(E6="Custom","custom",0.8+0.1894393*EXP(-0.012778*G110*1440)+0.2989558*EXP(-0.1932605*G110*1440))</f>
        <v>0.98479562185948155</v>
      </c>
      <c r="K110" s="651">
        <f>IF(E6="Custom","distance",1/(29.54+5.000663*F110-0.007546*F110^2)*IF(B105,0.62,1))</f>
        <v>2.5650990592836122E-3</v>
      </c>
      <c r="L110" s="652" t="str">
        <f>IF(E6="Custom","-",TEXT(11.033/(K110*1440),"0.00")&amp;IF($B$105, "  km","  mi"))</f>
        <v>2.99  mi</v>
      </c>
      <c r="O110" s="625"/>
      <c r="P110" s="653">
        <v>1.3</v>
      </c>
      <c r="Q110" s="1238">
        <f>P110*0.621371192</f>
        <v>0.80778254960000007</v>
      </c>
      <c r="R110" s="1239"/>
    </row>
    <row r="111" spans="2:21" ht="14.25" thickTop="1" thickBot="1" x14ac:dyDescent="0.25">
      <c r="B111" s="654"/>
      <c r="C111" s="655"/>
      <c r="D111" s="655"/>
      <c r="E111" s="656"/>
      <c r="F111" s="657"/>
      <c r="G111" s="658"/>
      <c r="H111" s="659"/>
      <c r="I111" s="660"/>
      <c r="J111" s="661"/>
      <c r="K111" s="659"/>
      <c r="L111" s="662"/>
      <c r="O111" s="625"/>
      <c r="P111" s="663">
        <v>0.2590277777777778</v>
      </c>
      <c r="Q111" s="1219">
        <f>P111/0.62137117223/60</f>
        <v>6.947746890374965E-3</v>
      </c>
      <c r="R111" s="1220"/>
    </row>
    <row r="112" spans="2:21" ht="13.5" thickBot="1" x14ac:dyDescent="0.25">
      <c r="B112" s="664"/>
      <c r="C112" s="1221" t="s">
        <v>253</v>
      </c>
      <c r="D112" s="1221"/>
      <c r="E112" s="1221"/>
      <c r="F112" s="1221"/>
      <c r="G112" s="1221"/>
      <c r="H112" s="1221"/>
      <c r="I112" s="1222" t="s">
        <v>254</v>
      </c>
      <c r="J112" s="1222"/>
      <c r="K112" s="1222"/>
      <c r="L112" s="665"/>
      <c r="N112" s="625"/>
      <c r="O112" s="625"/>
      <c r="P112" s="666">
        <v>62</v>
      </c>
      <c r="Q112" s="1223">
        <f>P112*2.20462262</f>
        <v>136.68660244</v>
      </c>
      <c r="R112" s="1224"/>
    </row>
    <row r="113" spans="2:34" ht="13.5" thickBot="1" x14ac:dyDescent="0.25">
      <c r="B113" s="667" t="s">
        <v>53</v>
      </c>
      <c r="C113" s="668">
        <v>201</v>
      </c>
      <c r="D113" s="669" t="s">
        <v>255</v>
      </c>
      <c r="E113" s="668">
        <v>53</v>
      </c>
      <c r="F113" s="669" t="s">
        <v>256</v>
      </c>
      <c r="G113" s="668">
        <v>155</v>
      </c>
      <c r="H113" s="670" t="s">
        <v>17</v>
      </c>
      <c r="I113" s="671">
        <v>0.31597222222222221</v>
      </c>
      <c r="J113" s="1225" t="str">
        <f>"vVO2max  =  "&amp;TEXT(I113*(G113-E113)/(C113-E113),"h:mm")</f>
        <v>vVO2max  =  5:13</v>
      </c>
      <c r="K113" s="1226"/>
      <c r="L113" s="1227"/>
      <c r="N113" s="625"/>
      <c r="O113" s="625"/>
      <c r="P113" s="672">
        <v>188</v>
      </c>
      <c r="Q113" s="1228">
        <f>P113*0.393700787</f>
        <v>74.015747955999998</v>
      </c>
      <c r="R113" s="1229"/>
    </row>
    <row r="114" spans="2:34" ht="13.5" thickBot="1" x14ac:dyDescent="0.25">
      <c r="B114" s="673"/>
      <c r="C114" s="674"/>
      <c r="D114" s="674"/>
      <c r="E114" s="674"/>
      <c r="F114" s="674"/>
      <c r="G114" s="674"/>
      <c r="H114" s="674"/>
      <c r="I114" s="674"/>
      <c r="J114" s="674"/>
      <c r="K114" s="674"/>
      <c r="L114" s="675"/>
      <c r="N114" s="625"/>
      <c r="O114" s="625"/>
      <c r="P114" s="1247" t="s">
        <v>257</v>
      </c>
      <c r="Q114" s="1217"/>
      <c r="R114" s="1218"/>
    </row>
    <row r="115" spans="2:34" ht="14.25" thickTop="1" thickBot="1" x14ac:dyDescent="0.25">
      <c r="B115" s="1076" t="s">
        <v>258</v>
      </c>
      <c r="C115" s="1077"/>
      <c r="D115" s="1077"/>
      <c r="E115" s="1077"/>
      <c r="F115" s="1077"/>
      <c r="G115" s="1077"/>
      <c r="H115" s="1077"/>
      <c r="I115" s="1077"/>
      <c r="J115" s="1077"/>
      <c r="K115" s="1248"/>
      <c r="L115" s="1078"/>
      <c r="N115" s="625"/>
      <c r="O115" s="625"/>
      <c r="P115" s="616">
        <v>0.41666666666666669</v>
      </c>
      <c r="Q115" s="676">
        <f>P115*1440</f>
        <v>600</v>
      </c>
      <c r="R115" s="677">
        <f>60/P115/24</f>
        <v>6</v>
      </c>
    </row>
    <row r="116" spans="2:34" ht="13.5" thickBot="1" x14ac:dyDescent="0.25">
      <c r="B116" s="1249" t="s">
        <v>158</v>
      </c>
      <c r="C116" s="1250"/>
      <c r="D116" s="678" t="s">
        <v>62</v>
      </c>
      <c r="E116" s="679" t="s">
        <v>259</v>
      </c>
      <c r="F116" s="679" t="s">
        <v>260</v>
      </c>
      <c r="G116" s="679" t="s">
        <v>261</v>
      </c>
      <c r="H116" s="679" t="s">
        <v>262</v>
      </c>
      <c r="I116" s="679" t="s">
        <v>263</v>
      </c>
      <c r="J116" s="679" t="s">
        <v>264</v>
      </c>
      <c r="K116" s="680" t="s">
        <v>265</v>
      </c>
      <c r="L116" s="681" t="s">
        <v>266</v>
      </c>
      <c r="N116" s="625"/>
      <c r="P116" s="682">
        <v>6</v>
      </c>
      <c r="Q116" s="683">
        <f>60/P116/1440</f>
        <v>6.9444444444444441E-3</v>
      </c>
      <c r="R116" s="684">
        <f>60/P116*60</f>
        <v>600</v>
      </c>
    </row>
    <row r="117" spans="2:34" ht="14.25" thickTop="1" thickBot="1" x14ac:dyDescent="0.25">
      <c r="B117" s="1240" t="s">
        <v>267</v>
      </c>
      <c r="C117" s="1241"/>
      <c r="D117" s="685" t="s">
        <v>268</v>
      </c>
      <c r="E117" s="686">
        <v>1</v>
      </c>
      <c r="F117" s="686">
        <v>1</v>
      </c>
      <c r="G117" s="686">
        <v>1</v>
      </c>
      <c r="H117" s="686">
        <v>1</v>
      </c>
      <c r="I117" s="686"/>
      <c r="J117" s="686">
        <v>1</v>
      </c>
      <c r="K117" s="687"/>
      <c r="L117" s="688">
        <f>IF(SUM(E117:K117)&gt;0,SUM(E117:K117)/L126,"---")</f>
        <v>0.13440860215053763</v>
      </c>
      <c r="M117" s="689" t="s">
        <v>69</v>
      </c>
      <c r="P117" s="690">
        <v>600</v>
      </c>
      <c r="Q117" s="691">
        <f>P117/1440/60</f>
        <v>6.9444444444444449E-3</v>
      </c>
      <c r="R117" s="692">
        <f>60/P117*60</f>
        <v>6</v>
      </c>
    </row>
    <row r="118" spans="2:34" x14ac:dyDescent="0.2">
      <c r="B118" s="1242" t="s">
        <v>269</v>
      </c>
      <c r="C118" s="1243"/>
      <c r="D118" s="693" t="s">
        <v>270</v>
      </c>
      <c r="E118" s="694">
        <v>5.2</v>
      </c>
      <c r="F118" s="694">
        <v>3.7</v>
      </c>
      <c r="G118" s="694">
        <v>3</v>
      </c>
      <c r="H118" s="694">
        <v>5.2</v>
      </c>
      <c r="I118" s="694"/>
      <c r="J118" s="695">
        <v>5.2</v>
      </c>
      <c r="K118" s="696"/>
      <c r="L118" s="697">
        <f>IF(SUM(E118:K118)&gt;0,SUM(E118:K118)/L126,"---")</f>
        <v>0.59946236559139787</v>
      </c>
      <c r="M118" s="698" t="s">
        <v>271</v>
      </c>
      <c r="P118" s="699">
        <v>0.2590277777777778</v>
      </c>
      <c r="Q118" s="700">
        <f>P118*1440</f>
        <v>373.00000000000006</v>
      </c>
      <c r="R118" s="701">
        <f>60/P118/24</f>
        <v>9.6514745308310985</v>
      </c>
    </row>
    <row r="119" spans="2:34" ht="16.5" thickBot="1" x14ac:dyDescent="0.25">
      <c r="B119" s="1244" t="s">
        <v>272</v>
      </c>
      <c r="C119" s="1246"/>
      <c r="D119" s="702" t="s">
        <v>273</v>
      </c>
      <c r="E119" s="703" t="str">
        <f t="shared" ref="E119:K119" si="36">IF(MAX($E$126:$K$126)=E126,"*","")</f>
        <v/>
      </c>
      <c r="F119" s="704" t="str">
        <f t="shared" si="36"/>
        <v/>
      </c>
      <c r="G119" s="704" t="str">
        <f t="shared" si="36"/>
        <v/>
      </c>
      <c r="H119" s="704" t="str">
        <f t="shared" si="36"/>
        <v/>
      </c>
      <c r="I119" s="704" t="str">
        <f t="shared" si="36"/>
        <v/>
      </c>
      <c r="J119" s="704" t="str">
        <f t="shared" si="36"/>
        <v>*</v>
      </c>
      <c r="K119" s="705" t="str">
        <f t="shared" si="36"/>
        <v/>
      </c>
      <c r="L119" s="706">
        <f>IF(L126&gt;0,MAX(E126:K126)/L126,"---")</f>
        <v>0.32258064516129031</v>
      </c>
      <c r="M119" s="707">
        <f>IF(L126&gt;0,SUM(E117:K118)/L126,0)</f>
        <v>0.73387096774193539</v>
      </c>
      <c r="P119" s="708">
        <v>9.65</v>
      </c>
      <c r="Q119" s="709">
        <f>60/P119/1440</f>
        <v>4.3177892918825561E-3</v>
      </c>
      <c r="R119" s="684">
        <f>60/P119*60</f>
        <v>373.05699481865287</v>
      </c>
    </row>
    <row r="120" spans="2:34" ht="13.5" thickBot="1" x14ac:dyDescent="0.25">
      <c r="B120" s="1240" t="s">
        <v>274</v>
      </c>
      <c r="C120" s="1241"/>
      <c r="D120" s="710" t="s">
        <v>275</v>
      </c>
      <c r="E120" s="686"/>
      <c r="F120" s="686">
        <v>1.5</v>
      </c>
      <c r="G120" s="686"/>
      <c r="H120" s="686"/>
      <c r="I120" s="686"/>
      <c r="J120" s="686">
        <v>5.8</v>
      </c>
      <c r="K120" s="687"/>
      <c r="L120" s="688">
        <f>IF(SUM(E120:K120)&gt;0,SUM(E120:K120)/L126,"---")</f>
        <v>0.19623655913978494</v>
      </c>
      <c r="M120" s="711" t="s">
        <v>276</v>
      </c>
      <c r="P120" s="690">
        <v>373</v>
      </c>
      <c r="Q120" s="712">
        <f>P120/1440/60</f>
        <v>4.31712962962963E-3</v>
      </c>
      <c r="R120" s="713">
        <f>60/P120*60</f>
        <v>9.6514745308310985</v>
      </c>
    </row>
    <row r="121" spans="2:34" x14ac:dyDescent="0.2">
      <c r="B121" s="1242" t="s">
        <v>277</v>
      </c>
      <c r="C121" s="1243"/>
      <c r="D121" s="714" t="s">
        <v>278</v>
      </c>
      <c r="E121" s="695"/>
      <c r="F121" s="695"/>
      <c r="G121" s="695">
        <v>2.6</v>
      </c>
      <c r="H121" s="695"/>
      <c r="I121" s="695"/>
      <c r="J121" s="695"/>
      <c r="K121" s="696"/>
      <c r="L121" s="697">
        <f>IF(SUM(E121:K121)&gt;0,SUM(E121:K121)/L126,"---")</f>
        <v>6.9892473118279563E-2</v>
      </c>
      <c r="M121" s="698" t="s">
        <v>279</v>
      </c>
      <c r="P121" s="1216" t="s">
        <v>280</v>
      </c>
      <c r="Q121" s="1217"/>
      <c r="R121" s="1218"/>
    </row>
    <row r="122" spans="2:34" ht="13.5" thickBot="1" x14ac:dyDescent="0.25">
      <c r="B122" s="1244" t="s">
        <v>281</v>
      </c>
      <c r="C122" s="1245"/>
      <c r="D122" s="715"/>
      <c r="E122" s="694"/>
      <c r="F122" s="694"/>
      <c r="G122" s="694"/>
      <c r="H122" s="694"/>
      <c r="I122" s="694"/>
      <c r="J122" s="694"/>
      <c r="K122" s="716"/>
      <c r="L122" s="706" t="str">
        <f>IF(SUM(E122:K122)&gt;0,SUM(E122:K122)/L126,"---")</f>
        <v>---</v>
      </c>
      <c r="M122" s="707">
        <f>SUM(L120:L122)</f>
        <v>0.2661290322580645</v>
      </c>
      <c r="P122" s="717">
        <v>0.5</v>
      </c>
      <c r="Q122" s="718">
        <v>0.41666666666666669</v>
      </c>
      <c r="R122" s="719">
        <f>Q122/P122</f>
        <v>0.83333333333333337</v>
      </c>
    </row>
    <row r="123" spans="2:34" x14ac:dyDescent="0.2">
      <c r="B123" s="1240" t="s">
        <v>282</v>
      </c>
      <c r="C123" s="1241"/>
      <c r="D123" s="710" t="s">
        <v>283</v>
      </c>
      <c r="E123" s="686"/>
      <c r="F123" s="686"/>
      <c r="G123" s="686"/>
      <c r="H123" s="686"/>
      <c r="I123" s="686"/>
      <c r="J123" s="686"/>
      <c r="K123" s="687"/>
      <c r="L123" s="688" t="str">
        <f>IF(SUM(E123:K123)&gt;0,SUM(E123:K123)/L126,"---")</f>
        <v>---</v>
      </c>
      <c r="M123" s="711" t="s">
        <v>284</v>
      </c>
      <c r="P123" s="720">
        <v>0.5</v>
      </c>
      <c r="Q123" s="721">
        <v>10</v>
      </c>
      <c r="R123" s="722">
        <f>Q123*P123</f>
        <v>5</v>
      </c>
      <c r="AH123" s="723"/>
    </row>
    <row r="124" spans="2:34" ht="13.5" thickBot="1" x14ac:dyDescent="0.25">
      <c r="B124" s="1244" t="s">
        <v>285</v>
      </c>
      <c r="C124" s="1246"/>
      <c r="D124" s="724" t="s">
        <v>168</v>
      </c>
      <c r="E124" s="694"/>
      <c r="F124" s="694"/>
      <c r="G124" s="694"/>
      <c r="H124" s="694"/>
      <c r="I124" s="694"/>
      <c r="J124" s="694"/>
      <c r="K124" s="716"/>
      <c r="L124" s="706" t="str">
        <f>IF(SUM(E124:K124)&gt;0,SUM(E124:K124)/L126,"---")</f>
        <v>---</v>
      </c>
      <c r="M124" s="698" t="s">
        <v>286</v>
      </c>
      <c r="P124" s="725">
        <v>0.5</v>
      </c>
      <c r="Q124" s="726">
        <v>10</v>
      </c>
      <c r="R124" s="727">
        <f>Q124*P124</f>
        <v>5</v>
      </c>
      <c r="S124"/>
      <c r="T124"/>
      <c r="U124"/>
    </row>
    <row r="125" spans="2:34" ht="14.25" thickTop="1" thickBot="1" x14ac:dyDescent="0.25">
      <c r="B125" s="1244" t="s">
        <v>287</v>
      </c>
      <c r="C125" s="1260"/>
      <c r="D125" s="728"/>
      <c r="E125" s="695"/>
      <c r="F125" s="695"/>
      <c r="G125" s="695"/>
      <c r="H125" s="695"/>
      <c r="I125" s="695"/>
      <c r="J125" s="729"/>
      <c r="K125" s="730"/>
      <c r="L125" s="706" t="str">
        <f>IF(SUM(E125:K125)&gt;0,SUM(E125:K125)/L126,"---")</f>
        <v>---</v>
      </c>
      <c r="M125" s="731">
        <f>SUM(L123:L125)</f>
        <v>0</v>
      </c>
      <c r="Q125" s="732" t="s">
        <v>215</v>
      </c>
      <c r="R125" s="733" t="s">
        <v>127</v>
      </c>
      <c r="S125"/>
      <c r="T125"/>
      <c r="U125"/>
    </row>
    <row r="126" spans="2:34" ht="14.25" thickTop="1" thickBot="1" x14ac:dyDescent="0.25">
      <c r="B126" s="734"/>
      <c r="C126" s="735" t="s">
        <v>288</v>
      </c>
      <c r="D126" s="736"/>
      <c r="E126" s="737">
        <f t="shared" ref="E126:K126" si="37">E117+E118+E120+E121+E122+E123+E124+E125</f>
        <v>6.2</v>
      </c>
      <c r="F126" s="737">
        <f t="shared" si="37"/>
        <v>6.2</v>
      </c>
      <c r="G126" s="737">
        <f t="shared" si="37"/>
        <v>6.6</v>
      </c>
      <c r="H126" s="737">
        <f t="shared" si="37"/>
        <v>6.2</v>
      </c>
      <c r="I126" s="737">
        <f t="shared" si="37"/>
        <v>0</v>
      </c>
      <c r="J126" s="738">
        <f t="shared" si="37"/>
        <v>12</v>
      </c>
      <c r="K126" s="739">
        <f t="shared" si="37"/>
        <v>0</v>
      </c>
      <c r="L126" s="740">
        <f>SUM(E126:K126)</f>
        <v>37.200000000000003</v>
      </c>
      <c r="M126" s="483"/>
      <c r="P126" s="741" t="s">
        <v>73</v>
      </c>
      <c r="Q126" s="742">
        <v>13.109375</v>
      </c>
      <c r="R126" s="743">
        <v>21097.493999999999</v>
      </c>
      <c r="S126"/>
      <c r="T126"/>
      <c r="U126"/>
    </row>
    <row r="127" spans="2:34" ht="14.25" thickTop="1" thickBot="1" x14ac:dyDescent="0.25">
      <c r="B127" s="744"/>
      <c r="C127" s="745"/>
      <c r="D127" s="746"/>
      <c r="E127" s="747"/>
      <c r="F127" s="746"/>
      <c r="G127" s="748" t="s">
        <v>289</v>
      </c>
      <c r="H127" s="746"/>
      <c r="I127" s="746"/>
      <c r="J127" s="746"/>
      <c r="K127" s="746"/>
      <c r="L127" s="749"/>
      <c r="M127" s="746"/>
      <c r="N127" s="746"/>
      <c r="O127" s="746"/>
      <c r="P127" s="750" t="s">
        <v>65</v>
      </c>
      <c r="Q127" s="751">
        <v>26.21875</v>
      </c>
      <c r="R127" s="752">
        <v>42194.987999999998</v>
      </c>
      <c r="T127"/>
      <c r="U127"/>
    </row>
    <row r="128" spans="2:34" ht="13.5" thickTop="1" x14ac:dyDescent="0.2">
      <c r="E128" s="4"/>
      <c r="G128" s="753"/>
      <c r="T128"/>
      <c r="U128"/>
    </row>
    <row r="129" spans="5:33" x14ac:dyDescent="0.2">
      <c r="E129" s="4"/>
      <c r="G129" s="753"/>
      <c r="T129"/>
      <c r="U129"/>
    </row>
    <row r="130" spans="5:33" x14ac:dyDescent="0.2">
      <c r="S130"/>
      <c r="T130"/>
      <c r="U130"/>
    </row>
    <row r="131" spans="5:33" x14ac:dyDescent="0.2">
      <c r="S131"/>
      <c r="T131"/>
      <c r="U131"/>
      <c r="W131" s="1261" t="s">
        <v>290</v>
      </c>
      <c r="X131" s="1262"/>
      <c r="Y131" s="1262"/>
      <c r="Z131" s="1262"/>
      <c r="AA131" s="1262"/>
      <c r="AB131" s="1262"/>
      <c r="AC131" s="1262"/>
      <c r="AD131" s="1262"/>
      <c r="AE131" s="1262"/>
      <c r="AF131" s="1262"/>
      <c r="AG131" s="1263"/>
    </row>
    <row r="132" spans="5:33" ht="13.5" thickBot="1" x14ac:dyDescent="0.25">
      <c r="S132"/>
      <c r="T132"/>
      <c r="U132"/>
      <c r="W132" s="754"/>
      <c r="X132" s="33"/>
      <c r="AD132" s="723"/>
      <c r="AE132" s="33"/>
      <c r="AF132" s="33"/>
      <c r="AG132" s="33"/>
    </row>
    <row r="133" spans="5:33" ht="14.25" thickTop="1" thickBot="1" x14ac:dyDescent="0.25">
      <c r="S133"/>
      <c r="T133"/>
      <c r="U133"/>
      <c r="W133" s="33"/>
      <c r="X133" s="33"/>
      <c r="AD133" s="1264" t="s">
        <v>291</v>
      </c>
      <c r="AE133" s="1265"/>
      <c r="AF133" s="1266"/>
    </row>
    <row r="134" spans="5:33" ht="14.25" thickTop="1" thickBot="1" x14ac:dyDescent="0.25">
      <c r="S134"/>
      <c r="T134"/>
      <c r="U134"/>
      <c r="Z134" s="755" t="s">
        <v>292</v>
      </c>
      <c r="AA134" s="756" t="s">
        <v>293</v>
      </c>
      <c r="AB134" s="756" t="s">
        <v>294</v>
      </c>
      <c r="AC134" s="757" t="s">
        <v>78</v>
      </c>
      <c r="AD134" s="758" t="s">
        <v>295</v>
      </c>
      <c r="AE134" s="759" t="s">
        <v>296</v>
      </c>
      <c r="AF134" s="759" t="s">
        <v>297</v>
      </c>
      <c r="AG134" s="760" t="s">
        <v>298</v>
      </c>
    </row>
    <row r="135" spans="5:33" x14ac:dyDescent="0.2">
      <c r="Z135" s="761">
        <v>0.5</v>
      </c>
      <c r="AA135" s="762">
        <v>0.56000000000000005</v>
      </c>
      <c r="AB135" s="763">
        <v>0.1</v>
      </c>
      <c r="AC135" s="764" t="s">
        <v>77</v>
      </c>
      <c r="AD135" s="765">
        <v>5</v>
      </c>
      <c r="AE135" s="766">
        <v>0.60563999999999996</v>
      </c>
      <c r="AF135" s="766">
        <v>0.66959999999999986</v>
      </c>
      <c r="AG135" s="767">
        <v>0.96112336382737162</v>
      </c>
    </row>
    <row r="136" spans="5:33" x14ac:dyDescent="0.2">
      <c r="Z136" s="768">
        <v>0.59</v>
      </c>
      <c r="AA136" s="769">
        <v>0.65</v>
      </c>
      <c r="AB136" s="770">
        <v>0.1</v>
      </c>
      <c r="AC136" s="764" t="s">
        <v>76</v>
      </c>
      <c r="AD136" s="771">
        <f t="shared" ref="AD136:AD199" si="38">+AD135+1</f>
        <v>6</v>
      </c>
      <c r="AE136" s="772">
        <v>0.65963999999999989</v>
      </c>
      <c r="AF136" s="772">
        <v>0.70604666666666671</v>
      </c>
      <c r="AG136" s="773">
        <v>1.0442340767273608</v>
      </c>
    </row>
    <row r="137" spans="5:33" x14ac:dyDescent="0.2">
      <c r="Z137" s="768">
        <v>0.59499999999999997</v>
      </c>
      <c r="AA137" s="769">
        <v>0.65500000000000003</v>
      </c>
      <c r="AB137" s="770">
        <f>(AB135+AB138)/2</f>
        <v>0.10500000000000001</v>
      </c>
      <c r="AC137" s="764" t="s">
        <v>75</v>
      </c>
      <c r="AD137" s="771">
        <f t="shared" si="38"/>
        <v>7</v>
      </c>
      <c r="AE137" s="772">
        <v>0.70964000000000005</v>
      </c>
      <c r="AF137" s="772">
        <v>0.74047999999999992</v>
      </c>
      <c r="AG137" s="773">
        <v>1.0698634535696265</v>
      </c>
    </row>
    <row r="138" spans="5:33" x14ac:dyDescent="0.2">
      <c r="S138"/>
      <c r="T138"/>
      <c r="U138"/>
      <c r="Z138" s="768">
        <v>0.6</v>
      </c>
      <c r="AA138" s="769">
        <v>0.66</v>
      </c>
      <c r="AB138" s="774">
        <v>0.11</v>
      </c>
      <c r="AC138" s="764" t="s">
        <v>74</v>
      </c>
      <c r="AD138" s="771">
        <f t="shared" si="38"/>
        <v>8</v>
      </c>
      <c r="AE138" s="772">
        <v>0.75563999999999998</v>
      </c>
      <c r="AF138" s="772">
        <v>0.77283999999999997</v>
      </c>
      <c r="AG138" s="773">
        <v>1.0905153464137425</v>
      </c>
    </row>
    <row r="139" spans="5:33" x14ac:dyDescent="0.2">
      <c r="S139"/>
      <c r="T139"/>
      <c r="U139"/>
      <c r="Z139" s="768">
        <v>0.60499999999999998</v>
      </c>
      <c r="AA139" s="769">
        <v>0.66500000000000004</v>
      </c>
      <c r="AB139" s="774">
        <f>(AB138+AB140)/2</f>
        <v>0.11599999999999999</v>
      </c>
      <c r="AC139" s="764" t="s">
        <v>73</v>
      </c>
      <c r="AD139" s="771">
        <f t="shared" si="38"/>
        <v>9</v>
      </c>
      <c r="AE139" s="772">
        <v>0.79763999999999979</v>
      </c>
      <c r="AF139" s="772">
        <v>0.80318666666666683</v>
      </c>
      <c r="AG139" s="773">
        <v>1.1067837684547033</v>
      </c>
    </row>
    <row r="140" spans="5:33" x14ac:dyDescent="0.2">
      <c r="S140"/>
      <c r="T140"/>
      <c r="U140"/>
      <c r="Z140" s="768">
        <v>0.61</v>
      </c>
      <c r="AA140" s="769">
        <v>0.67</v>
      </c>
      <c r="AB140" s="774">
        <v>0.122</v>
      </c>
      <c r="AC140" s="764" t="s">
        <v>65</v>
      </c>
      <c r="AD140" s="771">
        <f t="shared" si="38"/>
        <v>10</v>
      </c>
      <c r="AE140" s="772">
        <v>0.83563999999999994</v>
      </c>
      <c r="AF140" s="772">
        <v>0.83158000000000021</v>
      </c>
      <c r="AG140" s="773">
        <v>1.1193704644085498</v>
      </c>
    </row>
    <row r="141" spans="5:33" x14ac:dyDescent="0.2">
      <c r="S141"/>
      <c r="T141"/>
      <c r="U141"/>
      <c r="Z141" s="768">
        <v>0.61499999999999999</v>
      </c>
      <c r="AA141" s="769">
        <v>0.67500000000000004</v>
      </c>
      <c r="AB141" s="774">
        <f>(AB140+AB142)/2</f>
        <v>0.1285</v>
      </c>
      <c r="AC141" s="764" t="s">
        <v>54</v>
      </c>
      <c r="AD141" s="771">
        <f t="shared" si="38"/>
        <v>11</v>
      </c>
      <c r="AE141" s="772">
        <v>0.86964000000000008</v>
      </c>
      <c r="AF141" s="772">
        <v>0.85783999999999994</v>
      </c>
      <c r="AG141" s="773">
        <v>1.1286846691527839</v>
      </c>
    </row>
    <row r="142" spans="5:33" x14ac:dyDescent="0.2">
      <c r="S142"/>
      <c r="T142"/>
      <c r="U142"/>
      <c r="Z142" s="768">
        <v>0.62</v>
      </c>
      <c r="AA142" s="769">
        <v>0.68</v>
      </c>
      <c r="AB142" s="770">
        <v>0.13500000000000001</v>
      </c>
      <c r="AC142" s="775"/>
      <c r="AD142" s="771">
        <f t="shared" si="38"/>
        <v>12</v>
      </c>
      <c r="AE142" s="772">
        <v>0.89963999999999966</v>
      </c>
      <c r="AF142" s="772">
        <v>0.88214666666666686</v>
      </c>
      <c r="AG142" s="773">
        <v>1.135000484637007</v>
      </c>
    </row>
    <row r="143" spans="5:33" x14ac:dyDescent="0.2">
      <c r="S143"/>
      <c r="T143"/>
      <c r="U143"/>
      <c r="Z143" s="768">
        <v>0.625</v>
      </c>
      <c r="AA143" s="769">
        <v>0.68500000000000005</v>
      </c>
      <c r="AB143" s="770">
        <f>(AB142+AB144)/2</f>
        <v>0.14250000000000002</v>
      </c>
      <c r="AC143" s="775"/>
      <c r="AD143" s="771">
        <f t="shared" si="38"/>
        <v>13</v>
      </c>
      <c r="AE143" s="772">
        <v>0.9256399999999998</v>
      </c>
      <c r="AF143" s="772">
        <v>0.90444000000000002</v>
      </c>
      <c r="AG143" s="773">
        <v>1.1386201807048688</v>
      </c>
    </row>
    <row r="144" spans="5:33" x14ac:dyDescent="0.2">
      <c r="S144"/>
      <c r="T144"/>
      <c r="U144"/>
      <c r="Z144" s="768">
        <v>0.63</v>
      </c>
      <c r="AA144" s="769">
        <v>0.69</v>
      </c>
      <c r="AB144" s="770">
        <v>0.15</v>
      </c>
      <c r="AC144" s="775"/>
      <c r="AD144" s="771">
        <f t="shared" si="38"/>
        <v>14</v>
      </c>
      <c r="AE144" s="772">
        <v>0.9476399999999997</v>
      </c>
      <c r="AF144" s="772">
        <v>0.92465999999999982</v>
      </c>
      <c r="AG144" s="773">
        <v>1.1399138300696301</v>
      </c>
    </row>
    <row r="145" spans="19:33" x14ac:dyDescent="0.2">
      <c r="S145"/>
      <c r="T145"/>
      <c r="U145"/>
      <c r="Z145" s="768">
        <v>0.63500000000000001</v>
      </c>
      <c r="AA145" s="769">
        <v>0.69499999999999995</v>
      </c>
      <c r="AB145" s="770">
        <f>(AB144+AB146)/2</f>
        <v>0.1585</v>
      </c>
      <c r="AC145" s="775"/>
      <c r="AD145" s="771">
        <f t="shared" si="38"/>
        <v>15</v>
      </c>
      <c r="AE145" s="772">
        <v>0.96564000000000016</v>
      </c>
      <c r="AF145" s="772">
        <v>0.94286666666666674</v>
      </c>
      <c r="AG145" s="773">
        <v>1.1389721181856014</v>
      </c>
    </row>
    <row r="146" spans="19:33" x14ac:dyDescent="0.2">
      <c r="S146"/>
      <c r="T146"/>
      <c r="U146"/>
      <c r="Z146" s="768">
        <v>0.64</v>
      </c>
      <c r="AA146" s="769">
        <v>0.7</v>
      </c>
      <c r="AB146" s="770">
        <v>0.16700000000000001</v>
      </c>
      <c r="AC146" s="775"/>
      <c r="AD146" s="771">
        <f t="shared" si="38"/>
        <v>16</v>
      </c>
      <c r="AE146" s="772">
        <v>0.97963999999999973</v>
      </c>
      <c r="AF146" s="772">
        <v>0.96006666666666685</v>
      </c>
      <c r="AG146" s="773">
        <v>1.1345731655830449</v>
      </c>
    </row>
    <row r="147" spans="19:33" x14ac:dyDescent="0.2">
      <c r="S147"/>
      <c r="T147"/>
      <c r="U147"/>
      <c r="Z147" s="768">
        <v>0.64500000000000002</v>
      </c>
      <c r="AA147" s="769">
        <v>0.70499999999999996</v>
      </c>
      <c r="AB147" s="770">
        <f>(AB146+AB148)/2</f>
        <v>0.17499999999999999</v>
      </c>
      <c r="AC147" s="775"/>
      <c r="AD147" s="771">
        <f t="shared" si="38"/>
        <v>17</v>
      </c>
      <c r="AE147" s="772">
        <v>0.99164000000000008</v>
      </c>
      <c r="AF147" s="772">
        <v>0.97726666666666684</v>
      </c>
      <c r="AG147" s="773">
        <v>1.127948717948718</v>
      </c>
    </row>
    <row r="148" spans="19:33" x14ac:dyDescent="0.2">
      <c r="S148"/>
      <c r="T148"/>
      <c r="U148"/>
      <c r="Z148" s="768">
        <v>0.65</v>
      </c>
      <c r="AA148" s="769">
        <v>0.71</v>
      </c>
      <c r="AB148" s="770">
        <v>0.183</v>
      </c>
      <c r="AC148" s="775"/>
      <c r="AD148" s="771">
        <f t="shared" si="38"/>
        <v>18</v>
      </c>
      <c r="AE148" s="772">
        <v>0.99931999999999988</v>
      </c>
      <c r="AF148" s="772">
        <v>0.98997333333333326</v>
      </c>
      <c r="AG148" s="773">
        <v>1.1223755894829777</v>
      </c>
    </row>
    <row r="149" spans="19:33" x14ac:dyDescent="0.2">
      <c r="S149"/>
      <c r="T149"/>
      <c r="U149"/>
      <c r="Z149" s="768">
        <v>0.65500000000000003</v>
      </c>
      <c r="AA149" s="769">
        <v>0.71499999999999997</v>
      </c>
      <c r="AB149" s="770">
        <f>(AB148+AB150)/2</f>
        <v>0.1915</v>
      </c>
      <c r="AC149" s="775"/>
      <c r="AD149" s="771">
        <f t="shared" si="38"/>
        <v>19</v>
      </c>
      <c r="AE149" s="772">
        <v>1</v>
      </c>
      <c r="AF149" s="772">
        <v>0.99627999999999994</v>
      </c>
      <c r="AG149" s="773">
        <v>1.1163427143041849</v>
      </c>
    </row>
    <row r="150" spans="19:33" x14ac:dyDescent="0.2">
      <c r="S150"/>
      <c r="T150"/>
      <c r="U150"/>
      <c r="Z150" s="768">
        <v>0.66</v>
      </c>
      <c r="AA150" s="769">
        <v>0.72</v>
      </c>
      <c r="AB150" s="770">
        <v>0.2</v>
      </c>
      <c r="AC150" s="775"/>
      <c r="AD150" s="771">
        <f t="shared" si="38"/>
        <v>20</v>
      </c>
      <c r="AE150" s="772">
        <v>1</v>
      </c>
      <c r="AF150" s="772">
        <v>0.99898666666666669</v>
      </c>
      <c r="AG150" s="773">
        <v>1.1133474119725899</v>
      </c>
    </row>
    <row r="151" spans="19:33" x14ac:dyDescent="0.2">
      <c r="S151"/>
      <c r="T151"/>
      <c r="U151"/>
      <c r="Z151" s="768">
        <v>0.66500000000000004</v>
      </c>
      <c r="AA151" s="769">
        <v>0.72499999999999998</v>
      </c>
      <c r="AB151" s="770">
        <f>(AB150+AB152)/2</f>
        <v>0.20850000000000002</v>
      </c>
      <c r="AC151" s="775"/>
      <c r="AD151" s="771">
        <f t="shared" si="38"/>
        <v>21</v>
      </c>
      <c r="AE151" s="772">
        <v>1</v>
      </c>
      <c r="AF151" s="772">
        <v>0.99974666666666678</v>
      </c>
      <c r="AG151" s="773">
        <v>1.1125070034047322</v>
      </c>
    </row>
    <row r="152" spans="19:33" x14ac:dyDescent="0.2">
      <c r="S152"/>
      <c r="T152"/>
      <c r="U152"/>
      <c r="Z152" s="768">
        <v>0.67</v>
      </c>
      <c r="AA152" s="769">
        <v>0.73</v>
      </c>
      <c r="AB152" s="770">
        <v>0.217</v>
      </c>
      <c r="AC152" s="775"/>
      <c r="AD152" s="771">
        <f t="shared" si="38"/>
        <v>22</v>
      </c>
      <c r="AE152" s="772">
        <v>1</v>
      </c>
      <c r="AF152" s="772">
        <v>1</v>
      </c>
      <c r="AG152" s="773">
        <v>1.1122484161530837</v>
      </c>
    </row>
    <row r="153" spans="19:33" x14ac:dyDescent="0.2">
      <c r="S153"/>
      <c r="T153"/>
      <c r="U153"/>
      <c r="Z153" s="768">
        <v>0.67500000000000004</v>
      </c>
      <c r="AA153" s="769">
        <v>0.73499999999999999</v>
      </c>
      <c r="AB153" s="770">
        <f>(AB152+AB154)/2</f>
        <v>0.22500000000000001</v>
      </c>
      <c r="AC153" s="775"/>
      <c r="AD153" s="771">
        <f t="shared" si="38"/>
        <v>23</v>
      </c>
      <c r="AE153" s="772">
        <v>1</v>
      </c>
      <c r="AF153" s="772">
        <v>1</v>
      </c>
      <c r="AG153" s="773">
        <v>1.1122484161530837</v>
      </c>
    </row>
    <row r="154" spans="19:33" x14ac:dyDescent="0.2">
      <c r="S154"/>
      <c r="T154"/>
      <c r="U154"/>
      <c r="Z154" s="768">
        <v>0.68</v>
      </c>
      <c r="AA154" s="769">
        <v>0.74</v>
      </c>
      <c r="AB154" s="770">
        <v>0.23300000000000001</v>
      </c>
      <c r="AC154" s="775"/>
      <c r="AD154" s="771">
        <f t="shared" si="38"/>
        <v>24</v>
      </c>
      <c r="AE154" s="772">
        <v>1</v>
      </c>
      <c r="AF154" s="772">
        <v>1</v>
      </c>
      <c r="AG154" s="773">
        <v>1.1122484161530837</v>
      </c>
    </row>
    <row r="155" spans="19:33" x14ac:dyDescent="0.2">
      <c r="S155"/>
      <c r="T155"/>
      <c r="U155"/>
      <c r="Z155" s="768">
        <v>0.68500000000000005</v>
      </c>
      <c r="AA155" s="769">
        <v>0.745</v>
      </c>
      <c r="AB155" s="770">
        <f>(AB154+AB156)/2</f>
        <v>0.24149999999999999</v>
      </c>
      <c r="AC155" s="775"/>
      <c r="AD155" s="771">
        <f t="shared" si="38"/>
        <v>25</v>
      </c>
      <c r="AE155" s="772">
        <v>1</v>
      </c>
      <c r="AF155" s="772">
        <v>1</v>
      </c>
      <c r="AG155" s="773">
        <v>1.1122484161530837</v>
      </c>
    </row>
    <row r="156" spans="19:33" x14ac:dyDescent="0.2">
      <c r="S156"/>
      <c r="T156"/>
      <c r="U156"/>
      <c r="Z156" s="768">
        <v>0.69</v>
      </c>
      <c r="AA156" s="769">
        <v>0.75</v>
      </c>
      <c r="AB156" s="770">
        <v>0.25</v>
      </c>
      <c r="AC156" s="775"/>
      <c r="AD156" s="771">
        <f t="shared" si="38"/>
        <v>26</v>
      </c>
      <c r="AE156" s="772">
        <v>1</v>
      </c>
      <c r="AF156" s="772">
        <v>1</v>
      </c>
      <c r="AG156" s="773">
        <v>1.1122484161530837</v>
      </c>
    </row>
    <row r="157" spans="19:33" x14ac:dyDescent="0.2">
      <c r="S157"/>
      <c r="T157"/>
      <c r="U157"/>
      <c r="Z157" s="768">
        <v>0.7</v>
      </c>
      <c r="AA157" s="769">
        <v>0.755</v>
      </c>
      <c r="AB157" s="770">
        <f>(AB156+AB158)/2</f>
        <v>0.26649999999999996</v>
      </c>
      <c r="AC157" s="775"/>
      <c r="AD157" s="771">
        <f t="shared" si="38"/>
        <v>27</v>
      </c>
      <c r="AE157" s="772">
        <v>1</v>
      </c>
      <c r="AF157" s="772">
        <v>1</v>
      </c>
      <c r="AG157" s="773">
        <v>1.1122484161530837</v>
      </c>
    </row>
    <row r="158" spans="19:33" x14ac:dyDescent="0.2">
      <c r="S158"/>
      <c r="T158"/>
      <c r="U158"/>
      <c r="Z158" s="768">
        <v>0.71</v>
      </c>
      <c r="AA158" s="769">
        <v>0.76</v>
      </c>
      <c r="AB158" s="770">
        <v>0.28299999999999997</v>
      </c>
      <c r="AC158" s="775"/>
      <c r="AD158" s="771">
        <f t="shared" si="38"/>
        <v>28</v>
      </c>
      <c r="AE158" s="772">
        <v>0.99998000000000009</v>
      </c>
      <c r="AF158" s="772">
        <v>1</v>
      </c>
      <c r="AG158" s="773">
        <v>1.1122484161530837</v>
      </c>
    </row>
    <row r="159" spans="19:33" x14ac:dyDescent="0.2">
      <c r="S159"/>
      <c r="T159"/>
      <c r="U159"/>
      <c r="Z159" s="768">
        <v>0.71499999999999997</v>
      </c>
      <c r="AA159" s="769">
        <v>0.76500000000000001</v>
      </c>
      <c r="AB159" s="770">
        <f>(AB158+AB160)/2</f>
        <v>0.29149999999999998</v>
      </c>
      <c r="AC159" s="775"/>
      <c r="AD159" s="771">
        <f t="shared" si="38"/>
        <v>29</v>
      </c>
      <c r="AE159" s="772">
        <v>0.99986000000000008</v>
      </c>
      <c r="AF159" s="772">
        <v>1</v>
      </c>
      <c r="AG159" s="773">
        <v>1.1122244488977955</v>
      </c>
    </row>
    <row r="160" spans="19:33" x14ac:dyDescent="0.2">
      <c r="S160"/>
      <c r="T160"/>
      <c r="U160"/>
      <c r="Z160" s="768">
        <v>0.72</v>
      </c>
      <c r="AA160" s="769">
        <v>0.77</v>
      </c>
      <c r="AB160" s="770">
        <v>0.3</v>
      </c>
      <c r="AC160" s="775"/>
      <c r="AD160" s="771">
        <f t="shared" si="38"/>
        <v>30</v>
      </c>
      <c r="AE160" s="772">
        <v>0.99954666666666669</v>
      </c>
      <c r="AF160" s="772">
        <v>0.99990000000000012</v>
      </c>
      <c r="AG160" s="773">
        <v>1.1121883954926424</v>
      </c>
    </row>
    <row r="161" spans="19:33" x14ac:dyDescent="0.2">
      <c r="S161"/>
      <c r="T161"/>
      <c r="U161"/>
      <c r="Z161" s="768">
        <v>0.72499999999999998</v>
      </c>
      <c r="AA161" s="769">
        <v>0.77500000000000002</v>
      </c>
      <c r="AB161" s="770">
        <f>(AB160+AB162)/2</f>
        <v>0.3085</v>
      </c>
      <c r="AC161" s="775"/>
      <c r="AD161" s="771">
        <f t="shared" si="38"/>
        <v>31</v>
      </c>
      <c r="AE161" s="772">
        <v>0.99899333333333329</v>
      </c>
      <c r="AF161" s="772">
        <v>0.99950000000000039</v>
      </c>
      <c r="AG161" s="773">
        <v>1.1124060231360806</v>
      </c>
    </row>
    <row r="162" spans="19:33" x14ac:dyDescent="0.2">
      <c r="S162"/>
      <c r="T162"/>
      <c r="U162"/>
      <c r="Z162" s="768">
        <v>0.73</v>
      </c>
      <c r="AA162" s="769">
        <v>0.78</v>
      </c>
      <c r="AB162" s="770">
        <v>0.317</v>
      </c>
      <c r="AC162" s="775"/>
      <c r="AD162" s="771">
        <f t="shared" si="38"/>
        <v>32</v>
      </c>
      <c r="AE162" s="772">
        <v>0.99795333333333347</v>
      </c>
      <c r="AF162" s="772">
        <v>0.99846666666666695</v>
      </c>
      <c r="AG162" s="773">
        <v>1.1130369253956292</v>
      </c>
    </row>
    <row r="163" spans="19:33" x14ac:dyDescent="0.2">
      <c r="S163"/>
      <c r="T163"/>
      <c r="U163"/>
      <c r="Z163" s="768">
        <v>0.73499999999999999</v>
      </c>
      <c r="AA163" s="769">
        <v>0.78500000000000003</v>
      </c>
      <c r="AB163" s="770">
        <f>(AB162+AB164)/2</f>
        <v>0.32500000000000001</v>
      </c>
      <c r="AC163" s="775"/>
      <c r="AD163" s="771">
        <f t="shared" si="38"/>
        <v>33</v>
      </c>
      <c r="AE163" s="772">
        <v>0.9962000000000002</v>
      </c>
      <c r="AF163" s="772">
        <v>0.99690000000000012</v>
      </c>
      <c r="AG163" s="773">
        <v>1.1134335419220267</v>
      </c>
    </row>
    <row r="164" spans="19:33" x14ac:dyDescent="0.2">
      <c r="S164"/>
      <c r="T164"/>
      <c r="U164"/>
      <c r="Z164" s="768">
        <v>0.74</v>
      </c>
      <c r="AA164" s="769">
        <v>0.79</v>
      </c>
      <c r="AB164" s="770">
        <v>0.33300000000000002</v>
      </c>
      <c r="AC164" s="775"/>
      <c r="AD164" s="771">
        <f t="shared" si="38"/>
        <v>34</v>
      </c>
      <c r="AE164" s="772">
        <v>0.99377999999999955</v>
      </c>
      <c r="AF164" s="772">
        <v>0.99474000000000007</v>
      </c>
      <c r="AG164" s="773">
        <v>1.1138178228021978</v>
      </c>
    </row>
    <row r="165" spans="19:33" x14ac:dyDescent="0.2">
      <c r="S165"/>
      <c r="T165"/>
      <c r="U165"/>
      <c r="Z165" s="768">
        <v>0.745</v>
      </c>
      <c r="AA165" s="769">
        <v>0.79500000000000004</v>
      </c>
      <c r="AB165" s="770">
        <f>(AB164+AB166)/2</f>
        <v>0.34150000000000003</v>
      </c>
      <c r="AC165" s="775"/>
      <c r="AD165" s="771">
        <f t="shared" si="38"/>
        <v>35</v>
      </c>
      <c r="AE165" s="772">
        <v>0.99062666666666632</v>
      </c>
      <c r="AF165" s="772">
        <v>0.99204000000000003</v>
      </c>
      <c r="AG165" s="773">
        <v>1.113938952866133</v>
      </c>
    </row>
    <row r="166" spans="19:33" x14ac:dyDescent="0.2">
      <c r="S166"/>
      <c r="T166"/>
      <c r="U166"/>
      <c r="Z166" s="768">
        <v>0.75</v>
      </c>
      <c r="AA166" s="769">
        <v>0.8</v>
      </c>
      <c r="AB166" s="770">
        <v>0.35</v>
      </c>
      <c r="AC166" s="775"/>
      <c r="AD166" s="771">
        <f t="shared" si="38"/>
        <v>36</v>
      </c>
      <c r="AE166" s="772">
        <v>0.98680000000000023</v>
      </c>
      <c r="AF166" s="772">
        <v>0.98875333333333326</v>
      </c>
      <c r="AG166" s="773">
        <v>1.1140766342379245</v>
      </c>
    </row>
    <row r="167" spans="19:33" x14ac:dyDescent="0.2">
      <c r="S167"/>
      <c r="T167"/>
      <c r="U167"/>
      <c r="Z167" s="768">
        <v>0.755</v>
      </c>
      <c r="AA167" s="769">
        <v>0.80500000000000005</v>
      </c>
      <c r="AB167" s="770">
        <f>(AB166+AB168)/2</f>
        <v>0.35849999999999999</v>
      </c>
      <c r="AC167" s="492"/>
      <c r="AD167" s="771">
        <f t="shared" si="38"/>
        <v>37</v>
      </c>
      <c r="AE167" s="772">
        <v>0.98223999999999967</v>
      </c>
      <c r="AF167" s="772">
        <v>0.98488000000000009</v>
      </c>
      <c r="AG167" s="773">
        <v>1.1138116382332319</v>
      </c>
    </row>
    <row r="168" spans="19:33" x14ac:dyDescent="0.2">
      <c r="S168"/>
      <c r="T168"/>
      <c r="U168"/>
      <c r="Z168" s="768">
        <v>0.76</v>
      </c>
      <c r="AA168" s="769">
        <v>0.81</v>
      </c>
      <c r="AB168" s="770">
        <v>0.36699999999999999</v>
      </c>
      <c r="AC168" s="492"/>
      <c r="AD168" s="771">
        <f t="shared" si="38"/>
        <v>38</v>
      </c>
      <c r="AE168" s="772">
        <v>0.9770066666666668</v>
      </c>
      <c r="AF168" s="772">
        <v>0.98044666666666669</v>
      </c>
      <c r="AG168" s="773">
        <v>1.1135095137420719</v>
      </c>
    </row>
    <row r="169" spans="19:33" x14ac:dyDescent="0.2">
      <c r="Z169" s="768">
        <v>0.76500000000000001</v>
      </c>
      <c r="AA169" s="769">
        <v>0.81499999999999995</v>
      </c>
      <c r="AB169" s="770">
        <f>(AB168+AB170)/2</f>
        <v>0.3795</v>
      </c>
      <c r="AC169" s="492"/>
      <c r="AD169" s="771">
        <f t="shared" si="38"/>
        <v>39</v>
      </c>
      <c r="AE169" s="772">
        <v>0.97109333333333347</v>
      </c>
      <c r="AF169" s="772">
        <v>0.97545999999999999</v>
      </c>
      <c r="AG169" s="773">
        <v>1.1129493378179525</v>
      </c>
    </row>
    <row r="170" spans="19:33" x14ac:dyDescent="0.2">
      <c r="Z170" s="768">
        <v>0.77</v>
      </c>
      <c r="AA170" s="769">
        <v>0.82</v>
      </c>
      <c r="AB170" s="770">
        <v>0.39200000000000002</v>
      </c>
      <c r="AC170" s="492"/>
      <c r="AD170" s="771">
        <f t="shared" si="38"/>
        <v>40</v>
      </c>
      <c r="AE170" s="772">
        <v>0.96466666666666667</v>
      </c>
      <c r="AF170" s="772">
        <v>0.96988666666666645</v>
      </c>
      <c r="AG170" s="773">
        <v>1.1124689269077312</v>
      </c>
    </row>
    <row r="171" spans="19:33" x14ac:dyDescent="0.2">
      <c r="Z171" s="768">
        <v>0.77500000000000002</v>
      </c>
      <c r="AA171" s="769">
        <v>0.82499999999999996</v>
      </c>
      <c r="AB171" s="770">
        <f>(AB170+AB172)/2</f>
        <v>0.40449999999999997</v>
      </c>
      <c r="AC171" s="492"/>
      <c r="AD171" s="771">
        <f t="shared" si="38"/>
        <v>41</v>
      </c>
      <c r="AE171" s="772">
        <v>0.9577266666666665</v>
      </c>
      <c r="AF171" s="772">
        <v>0.96372666666666673</v>
      </c>
      <c r="AG171" s="773">
        <v>1.1118831801870943</v>
      </c>
    </row>
    <row r="172" spans="19:33" x14ac:dyDescent="0.2">
      <c r="S172"/>
      <c r="T172"/>
      <c r="U172"/>
      <c r="Z172" s="768">
        <v>0.78</v>
      </c>
      <c r="AA172" s="769">
        <v>0.83</v>
      </c>
      <c r="AB172" s="770">
        <v>0.41699999999999998</v>
      </c>
      <c r="AC172" s="492"/>
      <c r="AD172" s="771">
        <f t="shared" si="38"/>
        <v>42</v>
      </c>
      <c r="AE172" s="772">
        <v>0.95040666666666629</v>
      </c>
      <c r="AF172" s="772">
        <v>0.95702000000000009</v>
      </c>
      <c r="AG172" s="773">
        <v>1.1112963649088139</v>
      </c>
    </row>
    <row r="173" spans="19:33" x14ac:dyDescent="0.2">
      <c r="S173"/>
      <c r="T173"/>
      <c r="U173"/>
      <c r="Z173" s="768">
        <v>0.78500000000000003</v>
      </c>
      <c r="AA173" s="769">
        <v>0.83499999999999996</v>
      </c>
      <c r="AB173" s="770">
        <f>(AB172+AB174)/2</f>
        <v>0.42949999999999999</v>
      </c>
      <c r="AC173" s="492"/>
      <c r="AD173" s="771">
        <f t="shared" si="38"/>
        <v>43</v>
      </c>
      <c r="AE173" s="772">
        <v>0.94293999999999978</v>
      </c>
      <c r="AF173" s="772">
        <v>0.94970666666666659</v>
      </c>
      <c r="AG173" s="773">
        <v>1.1110543939888924</v>
      </c>
    </row>
    <row r="174" spans="19:33" x14ac:dyDescent="0.2">
      <c r="S174"/>
      <c r="T174"/>
      <c r="U174"/>
      <c r="Z174" s="768">
        <v>0.79</v>
      </c>
      <c r="AA174" s="769">
        <v>0.84</v>
      </c>
      <c r="AB174" s="770">
        <v>0.442</v>
      </c>
      <c r="AC174" s="492"/>
      <c r="AD174" s="771">
        <f t="shared" si="38"/>
        <v>44</v>
      </c>
      <c r="AE174" s="772">
        <v>0.93546666666666667</v>
      </c>
      <c r="AF174" s="772">
        <v>0.94183999999999979</v>
      </c>
      <c r="AG174" s="773">
        <v>1.1114531645569621</v>
      </c>
    </row>
    <row r="175" spans="19:33" x14ac:dyDescent="0.2">
      <c r="S175"/>
      <c r="T175"/>
      <c r="U175"/>
      <c r="Z175" s="768">
        <v>0.79500000000000004</v>
      </c>
      <c r="AA175" s="769">
        <v>0.84499999999999997</v>
      </c>
      <c r="AB175" s="770">
        <f>(AB174+AB176)/2</f>
        <v>0.45450000000000002</v>
      </c>
      <c r="AC175" s="492"/>
      <c r="AD175" s="771">
        <f t="shared" si="38"/>
        <v>45</v>
      </c>
      <c r="AE175" s="772">
        <v>0.92799333333333356</v>
      </c>
      <c r="AF175" s="772">
        <v>0.93343333333333312</v>
      </c>
      <c r="AG175" s="773">
        <v>1.112543938937431</v>
      </c>
    </row>
    <row r="176" spans="19:33" x14ac:dyDescent="0.2">
      <c r="S176"/>
      <c r="T176"/>
      <c r="U176"/>
      <c r="Z176" s="768">
        <v>0.8</v>
      </c>
      <c r="AA176" s="769">
        <v>0.85</v>
      </c>
      <c r="AB176" s="770">
        <v>0.46700000000000003</v>
      </c>
      <c r="AC176" s="492"/>
      <c r="AD176" s="771">
        <f t="shared" si="38"/>
        <v>46</v>
      </c>
      <c r="AE176" s="772">
        <v>0.92052666666666694</v>
      </c>
      <c r="AF176" s="772">
        <v>0.92440666666666649</v>
      </c>
      <c r="AG176" s="773">
        <v>1.1144758337649918</v>
      </c>
    </row>
    <row r="177" spans="19:33" x14ac:dyDescent="0.2">
      <c r="S177"/>
      <c r="T177"/>
      <c r="U177"/>
      <c r="Z177" s="768">
        <v>0.80500000000000005</v>
      </c>
      <c r="AA177" s="769">
        <v>0.85499999999999998</v>
      </c>
      <c r="AB177" s="770">
        <f>(AB176+AB178)/2</f>
        <v>0.47950000000000004</v>
      </c>
      <c r="AC177" s="492"/>
      <c r="AD177" s="771">
        <f t="shared" si="38"/>
        <v>47</v>
      </c>
      <c r="AE177" s="772">
        <v>0.91305999999999987</v>
      </c>
      <c r="AF177" s="772">
        <v>0.91483333333333339</v>
      </c>
      <c r="AG177" s="773">
        <v>1.1170845434967303</v>
      </c>
    </row>
    <row r="178" spans="19:33" x14ac:dyDescent="0.2">
      <c r="S178"/>
      <c r="T178"/>
      <c r="U178"/>
      <c r="Z178" s="768">
        <v>0.81</v>
      </c>
      <c r="AA178" s="769">
        <v>0.86</v>
      </c>
      <c r="AB178" s="770">
        <v>0.49199999999999999</v>
      </c>
      <c r="AC178" s="492"/>
      <c r="AD178" s="771">
        <f t="shared" si="38"/>
        <v>48</v>
      </c>
      <c r="AE178" s="772">
        <v>0.90558666666666654</v>
      </c>
      <c r="AF178" s="772">
        <v>0.90470666666666666</v>
      </c>
      <c r="AG178" s="773">
        <v>1.1204569055036344</v>
      </c>
    </row>
    <row r="179" spans="19:33" x14ac:dyDescent="0.2">
      <c r="S179"/>
      <c r="T179"/>
      <c r="U179"/>
      <c r="Z179" s="768">
        <v>0.81499999999999995</v>
      </c>
      <c r="AA179" s="769">
        <v>0.86499999999999999</v>
      </c>
      <c r="AB179" s="770">
        <f>(AB178+AB180)/2</f>
        <v>0.50449999999999995</v>
      </c>
      <c r="AC179" s="492"/>
      <c r="AD179" s="771">
        <f t="shared" si="38"/>
        <v>49</v>
      </c>
      <c r="AE179" s="772">
        <v>0.89810000000000001</v>
      </c>
      <c r="AF179" s="772">
        <v>0.89427999999999985</v>
      </c>
      <c r="AG179" s="773">
        <v>1.1242835771599542</v>
      </c>
    </row>
    <row r="180" spans="19:33" x14ac:dyDescent="0.2">
      <c r="S180"/>
      <c r="T180"/>
      <c r="U180"/>
      <c r="Z180" s="768">
        <v>0.82</v>
      </c>
      <c r="AA180" s="769">
        <v>0.87</v>
      </c>
      <c r="AB180" s="770">
        <v>0.51700000000000002</v>
      </c>
      <c r="AC180" s="492"/>
      <c r="AD180" s="771">
        <f t="shared" si="38"/>
        <v>50</v>
      </c>
      <c r="AE180" s="772">
        <v>0.89062666666666701</v>
      </c>
      <c r="AF180" s="772">
        <v>0.88383333333333325</v>
      </c>
      <c r="AG180" s="773">
        <v>1.128171048829818</v>
      </c>
    </row>
    <row r="181" spans="19:33" x14ac:dyDescent="0.2">
      <c r="S181"/>
      <c r="T181"/>
      <c r="U181"/>
      <c r="Z181" s="768">
        <v>0.82499999999999996</v>
      </c>
      <c r="AA181" s="769">
        <v>0.875</v>
      </c>
      <c r="AB181" s="770">
        <f>(AB180+AB182)/2</f>
        <v>0.53350000000000009</v>
      </c>
      <c r="AC181" s="492"/>
      <c r="AD181" s="771">
        <f t="shared" si="38"/>
        <v>51</v>
      </c>
      <c r="AE181" s="772">
        <v>0.88318000000000041</v>
      </c>
      <c r="AF181" s="772">
        <v>0.87341333333333349</v>
      </c>
      <c r="AG181" s="773">
        <v>1.1322498710921833</v>
      </c>
    </row>
    <row r="182" spans="19:33" x14ac:dyDescent="0.2">
      <c r="S182"/>
      <c r="T182"/>
      <c r="U182"/>
      <c r="Z182" s="768">
        <v>0.83</v>
      </c>
      <c r="AA182" s="769">
        <v>0.88</v>
      </c>
      <c r="AB182" s="770">
        <v>0.55000000000000004</v>
      </c>
      <c r="AC182" s="492"/>
      <c r="AD182" s="771">
        <f t="shared" si="38"/>
        <v>52</v>
      </c>
      <c r="AE182" s="772">
        <v>0.87570666666666641</v>
      </c>
      <c r="AF182" s="772">
        <v>0.86297333333333315</v>
      </c>
      <c r="AG182" s="773">
        <v>1.1364118293006173</v>
      </c>
    </row>
    <row r="183" spans="19:33" x14ac:dyDescent="0.2">
      <c r="S183"/>
      <c r="T183"/>
      <c r="U183"/>
      <c r="Z183" s="768">
        <v>0.83499999999999996</v>
      </c>
      <c r="AA183" s="769">
        <v>0.88500000000000001</v>
      </c>
      <c r="AB183" s="770">
        <f>(AB182+AB184)/2</f>
        <v>0.5665</v>
      </c>
      <c r="AC183" s="492"/>
      <c r="AD183" s="771">
        <f t="shared" si="38"/>
        <v>53</v>
      </c>
      <c r="AE183" s="772">
        <v>0.86822666666666659</v>
      </c>
      <c r="AF183" s="772">
        <v>0.85254000000000008</v>
      </c>
      <c r="AG183" s="773">
        <v>1.1405836539363798</v>
      </c>
    </row>
    <row r="184" spans="19:33" x14ac:dyDescent="0.2">
      <c r="S184"/>
      <c r="T184"/>
      <c r="U184"/>
      <c r="Z184" s="768">
        <v>0.84</v>
      </c>
      <c r="AA184" s="769">
        <v>0.89</v>
      </c>
      <c r="AB184" s="770">
        <v>0.58299999999999996</v>
      </c>
      <c r="AC184" s="492"/>
      <c r="AD184" s="771">
        <f t="shared" si="38"/>
        <v>54</v>
      </c>
      <c r="AE184" s="772">
        <v>0.86075333333333337</v>
      </c>
      <c r="AF184" s="772">
        <v>0.84210000000000007</v>
      </c>
      <c r="AG184" s="773">
        <v>1.1449485648380675</v>
      </c>
    </row>
    <row r="185" spans="19:33" x14ac:dyDescent="0.2">
      <c r="S185"/>
      <c r="T185"/>
      <c r="U185"/>
      <c r="Z185" s="768">
        <v>0.85</v>
      </c>
      <c r="AA185" s="769">
        <v>0.89500000000000002</v>
      </c>
      <c r="AB185" s="770">
        <f>(AB184+AB186)/2</f>
        <v>0.6</v>
      </c>
      <c r="AC185" s="492"/>
      <c r="AD185" s="771">
        <f t="shared" si="38"/>
        <v>55</v>
      </c>
      <c r="AE185" s="772">
        <v>0.85327333333333366</v>
      </c>
      <c r="AF185" s="772">
        <v>0.83167333333333338</v>
      </c>
      <c r="AG185" s="773">
        <v>1.149373156342183</v>
      </c>
    </row>
    <row r="186" spans="19:33" x14ac:dyDescent="0.2">
      <c r="S186"/>
      <c r="T186"/>
      <c r="U186"/>
      <c r="Z186" s="768">
        <v>0.86</v>
      </c>
      <c r="AA186" s="769">
        <v>0.9</v>
      </c>
      <c r="AB186" s="770">
        <v>0.61699999999999999</v>
      </c>
      <c r="AC186" s="492"/>
      <c r="AD186" s="771">
        <f t="shared" si="38"/>
        <v>56</v>
      </c>
      <c r="AE186" s="772">
        <v>0.84582666666666695</v>
      </c>
      <c r="AF186" s="772">
        <v>0.82123333333333326</v>
      </c>
      <c r="AG186" s="773">
        <v>1.1540007674456849</v>
      </c>
    </row>
    <row r="187" spans="19:33" x14ac:dyDescent="0.2">
      <c r="S187"/>
      <c r="T187"/>
      <c r="U187"/>
      <c r="Z187" s="768">
        <v>0.86499999999999999</v>
      </c>
      <c r="AA187" s="769">
        <v>0.90500000000000003</v>
      </c>
      <c r="AB187" s="770">
        <f>(AB186+AB188)/2</f>
        <v>0.63349999999999995</v>
      </c>
      <c r="AC187" s="492"/>
      <c r="AD187" s="771">
        <f t="shared" si="38"/>
        <v>57</v>
      </c>
      <c r="AE187" s="772">
        <v>0.83835333333333328</v>
      </c>
      <c r="AF187" s="772">
        <v>0.81081333333333327</v>
      </c>
      <c r="AG187" s="773">
        <v>1.1587505658669082</v>
      </c>
    </row>
    <row r="188" spans="19:33" x14ac:dyDescent="0.2">
      <c r="S188"/>
      <c r="T188"/>
      <c r="U188"/>
      <c r="Z188" s="768">
        <v>0.87</v>
      </c>
      <c r="AA188" s="769">
        <v>0.91</v>
      </c>
      <c r="AB188" s="770">
        <v>0.65</v>
      </c>
      <c r="AC188" s="492"/>
      <c r="AD188" s="771">
        <f t="shared" si="38"/>
        <v>58</v>
      </c>
      <c r="AE188" s="772">
        <v>0.83087999999999995</v>
      </c>
      <c r="AF188" s="772">
        <v>0.80037333333333338</v>
      </c>
      <c r="AG188" s="773">
        <v>1.163505876020454</v>
      </c>
    </row>
    <row r="189" spans="19:33" x14ac:dyDescent="0.2">
      <c r="S189"/>
      <c r="T189"/>
      <c r="U189"/>
      <c r="Z189" s="768">
        <v>0.875</v>
      </c>
      <c r="AA189" s="769">
        <v>0.91500000000000004</v>
      </c>
      <c r="AB189" s="770">
        <f>(AB188+AB190)/2</f>
        <v>0.66650000000000009</v>
      </c>
      <c r="AC189" s="492"/>
      <c r="AD189" s="771">
        <f t="shared" si="38"/>
        <v>59</v>
      </c>
      <c r="AE189" s="772">
        <v>0.82340666666666673</v>
      </c>
      <c r="AF189" s="772">
        <v>0.78993999999999986</v>
      </c>
      <c r="AG189" s="773">
        <v>1.1684532380495263</v>
      </c>
    </row>
    <row r="190" spans="19:33" x14ac:dyDescent="0.2">
      <c r="S190"/>
      <c r="T190"/>
      <c r="U190"/>
      <c r="Z190" s="768">
        <v>0.88</v>
      </c>
      <c r="AA190" s="769">
        <v>0.92</v>
      </c>
      <c r="AB190" s="770">
        <v>0.68300000000000005</v>
      </c>
      <c r="AC190" s="492"/>
      <c r="AD190" s="771">
        <f t="shared" si="38"/>
        <v>60</v>
      </c>
      <c r="AE190" s="772">
        <v>0.8159200000000002</v>
      </c>
      <c r="AF190" s="772">
        <v>0.77950666666666668</v>
      </c>
      <c r="AG190" s="773">
        <v>1.1734643561566638</v>
      </c>
    </row>
    <row r="191" spans="19:33" x14ac:dyDescent="0.2">
      <c r="S191"/>
      <c r="T191"/>
      <c r="U191"/>
      <c r="Z191" s="768">
        <v>0.89</v>
      </c>
      <c r="AA191" s="769">
        <v>0.92500000000000004</v>
      </c>
      <c r="AB191" s="770">
        <f>(AB190+AB192)/2</f>
        <v>0.70300000000000007</v>
      </c>
      <c r="AC191" s="492"/>
      <c r="AD191" s="771">
        <f t="shared" si="38"/>
        <v>61</v>
      </c>
      <c r="AE191" s="772">
        <v>0.80848000000000042</v>
      </c>
      <c r="AF191" s="772">
        <v>0.76907999999999987</v>
      </c>
      <c r="AG191" s="773">
        <v>1.1788362557794643</v>
      </c>
    </row>
    <row r="192" spans="19:33" x14ac:dyDescent="0.2">
      <c r="S192"/>
      <c r="T192"/>
      <c r="U192"/>
      <c r="Z192" s="768">
        <v>0.9</v>
      </c>
      <c r="AA192" s="769">
        <v>0.93</v>
      </c>
      <c r="AB192" s="770">
        <v>0.72299999999999998</v>
      </c>
      <c r="AC192" s="492"/>
      <c r="AD192" s="771">
        <f t="shared" si="38"/>
        <v>62</v>
      </c>
      <c r="AE192" s="772">
        <v>0.80101333333333313</v>
      </c>
      <c r="AF192" s="772">
        <v>0.75864666666666669</v>
      </c>
      <c r="AG192" s="773">
        <v>1.1842077975943592</v>
      </c>
    </row>
    <row r="193" spans="19:34" x14ac:dyDescent="0.2">
      <c r="S193"/>
      <c r="T193"/>
      <c r="U193"/>
      <c r="Z193" s="768">
        <v>0.90500000000000003</v>
      </c>
      <c r="AA193" s="769">
        <v>0.93500000000000005</v>
      </c>
      <c r="AB193" s="770">
        <f>(AB192+AB194)/2</f>
        <v>0.74299999999999999</v>
      </c>
      <c r="AC193" s="492"/>
      <c r="AD193" s="771">
        <f t="shared" si="38"/>
        <v>63</v>
      </c>
      <c r="AE193" s="772">
        <v>0.79351999999999989</v>
      </c>
      <c r="AF193" s="772">
        <v>0.74820666666666658</v>
      </c>
      <c r="AG193" s="773">
        <v>1.1897572832152272</v>
      </c>
    </row>
    <row r="194" spans="19:34" x14ac:dyDescent="0.2">
      <c r="S194"/>
      <c r="T194"/>
      <c r="U194"/>
      <c r="Z194" s="768">
        <v>0.91</v>
      </c>
      <c r="AA194" s="769">
        <v>0.94</v>
      </c>
      <c r="AB194" s="770">
        <v>0.76300000000000001</v>
      </c>
      <c r="AC194" s="492"/>
      <c r="AD194" s="771">
        <f t="shared" si="38"/>
        <v>64</v>
      </c>
      <c r="AE194" s="772">
        <v>0.78606000000000009</v>
      </c>
      <c r="AF194" s="772">
        <v>0.73778000000000021</v>
      </c>
      <c r="AG194" s="773">
        <v>1.1953993761866015</v>
      </c>
    </row>
    <row r="195" spans="19:34" x14ac:dyDescent="0.2">
      <c r="S195"/>
      <c r="T195"/>
      <c r="U195"/>
      <c r="Z195" s="768">
        <v>0.91500000000000004</v>
      </c>
      <c r="AA195" s="769">
        <v>0.94499999999999995</v>
      </c>
      <c r="AB195" s="770">
        <f>(AB194+AB196)/2</f>
        <v>0.78150000000000008</v>
      </c>
      <c r="AC195" s="492"/>
      <c r="AD195" s="771">
        <f t="shared" si="38"/>
        <v>65</v>
      </c>
      <c r="AE195" s="772">
        <v>0.77857333333333356</v>
      </c>
      <c r="AF195" s="772">
        <v>0.7273400000000001</v>
      </c>
      <c r="AG195" s="773">
        <v>1.2012690525750354</v>
      </c>
    </row>
    <row r="196" spans="19:34" x14ac:dyDescent="0.2">
      <c r="S196"/>
      <c r="T196"/>
      <c r="U196"/>
      <c r="Z196" s="768">
        <v>0.92</v>
      </c>
      <c r="AA196" s="769">
        <v>0.95</v>
      </c>
      <c r="AB196" s="770">
        <v>0.8</v>
      </c>
      <c r="AC196" s="492"/>
      <c r="AD196" s="771">
        <f t="shared" si="38"/>
        <v>66</v>
      </c>
      <c r="AE196" s="772">
        <v>0.77111999999999981</v>
      </c>
      <c r="AF196" s="772">
        <v>0.71691333333333318</v>
      </c>
      <c r="AG196" s="773">
        <v>1.2073533567142596</v>
      </c>
    </row>
    <row r="197" spans="19:34" x14ac:dyDescent="0.2">
      <c r="S197"/>
      <c r="T197"/>
      <c r="U197"/>
      <c r="Z197" s="768">
        <v>0.92500000000000004</v>
      </c>
      <c r="AA197" s="769">
        <v>0.95499999999999996</v>
      </c>
      <c r="AB197" s="770">
        <f>(AB196+AB198)/2</f>
        <v>0.82000000000000006</v>
      </c>
      <c r="AC197" s="492"/>
      <c r="AD197" s="771">
        <f t="shared" si="38"/>
        <v>67</v>
      </c>
      <c r="AE197" s="772">
        <v>0.76363999999999999</v>
      </c>
      <c r="AF197" s="772">
        <v>0.70647333333333351</v>
      </c>
      <c r="AG197" s="773">
        <v>1.2135534089226061</v>
      </c>
    </row>
    <row r="198" spans="19:34" x14ac:dyDescent="0.2">
      <c r="S198"/>
      <c r="T198"/>
      <c r="U198"/>
      <c r="Z198" s="768">
        <v>0.93</v>
      </c>
      <c r="AA198" s="769">
        <v>0.96</v>
      </c>
      <c r="AB198" s="770">
        <v>0.84</v>
      </c>
      <c r="AC198" s="492"/>
      <c r="AD198" s="771">
        <f t="shared" si="38"/>
        <v>68</v>
      </c>
      <c r="AE198" s="772">
        <v>0.75614666666666663</v>
      </c>
      <c r="AF198" s="772">
        <v>0.69604666666666648</v>
      </c>
      <c r="AG198" s="773">
        <v>1.2199305996774352</v>
      </c>
    </row>
    <row r="199" spans="19:34" x14ac:dyDescent="0.2">
      <c r="S199"/>
      <c r="T199"/>
      <c r="U199"/>
      <c r="Z199" s="768">
        <v>0.93500000000000005</v>
      </c>
      <c r="AA199" s="769">
        <v>0.96499999999999997</v>
      </c>
      <c r="AB199" s="770">
        <f>(AB198+AB200)/2</f>
        <v>0.86149999999999993</v>
      </c>
      <c r="AC199" s="492"/>
      <c r="AD199" s="771">
        <f t="shared" si="38"/>
        <v>69</v>
      </c>
      <c r="AE199" s="772">
        <v>0.74848000000000003</v>
      </c>
      <c r="AF199" s="772">
        <v>0.6856066666666667</v>
      </c>
      <c r="AG199" s="773">
        <v>1.2265346598513311</v>
      </c>
    </row>
    <row r="200" spans="19:34" x14ac:dyDescent="0.2">
      <c r="S200"/>
      <c r="T200"/>
      <c r="U200"/>
      <c r="Z200" s="768">
        <v>0.94</v>
      </c>
      <c r="AA200" s="769">
        <v>0.97</v>
      </c>
      <c r="AB200" s="770">
        <v>0.88300000000000001</v>
      </c>
      <c r="AC200" s="492"/>
      <c r="AD200" s="771">
        <f t="shared" ref="AD200:AD230" si="39">+AD199+1</f>
        <v>70</v>
      </c>
      <c r="AE200" s="772">
        <v>0.74054000000000031</v>
      </c>
      <c r="AF200" s="772">
        <v>0.67517999999999978</v>
      </c>
      <c r="AG200" s="773">
        <v>1.2329759397536539</v>
      </c>
    </row>
    <row r="201" spans="19:34" x14ac:dyDescent="0.2">
      <c r="Z201" s="768">
        <v>0.95</v>
      </c>
      <c r="AA201" s="769">
        <v>0.97499999999999998</v>
      </c>
      <c r="AB201" s="770">
        <f>(AB200+AB202)/2</f>
        <v>0.9</v>
      </c>
      <c r="AC201" s="492"/>
      <c r="AD201" s="771">
        <f t="shared" si="39"/>
        <v>71</v>
      </c>
      <c r="AE201" s="772">
        <v>0.73209999999999986</v>
      </c>
      <c r="AF201" s="772">
        <v>0.66474666666666671</v>
      </c>
      <c r="AG201" s="773">
        <v>1.2390779571164863</v>
      </c>
    </row>
    <row r="202" spans="19:34" x14ac:dyDescent="0.2">
      <c r="Z202" s="768">
        <v>0.96</v>
      </c>
      <c r="AA202" s="769">
        <v>0.98</v>
      </c>
      <c r="AB202" s="770">
        <v>0.91700000000000004</v>
      </c>
      <c r="AC202" s="492"/>
      <c r="AD202" s="771">
        <f t="shared" si="39"/>
        <v>72</v>
      </c>
      <c r="AE202" s="772">
        <v>0.72298666666666656</v>
      </c>
      <c r="AF202" s="772">
        <v>0.65431333333333319</v>
      </c>
      <c r="AG202" s="773">
        <v>1.2441673809709342</v>
      </c>
    </row>
    <row r="203" spans="19:34" x14ac:dyDescent="0.2">
      <c r="Z203" s="768">
        <v>0.97</v>
      </c>
      <c r="AA203" s="769">
        <v>0.98499999999999999</v>
      </c>
      <c r="AB203" s="770">
        <f>(AB202+AB204)/2</f>
        <v>0.9385</v>
      </c>
      <c r="AC203" s="492"/>
      <c r="AD203" s="771">
        <f t="shared" si="39"/>
        <v>73</v>
      </c>
      <c r="AE203" s="772">
        <v>0.71315333333333342</v>
      </c>
      <c r="AF203" s="772">
        <v>0.64387333333333341</v>
      </c>
      <c r="AG203" s="773">
        <v>1.2480703588671238</v>
      </c>
    </row>
    <row r="204" spans="19:34" x14ac:dyDescent="0.2">
      <c r="S204"/>
      <c r="T204"/>
      <c r="U204"/>
      <c r="Z204" s="768">
        <v>0.98</v>
      </c>
      <c r="AA204" s="769">
        <v>0.99</v>
      </c>
      <c r="AB204" s="770">
        <v>0.96</v>
      </c>
      <c r="AC204" s="492"/>
      <c r="AD204" s="771">
        <f t="shared" si="39"/>
        <v>74</v>
      </c>
      <c r="AE204" s="772">
        <v>0.70267333333333326</v>
      </c>
      <c r="AF204" s="772">
        <v>0.63344000000000011</v>
      </c>
      <c r="AG204" s="773">
        <v>1.2510001212268156</v>
      </c>
    </row>
    <row r="205" spans="19:34" x14ac:dyDescent="0.2">
      <c r="S205"/>
      <c r="T205"/>
      <c r="U205"/>
      <c r="Z205" s="768">
        <v>0.99</v>
      </c>
      <c r="AA205" s="769">
        <v>0.995</v>
      </c>
      <c r="AB205" s="770">
        <f>(AB204+AB206)/2</f>
        <v>0.98</v>
      </c>
      <c r="AC205" s="492"/>
      <c r="AD205" s="771">
        <f t="shared" si="39"/>
        <v>75</v>
      </c>
      <c r="AE205" s="772">
        <v>0.69154666666666664</v>
      </c>
      <c r="AF205" s="772">
        <v>0.62295333333333336</v>
      </c>
      <c r="AG205" s="773">
        <v>1.253106215413988</v>
      </c>
    </row>
    <row r="206" spans="19:34" x14ac:dyDescent="0.2">
      <c r="S206"/>
      <c r="T206"/>
      <c r="U206"/>
      <c r="Z206" s="768">
        <v>1</v>
      </c>
      <c r="AA206" s="769">
        <v>1</v>
      </c>
      <c r="AB206" s="770">
        <v>1</v>
      </c>
      <c r="AC206" s="492"/>
      <c r="AD206" s="771">
        <f t="shared" si="39"/>
        <v>76</v>
      </c>
      <c r="AE206" s="772">
        <v>0.67972666666666681</v>
      </c>
      <c r="AF206" s="772">
        <v>0.6122200000000001</v>
      </c>
      <c r="AG206" s="773">
        <v>1.2550517640848169</v>
      </c>
    </row>
    <row r="207" spans="19:34" x14ac:dyDescent="0.2">
      <c r="S207"/>
      <c r="T207"/>
      <c r="U207"/>
      <c r="Z207" s="768">
        <v>1.0249999999999999</v>
      </c>
      <c r="AA207" s="769">
        <v>1</v>
      </c>
      <c r="AB207" s="770">
        <f>(AB206+AB208)/2</f>
        <v>1.125</v>
      </c>
      <c r="AC207" s="492"/>
      <c r="AD207" s="771">
        <f t="shared" si="39"/>
        <v>77</v>
      </c>
      <c r="AE207" s="772">
        <v>0.66722000000000026</v>
      </c>
      <c r="AF207" s="772">
        <v>0.60113333333333341</v>
      </c>
      <c r="AG207" s="773">
        <v>1.2568812622365542</v>
      </c>
      <c r="AH207" s="776"/>
    </row>
    <row r="208" spans="19:34" x14ac:dyDescent="0.2">
      <c r="S208"/>
      <c r="T208"/>
      <c r="U208"/>
      <c r="Z208" s="768">
        <v>1.05</v>
      </c>
      <c r="AA208" s="769">
        <v>1</v>
      </c>
      <c r="AB208" s="770">
        <v>1.25</v>
      </c>
      <c r="AC208" s="492"/>
      <c r="AD208" s="771">
        <f t="shared" si="39"/>
        <v>78</v>
      </c>
      <c r="AE208" s="772">
        <v>0.65406000000000009</v>
      </c>
      <c r="AF208" s="772">
        <v>0.58963333333333345</v>
      </c>
      <c r="AG208" s="773">
        <v>1.2589659990684678</v>
      </c>
      <c r="AH208" s="776"/>
    </row>
    <row r="209" spans="16:34" x14ac:dyDescent="0.2">
      <c r="S209"/>
      <c r="T209"/>
      <c r="U209"/>
      <c r="Z209" s="768">
        <v>1.075</v>
      </c>
      <c r="AA209" s="769">
        <v>1</v>
      </c>
      <c r="AB209" s="770">
        <f>(AB208+AB210)/2</f>
        <v>1.375</v>
      </c>
      <c r="AC209" s="492"/>
      <c r="AD209" s="771">
        <f t="shared" si="39"/>
        <v>79</v>
      </c>
      <c r="AE209" s="772">
        <v>0.64022000000000001</v>
      </c>
      <c r="AF209" s="772">
        <v>0.57755999999999996</v>
      </c>
      <c r="AG209" s="773">
        <v>1.2613645784397711</v>
      </c>
      <c r="AH209" s="776"/>
    </row>
    <row r="210" spans="16:34" x14ac:dyDescent="0.2">
      <c r="S210"/>
      <c r="T210"/>
      <c r="U210"/>
      <c r="Z210" s="768">
        <v>1.1000000000000001</v>
      </c>
      <c r="AA210" s="769">
        <v>1</v>
      </c>
      <c r="AB210" s="770">
        <v>1.5</v>
      </c>
      <c r="AC210" s="492"/>
      <c r="AD210" s="771">
        <f t="shared" si="39"/>
        <v>80</v>
      </c>
      <c r="AE210" s="772">
        <v>0.62569333333333355</v>
      </c>
      <c r="AF210" s="772">
        <v>0.56459999999999999</v>
      </c>
      <c r="AG210" s="773">
        <v>1.2644095721694035</v>
      </c>
      <c r="AH210" s="776"/>
    </row>
    <row r="211" spans="16:34" x14ac:dyDescent="0.2">
      <c r="S211"/>
      <c r="T211"/>
      <c r="U211"/>
      <c r="Z211" s="768">
        <v>1.125</v>
      </c>
      <c r="AA211" s="769">
        <v>1</v>
      </c>
      <c r="AB211" s="770">
        <f>(AB210+AB212)/2</f>
        <v>1.625</v>
      </c>
      <c r="AC211" s="492"/>
      <c r="AD211" s="771">
        <f t="shared" si="39"/>
        <v>81</v>
      </c>
      <c r="AE211" s="772">
        <v>0.61051333333333346</v>
      </c>
      <c r="AF211" s="772">
        <v>0.55079333333333336</v>
      </c>
      <c r="AG211" s="773">
        <v>1.2682621473096032</v>
      </c>
      <c r="AH211" s="776"/>
    </row>
    <row r="212" spans="16:34" x14ac:dyDescent="0.2">
      <c r="S212"/>
      <c r="T212"/>
      <c r="U212"/>
      <c r="Z212" s="768">
        <v>1.1499999999999999</v>
      </c>
      <c r="AA212" s="769">
        <v>1</v>
      </c>
      <c r="AB212" s="770">
        <v>1.75</v>
      </c>
      <c r="AC212" s="492"/>
      <c r="AD212" s="771">
        <f t="shared" si="39"/>
        <v>82</v>
      </c>
      <c r="AE212" s="772">
        <v>0.59467333333333328</v>
      </c>
      <c r="AF212" s="772">
        <v>0.53613333333333335</v>
      </c>
      <c r="AG212" s="773">
        <v>1.2728311381550232</v>
      </c>
      <c r="AH212" s="776"/>
    </row>
    <row r="213" spans="16:34" x14ac:dyDescent="0.2">
      <c r="S213"/>
      <c r="T213"/>
      <c r="U213"/>
      <c r="Z213" s="768">
        <v>1.175</v>
      </c>
      <c r="AA213" s="769">
        <v>1</v>
      </c>
      <c r="AB213" s="770">
        <f>(AB212+AB214)/2</f>
        <v>1.925</v>
      </c>
      <c r="AC213" s="492"/>
      <c r="AD213" s="771">
        <f t="shared" si="39"/>
        <v>83</v>
      </c>
      <c r="AE213" s="772">
        <v>0.57811999999999997</v>
      </c>
      <c r="AF213" s="772">
        <v>0.52061333333333337</v>
      </c>
      <c r="AG213" s="773">
        <v>1.278199336045728</v>
      </c>
      <c r="AH213" s="776"/>
    </row>
    <row r="214" spans="16:34" ht="13.5" thickBot="1" x14ac:dyDescent="0.25">
      <c r="S214"/>
      <c r="T214"/>
      <c r="U214"/>
      <c r="Z214" s="777">
        <v>1.2</v>
      </c>
      <c r="AA214" s="778">
        <v>1</v>
      </c>
      <c r="AB214" s="779">
        <v>2.1</v>
      </c>
      <c r="AC214" s="780"/>
      <c r="AD214" s="771">
        <f t="shared" si="39"/>
        <v>84</v>
      </c>
      <c r="AE214" s="772">
        <v>0.56091333333333326</v>
      </c>
      <c r="AF214" s="772">
        <v>0.50424000000000013</v>
      </c>
      <c r="AG214" s="773">
        <v>1.2845535346685719</v>
      </c>
      <c r="AH214" s="776"/>
    </row>
    <row r="215" spans="16:34" ht="13.5" thickTop="1" x14ac:dyDescent="0.2">
      <c r="P215" s="781"/>
      <c r="S215"/>
      <c r="T215"/>
      <c r="U215"/>
      <c r="W215" s="33"/>
      <c r="X215" s="33"/>
      <c r="AD215" s="771">
        <f t="shared" si="39"/>
        <v>85</v>
      </c>
      <c r="AE215" s="772">
        <v>0.54305999999999999</v>
      </c>
      <c r="AF215" s="772">
        <v>0.48702000000000001</v>
      </c>
      <c r="AG215" s="773">
        <v>1.2920853019449687</v>
      </c>
      <c r="AH215" s="776"/>
    </row>
    <row r="216" spans="16:34" x14ac:dyDescent="0.2">
      <c r="S216"/>
      <c r="T216"/>
      <c r="U216"/>
      <c r="W216" s="1267" t="s">
        <v>299</v>
      </c>
      <c r="X216" s="1267"/>
      <c r="Y216" s="1267"/>
      <c r="Z216" s="1267"/>
      <c r="AA216" s="1267"/>
      <c r="AB216" s="1267"/>
      <c r="AD216" s="771">
        <f t="shared" si="39"/>
        <v>86</v>
      </c>
      <c r="AE216" s="772">
        <v>0.52452000000000021</v>
      </c>
      <c r="AF216" s="772">
        <v>0.46892666666666671</v>
      </c>
      <c r="AG216" s="773">
        <v>1.3010383757402817</v>
      </c>
    </row>
    <row r="217" spans="16:34" x14ac:dyDescent="0.2">
      <c r="S217"/>
      <c r="T217"/>
      <c r="U217"/>
      <c r="W217" s="782">
        <f t="shared" ref="W217:AB217" si="40">IF(D10&lt;=$J$10,$J$10,HLOOKUP(D10,$J$10:$R$10,1,TRUE))</f>
        <v>0.82596199454992247</v>
      </c>
      <c r="X217" s="783">
        <f t="shared" si="40"/>
        <v>0.82596199454992247</v>
      </c>
      <c r="Y217" s="783">
        <f t="shared" si="40"/>
        <v>0.82596199454992247</v>
      </c>
      <c r="Z217" s="783">
        <f t="shared" si="40"/>
        <v>0.82596199454992247</v>
      </c>
      <c r="AA217" s="783">
        <f t="shared" si="40"/>
        <v>0.82596199454992247</v>
      </c>
      <c r="AB217" s="784">
        <f t="shared" si="40"/>
        <v>0.82596199454992247</v>
      </c>
      <c r="AD217" s="771">
        <f t="shared" si="39"/>
        <v>87</v>
      </c>
      <c r="AE217" s="772">
        <v>0.50526666666666675</v>
      </c>
      <c r="AF217" s="772">
        <v>0.44996666666666674</v>
      </c>
      <c r="AG217" s="773">
        <v>1.3112839193787627</v>
      </c>
    </row>
    <row r="218" spans="16:34" x14ac:dyDescent="0.2">
      <c r="S218"/>
      <c r="T218"/>
      <c r="U218"/>
      <c r="W218" s="785">
        <f t="shared" ref="W218:AB218" si="41">IF(D10&lt;=$J$10,$J$14,INDEX($J$14:$R$14,1,MATCH(D10,$J$10:$R$10,1)))</f>
        <v>4.1196036842071375E-3</v>
      </c>
      <c r="X218" s="786">
        <f t="shared" si="41"/>
        <v>4.1196036842071375E-3</v>
      </c>
      <c r="Y218" s="786">
        <f t="shared" si="41"/>
        <v>4.1196036842071375E-3</v>
      </c>
      <c r="Z218" s="786">
        <f t="shared" si="41"/>
        <v>4.1196036842071375E-3</v>
      </c>
      <c r="AA218" s="786">
        <f t="shared" si="41"/>
        <v>4.1196036842071375E-3</v>
      </c>
      <c r="AB218" s="787">
        <f t="shared" si="41"/>
        <v>4.1196036842071375E-3</v>
      </c>
      <c r="AD218" s="771">
        <f t="shared" si="39"/>
        <v>88</v>
      </c>
      <c r="AE218" s="772">
        <v>0.48538666666666669</v>
      </c>
      <c r="AF218" s="772">
        <v>0.43015333333333339</v>
      </c>
      <c r="AG218" s="773">
        <v>1.3235485155153266</v>
      </c>
    </row>
    <row r="219" spans="16:34" x14ac:dyDescent="0.2">
      <c r="S219"/>
      <c r="T219"/>
      <c r="U219"/>
      <c r="W219" s="788">
        <f t="shared" ref="W219:AB219" si="42">(IF($A$14, 60/W218/1440,W218)-(1609.344/(29.54+5.000663*($I$6*(W217))-0.007546*($I$6*(W217))^2)/1440))/(1609.344/(29.54+5.000663*($I$6*(W217))-0.007546*($I$6*(W217))^2)/1440)</f>
        <v>1.7460323039160383E-4</v>
      </c>
      <c r="X219" s="789">
        <f t="shared" si="42"/>
        <v>1.7460323039160383E-4</v>
      </c>
      <c r="Y219" s="789">
        <f t="shared" si="42"/>
        <v>1.7460323039160383E-4</v>
      </c>
      <c r="Z219" s="789">
        <f t="shared" si="42"/>
        <v>1.7460323039160383E-4</v>
      </c>
      <c r="AA219" s="789">
        <f t="shared" si="42"/>
        <v>1.7460323039160383E-4</v>
      </c>
      <c r="AB219" s="790">
        <f t="shared" si="42"/>
        <v>1.7460323039160383E-4</v>
      </c>
      <c r="AD219" s="771">
        <f t="shared" si="39"/>
        <v>89</v>
      </c>
      <c r="AE219" s="772">
        <v>0.46482666666666678</v>
      </c>
      <c r="AF219" s="772">
        <v>0.40950000000000003</v>
      </c>
      <c r="AG219" s="773">
        <v>1.3380581219216148</v>
      </c>
    </row>
    <row r="220" spans="16:34" x14ac:dyDescent="0.2">
      <c r="S220"/>
      <c r="T220"/>
      <c r="U220"/>
      <c r="AD220" s="771">
        <f t="shared" si="39"/>
        <v>90</v>
      </c>
      <c r="AE220" s="772">
        <v>0.44355999999999984</v>
      </c>
      <c r="AF220" s="772">
        <v>0.38796000000000003</v>
      </c>
      <c r="AG220" s="773">
        <v>1.3551693447282542</v>
      </c>
    </row>
    <row r="221" spans="16:34" x14ac:dyDescent="0.2">
      <c r="S221"/>
      <c r="T221"/>
      <c r="U221"/>
      <c r="AD221" s="771">
        <f t="shared" si="39"/>
        <v>91</v>
      </c>
      <c r="AE221" s="772">
        <v>0.42166666666666658</v>
      </c>
      <c r="AF221" s="772">
        <v>0.36556666666666665</v>
      </c>
      <c r="AG221" s="773">
        <v>1.3759891579196304</v>
      </c>
    </row>
    <row r="222" spans="16:34" x14ac:dyDescent="0.2">
      <c r="S222"/>
      <c r="T222"/>
      <c r="U222"/>
      <c r="AD222" s="771">
        <f t="shared" si="39"/>
        <v>92</v>
      </c>
      <c r="AE222" s="772">
        <v>0.39908666666666676</v>
      </c>
      <c r="AF222" s="772">
        <v>0.34232000000000001</v>
      </c>
      <c r="AG222" s="773">
        <v>1.4011394246077851</v>
      </c>
    </row>
    <row r="223" spans="16:34" x14ac:dyDescent="0.2">
      <c r="S223"/>
      <c r="T223"/>
      <c r="U223"/>
      <c r="AD223" s="771">
        <f t="shared" si="39"/>
        <v>93</v>
      </c>
      <c r="AE223" s="772">
        <v>0.37580666666666673</v>
      </c>
      <c r="AF223" s="772">
        <v>0.31820666666666669</v>
      </c>
      <c r="AG223" s="773">
        <v>1.4319365578245618</v>
      </c>
    </row>
    <row r="224" spans="16:34" x14ac:dyDescent="0.2">
      <c r="S224"/>
      <c r="T224"/>
      <c r="U224"/>
      <c r="AD224" s="771">
        <f t="shared" si="39"/>
        <v>94</v>
      </c>
      <c r="AE224" s="772">
        <v>0.35186666666666666</v>
      </c>
      <c r="AF224" s="772">
        <v>0.29325333333333331</v>
      </c>
      <c r="AG224" s="773">
        <v>1.4707371804591078</v>
      </c>
    </row>
    <row r="225" spans="17:33" x14ac:dyDescent="0.2">
      <c r="S225"/>
      <c r="T225"/>
      <c r="U225"/>
      <c r="AD225" s="771">
        <f t="shared" si="39"/>
        <v>95</v>
      </c>
      <c r="AE225" s="772">
        <v>0.32727333333333336</v>
      </c>
      <c r="AF225" s="772">
        <v>0.26742000000000005</v>
      </c>
      <c r="AG225" s="773">
        <v>1.5207004686233747</v>
      </c>
    </row>
    <row r="226" spans="17:33" x14ac:dyDescent="0.2">
      <c r="Q226" s="791"/>
      <c r="S226"/>
      <c r="T226"/>
      <c r="U226"/>
      <c r="AD226" s="771">
        <f t="shared" si="39"/>
        <v>96</v>
      </c>
      <c r="AE226" s="772">
        <v>0.30201999999999996</v>
      </c>
      <c r="AF226" s="772">
        <v>0.24073333333333338</v>
      </c>
      <c r="AG226" s="773">
        <v>1.5869203576627156</v>
      </c>
    </row>
    <row r="227" spans="17:33" x14ac:dyDescent="0.2">
      <c r="S227"/>
      <c r="T227"/>
      <c r="U227"/>
      <c r="AD227" s="771">
        <f t="shared" si="39"/>
        <v>97</v>
      </c>
      <c r="AE227" s="772">
        <v>0.27604000000000001</v>
      </c>
      <c r="AF227" s="772">
        <v>0.21318666666666664</v>
      </c>
      <c r="AG227" s="773">
        <v>1.6781728538627207</v>
      </c>
    </row>
    <row r="228" spans="17:33" x14ac:dyDescent="0.2">
      <c r="S228"/>
      <c r="T228"/>
      <c r="U228"/>
      <c r="AD228" s="771">
        <f t="shared" si="39"/>
        <v>98</v>
      </c>
      <c r="AE228" s="772">
        <v>0.24941999999999995</v>
      </c>
      <c r="AF228" s="772">
        <v>0.18476666666666666</v>
      </c>
      <c r="AG228" s="773">
        <v>1.8133024919416156</v>
      </c>
    </row>
    <row r="229" spans="17:33" x14ac:dyDescent="0.2">
      <c r="S229"/>
      <c r="T229"/>
      <c r="U229"/>
      <c r="W229" s="33"/>
      <c r="X229" s="33"/>
      <c r="AD229" s="771">
        <f t="shared" si="39"/>
        <v>99</v>
      </c>
      <c r="AE229" s="772">
        <v>0.22214666666666671</v>
      </c>
      <c r="AF229" s="772">
        <v>0.15553333333333333</v>
      </c>
      <c r="AG229" s="773">
        <v>2.0326986892910361</v>
      </c>
    </row>
    <row r="230" spans="17:33" ht="13.5" thickBot="1" x14ac:dyDescent="0.25">
      <c r="S230"/>
      <c r="T230"/>
      <c r="U230"/>
      <c r="W230" s="33"/>
      <c r="X230" s="33"/>
      <c r="AD230" s="792">
        <f t="shared" si="39"/>
        <v>100</v>
      </c>
      <c r="AE230" s="793">
        <v>0.19414666666666666</v>
      </c>
      <c r="AF230" s="793">
        <v>0.12540666666666667</v>
      </c>
      <c r="AG230" s="794">
        <v>2.4588411596705635</v>
      </c>
    </row>
    <row r="231" spans="17:33" ht="14.25" thickTop="1" thickBot="1" x14ac:dyDescent="0.25">
      <c r="S231"/>
      <c r="T231"/>
      <c r="U231"/>
    </row>
    <row r="232" spans="17:33" ht="13.5" thickBot="1" x14ac:dyDescent="0.25">
      <c r="S232"/>
      <c r="T232"/>
      <c r="U232"/>
      <c r="W232" s="1255" t="s">
        <v>300</v>
      </c>
      <c r="X232" s="1256"/>
      <c r="Y232" s="1257"/>
      <c r="Z232" s="1255" t="str">
        <f>"Projected Impact of Temperature on "&amp;$E$6&amp;" Time"</f>
        <v>Projected Impact of Temperature on 5k Time</v>
      </c>
      <c r="AA232" s="1256"/>
      <c r="AB232" s="1256"/>
      <c r="AC232" s="1256"/>
      <c r="AD232" s="1256"/>
      <c r="AE232" s="1258" t="s">
        <v>301</v>
      </c>
      <c r="AF232" s="1259"/>
      <c r="AG232" s="795" t="b">
        <v>0</v>
      </c>
    </row>
    <row r="233" spans="17:33" ht="13.5" thickBot="1" x14ac:dyDescent="0.25">
      <c r="W233" s="1251" t="str">
        <f>"Temperature  °"&amp;IF($L$80,"C","F")</f>
        <v>Temperature  °F</v>
      </c>
      <c r="X233" s="1252"/>
      <c r="Y233" s="796">
        <f>IF($L$80,(55-32)*5/9,55)</f>
        <v>55</v>
      </c>
      <c r="Z233" s="797">
        <f>IF($L$80,(60-32)*5/9,60)</f>
        <v>60</v>
      </c>
      <c r="AA233" s="797">
        <f>IF($L$80,(65-32)*5/9,65)</f>
        <v>65</v>
      </c>
      <c r="AB233" s="797">
        <f>IF($L$80,(70-32)*5/9,70)</f>
        <v>70</v>
      </c>
      <c r="AC233" s="797">
        <f>IF($L$80,(75-32)*5/9,75)</f>
        <v>75</v>
      </c>
      <c r="AD233" s="797">
        <f>IF($L$80,(80-32)*5/9,80)</f>
        <v>80</v>
      </c>
      <c r="AE233" s="797">
        <f>IF($L$80,(85-32)*5/9,85)</f>
        <v>85</v>
      </c>
      <c r="AF233" s="797">
        <f>IF($L$80,(90-32)*5/9,90)</f>
        <v>90</v>
      </c>
      <c r="AG233" s="798">
        <f>IF($L$80,(95-32)*5/9,95)</f>
        <v>95</v>
      </c>
    </row>
    <row r="234" spans="17:33" ht="13.5" thickBot="1" x14ac:dyDescent="0.25">
      <c r="W234" s="1253" t="s">
        <v>203</v>
      </c>
      <c r="X234" s="1254"/>
      <c r="Y234" s="799">
        <f>IF(AND($E$6&gt;0,$G$6&gt;0),$G$6,"-")</f>
        <v>1.1261574074074075E-2</v>
      </c>
      <c r="Z234" s="800">
        <f>IF($Y234&lt;&gt;"-",$Y234+$Y234*(0.0015437*IF($L$80,(Z233*9/5)+32,Z233)-0.09108933),"-")</f>
        <v>1.1278834350810186E-2</v>
      </c>
      <c r="AA234" s="800">
        <f>IF($Y234&lt;&gt;"-",$Y234+$Y234*(0.0015437*IF($L$80,(AA233*9/5)+32,AA233)-0.09108933),"-")</f>
        <v>1.1365756810300926E-2</v>
      </c>
      <c r="AB234" s="800">
        <f t="shared" ref="AB234:AG234" si="43">IF($Y234&lt;&gt;"-",$Y234+$Y234*(0.0015437*IF($L$80,(AB233*9/5)+32,AB233)-0.09108933),"-")</f>
        <v>1.1452679269791667E-2</v>
      </c>
      <c r="AC234" s="800">
        <f t="shared" si="43"/>
        <v>1.1539601729282409E-2</v>
      </c>
      <c r="AD234" s="800">
        <f t="shared" si="43"/>
        <v>1.1626524188773149E-2</v>
      </c>
      <c r="AE234" s="800">
        <f t="shared" si="43"/>
        <v>1.1713446648263889E-2</v>
      </c>
      <c r="AF234" s="800">
        <f t="shared" si="43"/>
        <v>1.180036910775463E-2</v>
      </c>
      <c r="AG234" s="800">
        <f t="shared" si="43"/>
        <v>1.1887291567245372E-2</v>
      </c>
    </row>
    <row r="235" spans="17:33" ht="13.5" thickBot="1" x14ac:dyDescent="0.25">
      <c r="W235" s="33"/>
    </row>
    <row r="236" spans="17:33" ht="13.5" thickBot="1" x14ac:dyDescent="0.25">
      <c r="W236" s="1255" t="s">
        <v>302</v>
      </c>
      <c r="X236" s="1256"/>
      <c r="Y236" s="1257"/>
      <c r="Z236" s="1255" t="str">
        <f>"Projected Impact of Temperature on "&amp;$E$6&amp;" Time"</f>
        <v>Projected Impact of Temperature on 5k Time</v>
      </c>
      <c r="AA236" s="1256"/>
      <c r="AB236" s="1256"/>
      <c r="AC236" s="1256"/>
      <c r="AD236" s="1256"/>
      <c r="AE236" s="1258" t="s">
        <v>303</v>
      </c>
      <c r="AF236" s="1259"/>
      <c r="AG236" s="795" t="b">
        <v>0</v>
      </c>
    </row>
    <row r="237" spans="17:33" ht="13.5" thickBot="1" x14ac:dyDescent="0.25">
      <c r="W237" s="1251" t="str">
        <f>"Temp + Dew Point  °"&amp;IF($L$80,"C","F")</f>
        <v>Temp + Dew Point  °F</v>
      </c>
      <c r="X237" s="1252"/>
      <c r="Y237" s="796">
        <f>IF($L$80,(100-64)*5/9,100)</f>
        <v>100</v>
      </c>
      <c r="Z237" s="801">
        <f>IF($L$80,(110-64)*5/9,110)</f>
        <v>110</v>
      </c>
      <c r="AA237" s="801">
        <f>IF($L$80,(120-64)*5/9,120)</f>
        <v>120</v>
      </c>
      <c r="AB237" s="801">
        <f>IF($L$80,(130-64)*5/9,130)</f>
        <v>130</v>
      </c>
      <c r="AC237" s="801">
        <f>IF($L$80,(140-64)*5/9,140)</f>
        <v>140</v>
      </c>
      <c r="AD237" s="801">
        <f>IF($L$80,(150-64)*5/9,150)</f>
        <v>150</v>
      </c>
      <c r="AE237" s="801">
        <f>IF($L$80,(160-64)*5/9,160)</f>
        <v>160</v>
      </c>
      <c r="AF237" s="801">
        <f>IF($L$80,(170-64)*5/9,170)</f>
        <v>170</v>
      </c>
      <c r="AG237" s="802">
        <f>IF($L$80,(180-64)*5/9,180)</f>
        <v>180</v>
      </c>
    </row>
    <row r="238" spans="17:33" ht="13.5" thickBot="1" x14ac:dyDescent="0.25">
      <c r="W238" s="1253" t="s">
        <v>203</v>
      </c>
      <c r="X238" s="1254"/>
      <c r="Y238" s="799">
        <f>IF(AND($E$6&gt;0,$G$6&gt;0),$G$6,"-")</f>
        <v>1.1261574074074075E-2</v>
      </c>
      <c r="Z238" s="800">
        <f>IF($Y238&lt;&gt;"-",$Y238+$Y238*(0.000012229*IF($L$80,((Z237*9/5)+64)^2,Z237^2) - (0.002174242*IF($L$80,((Z237*9/5)+64),Z237)) + 0.0954329),"")</f>
        <v>1.1309291390509259E-2</v>
      </c>
      <c r="AA238" s="800">
        <f>IF($Y238&lt;&gt;"-",$Y238+$Y238*(0.000012229*IF($L$80,((AA237*9/5)+64)^2,AA237^2) - (0.002174242*IF($L$80,((AA237*9/5)+64),AA237)) + 0.0954329),"")</f>
        <v>1.138118843263889E-2</v>
      </c>
      <c r="AB238" s="800">
        <f t="shared" ref="AB238:AG238" si="44">IF($Y238&lt;&gt;"-",$Y238+$Y238*(0.000012229*IF($L$80,((AB237*9/5)+64)^2,AB237^2) - (0.002174242*IF($L$80,((AB237*9/5)+64),AB237)) + 0.0954329),"")</f>
        <v>1.1480629032638891E-2</v>
      </c>
      <c r="AC238" s="800">
        <f t="shared" si="44"/>
        <v>1.160761319050926E-2</v>
      </c>
      <c r="AD238" s="800">
        <f t="shared" si="44"/>
        <v>1.1762140906250001E-2</v>
      </c>
      <c r="AE238" s="800">
        <f t="shared" si="44"/>
        <v>1.1944212179861111E-2</v>
      </c>
      <c r="AF238" s="800">
        <f t="shared" si="44"/>
        <v>1.2153827011342594E-2</v>
      </c>
      <c r="AG238" s="800">
        <f t="shared" si="44"/>
        <v>1.2390985400694445E-2</v>
      </c>
    </row>
    <row r="239" spans="17:33" ht="13.5" thickBot="1" x14ac:dyDescent="0.25"/>
    <row r="240" spans="17:33" ht="13.5" thickBot="1" x14ac:dyDescent="0.25">
      <c r="W240" s="1255" t="s">
        <v>304</v>
      </c>
      <c r="X240" s="1256"/>
      <c r="Y240" s="1257"/>
      <c r="Z240" s="1255" t="str">
        <f>"Projected Impact of Temperature on "&amp;$E$6&amp;" Time"</f>
        <v>Projected Impact of Temperature on 5k Time</v>
      </c>
      <c r="AA240" s="1256"/>
      <c r="AB240" s="1256"/>
      <c r="AC240" s="1256"/>
      <c r="AD240" s="1256"/>
      <c r="AE240" s="1258" t="s">
        <v>305</v>
      </c>
      <c r="AF240" s="1259"/>
      <c r="AG240" s="795" t="b">
        <v>0</v>
      </c>
    </row>
    <row r="241" spans="23:33" ht="13.5" thickBot="1" x14ac:dyDescent="0.25">
      <c r="W241" s="1251" t="str">
        <f>"Heat Index  °"&amp;IF($L$80,"C","F")</f>
        <v>Heat Index  °F</v>
      </c>
      <c r="X241" s="1252"/>
      <c r="Y241" s="796">
        <f>IF($L$80,(53-32)*5/9,53)</f>
        <v>53</v>
      </c>
      <c r="Z241" s="797">
        <f>IF($L$80,(60-32)*5/9,60)</f>
        <v>60</v>
      </c>
      <c r="AA241" s="797">
        <f>IF($L$80,(70-32)*5/9,70)</f>
        <v>70</v>
      </c>
      <c r="AB241" s="797">
        <f>IF($L$80,(80-32)*5/9,80)</f>
        <v>80</v>
      </c>
      <c r="AC241" s="797">
        <f>IF($L$80,(90-32)*5/9,90)</f>
        <v>90</v>
      </c>
      <c r="AD241" s="797">
        <f>IF($L$80,(100-32)*5/9,100)</f>
        <v>100</v>
      </c>
      <c r="AE241" s="797">
        <f>IF($L$80,(110-32)*5/9,110)</f>
        <v>110</v>
      </c>
      <c r="AF241" s="797">
        <f>IF($L$80,(120-32)*5/9,120)</f>
        <v>120</v>
      </c>
      <c r="AG241" s="802" t="s">
        <v>91</v>
      </c>
    </row>
    <row r="242" spans="23:33" ht="13.5" thickBot="1" x14ac:dyDescent="0.25">
      <c r="W242" s="1253" t="s">
        <v>203</v>
      </c>
      <c r="X242" s="1254"/>
      <c r="Y242" s="799">
        <f>IF(AND($E$6&gt;0,$G$6&gt;0),$G$6,"-")</f>
        <v>1.1261574074074075E-2</v>
      </c>
      <c r="Z242" s="800">
        <f t="shared" ref="Z242:AF242" si="45">IF($Y242&lt;&gt;"-",$Y242+$Y242*(0.00000000220395*IF($L$80,((Z241*9/5)+32)^4,Z241^4) - 0.0000004341222*IF($L$80,((Z241*9/5)+32)^3,Z241^3) + 0.0000608143905*IF($L$80,((Z241*9/5)+32)^2,Z241^2) - 0.0039308500021*IF($L$80,((Z241*9/5)+32),Z241) + 0.08700948577525),"-")</f>
        <v>1.1316565334103244E-2</v>
      </c>
      <c r="AA242" s="800">
        <f t="shared" si="45"/>
        <v>1.1417585434384691E-2</v>
      </c>
      <c r="AB242" s="800">
        <f t="shared" si="45"/>
        <v>1.1596682598683499E-2</v>
      </c>
      <c r="AC242" s="800">
        <f t="shared" si="45"/>
        <v>1.1869199334249668E-2</v>
      </c>
      <c r="AD242" s="800">
        <f t="shared" si="45"/>
        <v>1.2256434935416533E-2</v>
      </c>
      <c r="AE242" s="800">
        <f t="shared" si="45"/>
        <v>1.2785645483600755E-2</v>
      </c>
      <c r="AF242" s="800">
        <f t="shared" si="45"/>
        <v>1.3490043847302341E-2</v>
      </c>
      <c r="AG242" s="803" t="s">
        <v>91</v>
      </c>
    </row>
    <row r="243" spans="23:33" ht="13.5" thickBot="1" x14ac:dyDescent="0.25"/>
    <row r="244" spans="23:33" ht="13.5" thickBot="1" x14ac:dyDescent="0.25">
      <c r="W244" s="1255" t="s">
        <v>306</v>
      </c>
      <c r="X244" s="1256"/>
      <c r="Y244" s="1257"/>
      <c r="Z244" s="1255" t="str">
        <f>"Projected Impact of Temperature on "&amp;$E$6&amp;" Time"</f>
        <v>Projected Impact of Temperature on 5k Time</v>
      </c>
      <c r="AA244" s="1256"/>
      <c r="AB244" s="1256"/>
      <c r="AC244" s="1256"/>
      <c r="AD244" s="1256"/>
      <c r="AE244" s="1268" t="s">
        <v>307</v>
      </c>
      <c r="AF244" s="1269"/>
      <c r="AG244" s="795" t="b">
        <v>0</v>
      </c>
    </row>
    <row r="245" spans="23:33" ht="13.5" thickBot="1" x14ac:dyDescent="0.25">
      <c r="W245" s="1251" t="str">
        <f>"Temperature  °"&amp;IF($L$80,"C","F")</f>
        <v>Temperature  °F</v>
      </c>
      <c r="X245" s="1252"/>
      <c r="Y245" s="801" t="s">
        <v>91</v>
      </c>
      <c r="Z245" s="804">
        <f>IF($L$80,$Y$254,($Y$254*9/5)+32)</f>
        <v>24.817999999999998</v>
      </c>
      <c r="AA245" s="804">
        <f>IF($L$80,$Y$255,($Y$255*9/5)+32)</f>
        <v>33.817999999999998</v>
      </c>
      <c r="AB245" s="804">
        <f>IF($L$80,$Y$256,($Y$256*9/5)+32)</f>
        <v>42.835999999999999</v>
      </c>
      <c r="AC245" s="804">
        <f>IF($L$80,$Y$257,($Y$257*9/5)+32)</f>
        <v>51.835999999999999</v>
      </c>
      <c r="AD245" s="804">
        <f>IF($L$80,$Y$258,($Y$258*9/5)+32)</f>
        <v>60.835999999999999</v>
      </c>
      <c r="AE245" s="804">
        <f>IF($L$80,$Y$259,($Y$259*9/5)+32)</f>
        <v>69.835999999999999</v>
      </c>
      <c r="AF245" s="804">
        <f>IF($L$80,$Y$260,($Y$260*9/5)+32)</f>
        <v>78.835999999999999</v>
      </c>
      <c r="AG245" s="802" t="s">
        <v>91</v>
      </c>
    </row>
    <row r="246" spans="23:33" ht="13.5" thickBot="1" x14ac:dyDescent="0.25">
      <c r="W246" s="1253" t="s">
        <v>203</v>
      </c>
      <c r="X246" s="1254"/>
      <c r="Y246" s="800" t="s">
        <v>91</v>
      </c>
      <c r="Z246" s="800">
        <f>IF($AB246&lt;&gt;"-",$AB246*(1+$AA$254),"-")</f>
        <v>1.1629827546296297E-2</v>
      </c>
      <c r="AA246" s="800">
        <f>IF($AB246&lt;&gt;"-",$AB246*(1+$AA$255),"-")</f>
        <v>1.1353918981481482E-2</v>
      </c>
      <c r="AB246" s="799">
        <f>IF(AND($E$6&gt;0,$G$6&gt;0),$G$6,"-")</f>
        <v>1.1261574074074075E-2</v>
      </c>
      <c r="AC246" s="800">
        <f>IF($AB246&lt;&gt;"-",$AB246*(1+$AA$257),"-")</f>
        <v>1.1353918981481482E-2</v>
      </c>
      <c r="AD246" s="800">
        <f>IF($AB246&lt;&gt;"-",$AB246*(1+$AA$258),"-")</f>
        <v>1.1642215277777779E-2</v>
      </c>
      <c r="AE246" s="800">
        <f>IF($AB246&lt;&gt;"-",$AB246*(1+$AA$259),"-")</f>
        <v>1.2154616898148148E-2</v>
      </c>
      <c r="AF246" s="800">
        <f>IF($AB246&lt;&gt;"-",$AB246*(1+$AA$260),"-")</f>
        <v>1.295418865740741E-2</v>
      </c>
      <c r="AG246" s="803" t="s">
        <v>91</v>
      </c>
    </row>
    <row r="247" spans="23:33" ht="13.5" thickBot="1" x14ac:dyDescent="0.25"/>
    <row r="248" spans="23:33" ht="13.5" thickBot="1" x14ac:dyDescent="0.25">
      <c r="W248" s="1255" t="s">
        <v>308</v>
      </c>
      <c r="X248" s="1256"/>
      <c r="Y248" s="1257"/>
      <c r="Z248" s="1255" t="str">
        <f>"Projected Impact of Temperature on "&amp;$E$6&amp;" Time"</f>
        <v>Projected Impact of Temperature on 5k Time</v>
      </c>
      <c r="AA248" s="1256"/>
      <c r="AB248" s="1256"/>
      <c r="AC248" s="1256"/>
      <c r="AD248" s="1256"/>
      <c r="AE248" s="1268" t="s">
        <v>307</v>
      </c>
      <c r="AF248" s="1269"/>
      <c r="AG248" s="795" t="b">
        <v>0</v>
      </c>
    </row>
    <row r="249" spans="23:33" ht="13.5" thickBot="1" x14ac:dyDescent="0.25">
      <c r="W249" s="1251" t="str">
        <f>"Temperature  °"&amp;IF($L$80,"C","F")</f>
        <v>Temperature  °F</v>
      </c>
      <c r="X249" s="1252"/>
      <c r="Y249" s="801" t="s">
        <v>91</v>
      </c>
      <c r="Z249" s="804">
        <f>IF($L$80,$AB$254,($AB$254*9/5)+32)</f>
        <v>26.33</v>
      </c>
      <c r="AA249" s="804">
        <f>IF($L$80,$AB$255,($AB$255*9/5)+32)</f>
        <v>35.33</v>
      </c>
      <c r="AB249" s="804">
        <f>IF($L$80,$AB$256,($AB$256*9/5)+32)</f>
        <v>44.33</v>
      </c>
      <c r="AC249" s="804">
        <f>IF($L$80,$AB$257,($AB$257*9/5)+32)</f>
        <v>53.33</v>
      </c>
      <c r="AD249" s="804">
        <f>IF($L$80,$AB$258,($AB$258*9/5)+32)</f>
        <v>62.33</v>
      </c>
      <c r="AE249" s="804">
        <f>IF($L$80,$AB$259,($AB$259*9/5)+32)</f>
        <v>71.33</v>
      </c>
      <c r="AF249" s="804">
        <f>IF($L$80,$AB$260,($AB$260*9/5)+32)</f>
        <v>80.33</v>
      </c>
      <c r="AG249" s="802" t="s">
        <v>91</v>
      </c>
    </row>
    <row r="250" spans="23:33" ht="13.5" thickBot="1" x14ac:dyDescent="0.25">
      <c r="W250" s="1253" t="s">
        <v>203</v>
      </c>
      <c r="X250" s="1254"/>
      <c r="Y250" s="800" t="s">
        <v>91</v>
      </c>
      <c r="Z250" s="800">
        <f>IF($AB250&lt;&gt;"-",$AB250*(1+$AD$254),"-")</f>
        <v>1.1544239583333333E-2</v>
      </c>
      <c r="AA250" s="800">
        <f>IF($AB250&lt;&gt;"-",$AB250*(1+$AD$255),"-")</f>
        <v>1.1332521990740741E-2</v>
      </c>
      <c r="AB250" s="799">
        <f>IF(AND($E$6&gt;0,$G$6&gt;0),$G$6,"-")</f>
        <v>1.1261574074074075E-2</v>
      </c>
      <c r="AC250" s="800">
        <f>IF($AB250&lt;&gt;"-",$AB250*(1+$AD$257),"-")</f>
        <v>1.1332521990740741E-2</v>
      </c>
      <c r="AD250" s="800">
        <f>IF($AB250&lt;&gt;"-",$AB250*(1+$AD$258),"-")</f>
        <v>1.1552122685185186E-2</v>
      </c>
      <c r="AE250" s="800">
        <f>IF($AB250&lt;&gt;"-",$AB250*(1+$AD$259),"-")</f>
        <v>1.1937268518518521E-2</v>
      </c>
      <c r="AF250" s="800">
        <f>IF($AB250&lt;&gt;"-",$AB250*(1+$AD$260),"-")</f>
        <v>1.2520618055555556E-2</v>
      </c>
      <c r="AG250" s="803" t="s">
        <v>91</v>
      </c>
    </row>
    <row r="252" spans="23:33" x14ac:dyDescent="0.2">
      <c r="W252" t="s">
        <v>309</v>
      </c>
      <c r="AF252" s="1267" t="s">
        <v>310</v>
      </c>
      <c r="AG252" s="1267"/>
    </row>
    <row r="253" spans="23:33" x14ac:dyDescent="0.2">
      <c r="Y253" s="1267" t="s">
        <v>311</v>
      </c>
      <c r="Z253" s="1267"/>
      <c r="AA253" s="1267" t="s">
        <v>312</v>
      </c>
      <c r="AB253" s="1267"/>
      <c r="AE253" s="805" t="s">
        <v>313</v>
      </c>
      <c r="AF253" s="806">
        <f>0.0015437*IF($L$80,($N$95*9/5)+32,$N$95)-0.09108933</f>
        <v>3.2406670000000012E-2</v>
      </c>
      <c r="AG253" s="807">
        <f ca="1">IF($M$102,MAX(AF253*$O$91,0),0)</f>
        <v>3.2037112617322108E-4</v>
      </c>
    </row>
    <row r="254" spans="23:33" x14ac:dyDescent="0.2">
      <c r="W254" s="1270" t="s">
        <v>314</v>
      </c>
      <c r="X254" s="808" t="s">
        <v>315</v>
      </c>
      <c r="Y254" s="808">
        <v>-3.99</v>
      </c>
      <c r="Z254" s="809">
        <f t="shared" ref="Z254:Z260" si="46">(Y254*9/5)+32</f>
        <v>24.817999999999998</v>
      </c>
      <c r="AA254" s="810">
        <v>3.27E-2</v>
      </c>
      <c r="AB254" s="808">
        <v>-3.15</v>
      </c>
      <c r="AC254" s="808">
        <f t="shared" ref="AC254:AC260" si="47">(AB254*9/5)+32</f>
        <v>26.33</v>
      </c>
      <c r="AD254" s="810">
        <v>2.5100000000000001E-2</v>
      </c>
      <c r="AE254" s="805" t="s">
        <v>316</v>
      </c>
      <c r="AF254" s="811">
        <f>0.0015437*IF($L$52,($C$56*9/5)+32,$C$56)-0.09108933</f>
        <v>3.2406670000000012E-2</v>
      </c>
    </row>
    <row r="255" spans="23:33" x14ac:dyDescent="0.2">
      <c r="W255" s="1271"/>
      <c r="X255" s="812" t="s">
        <v>317</v>
      </c>
      <c r="Y255" s="812">
        <v>1.01</v>
      </c>
      <c r="Z255" s="813">
        <f t="shared" si="46"/>
        <v>33.817999999999998</v>
      </c>
      <c r="AA255" s="814">
        <v>8.2000000000000007E-3</v>
      </c>
      <c r="AB255" s="812">
        <v>1.85</v>
      </c>
      <c r="AC255" s="812">
        <f t="shared" si="47"/>
        <v>35.33</v>
      </c>
      <c r="AD255" s="814">
        <v>6.3E-3</v>
      </c>
      <c r="AE255" s="815"/>
      <c r="AF255" s="1267" t="s">
        <v>318</v>
      </c>
      <c r="AG255" s="1267"/>
    </row>
    <row r="256" spans="23:33" x14ac:dyDescent="0.2">
      <c r="W256" s="1271"/>
      <c r="X256" s="812" t="s">
        <v>319</v>
      </c>
      <c r="Y256" s="812">
        <v>6.02</v>
      </c>
      <c r="Z256" s="813">
        <f t="shared" si="46"/>
        <v>42.835999999999999</v>
      </c>
      <c r="AA256" s="814">
        <v>0</v>
      </c>
      <c r="AB256" s="812">
        <v>6.85</v>
      </c>
      <c r="AC256" s="812">
        <f t="shared" si="47"/>
        <v>44.33</v>
      </c>
      <c r="AD256" s="814">
        <v>0</v>
      </c>
      <c r="AE256" s="805" t="s">
        <v>313</v>
      </c>
      <c r="AF256" s="806">
        <f>(0.000012229*IF($L$80,(($N$95*9/5)+64)^2,$N$95^2)) - (0.002174242*IF($L$80,(($N$95*9/5)+64),$N$95)) + 0.0954329</f>
        <v>-2.4085999999999552E-4</v>
      </c>
      <c r="AG256" s="807">
        <f>IF($N$95&lt;=IF(L80,20,100),0,IF($M$102,MAX(AF256*$O$91,0),0))</f>
        <v>0</v>
      </c>
    </row>
    <row r="257" spans="23:33" x14ac:dyDescent="0.2">
      <c r="W257" s="1271"/>
      <c r="X257" s="812" t="s">
        <v>320</v>
      </c>
      <c r="Y257" s="812">
        <v>11.02</v>
      </c>
      <c r="Z257" s="813">
        <f t="shared" si="46"/>
        <v>51.835999999999999</v>
      </c>
      <c r="AA257" s="814">
        <v>8.2000000000000007E-3</v>
      </c>
      <c r="AB257" s="812">
        <v>11.85</v>
      </c>
      <c r="AC257" s="812">
        <f t="shared" si="47"/>
        <v>53.33</v>
      </c>
      <c r="AD257" s="814">
        <v>6.3E-3</v>
      </c>
      <c r="AE257" s="805" t="s">
        <v>316</v>
      </c>
      <c r="AF257" s="811">
        <f>(0.000012229*IF($L$52,(($C$56*9/5)+64)^2,$C$56^2)) - (0.002174242*IF($L$52,(($C$56*9/5)+64),$C$56)) + 0.0954329</f>
        <v>-2.4085999999999552E-4</v>
      </c>
    </row>
    <row r="258" spans="23:33" x14ac:dyDescent="0.2">
      <c r="W258" s="1271"/>
      <c r="X258" s="812" t="s">
        <v>321</v>
      </c>
      <c r="Y258" s="812">
        <v>16.02</v>
      </c>
      <c r="Z258" s="813">
        <f t="shared" si="46"/>
        <v>60.835999999999999</v>
      </c>
      <c r="AA258" s="814">
        <v>3.3799999999999997E-2</v>
      </c>
      <c r="AB258" s="812">
        <v>16.850000000000001</v>
      </c>
      <c r="AC258" s="812">
        <f t="shared" si="47"/>
        <v>62.33</v>
      </c>
      <c r="AD258" s="814">
        <v>2.58E-2</v>
      </c>
      <c r="AE258" s="815"/>
      <c r="AF258" s="1267" t="s">
        <v>304</v>
      </c>
      <c r="AG258" s="1267"/>
    </row>
    <row r="259" spans="23:33" x14ac:dyDescent="0.2">
      <c r="W259" s="1271"/>
      <c r="X259" s="812" t="s">
        <v>322</v>
      </c>
      <c r="Y259" s="812">
        <v>21.02</v>
      </c>
      <c r="Z259" s="813">
        <f t="shared" si="46"/>
        <v>69.835999999999999</v>
      </c>
      <c r="AA259" s="814">
        <v>7.9299999999999995E-2</v>
      </c>
      <c r="AB259" s="812">
        <v>21.85</v>
      </c>
      <c r="AC259" s="812">
        <f t="shared" si="47"/>
        <v>71.33</v>
      </c>
      <c r="AD259" s="814">
        <v>0.06</v>
      </c>
      <c r="AE259" s="805" t="s">
        <v>313</v>
      </c>
      <c r="AF259" s="806">
        <f>0.00000000220395*IF($L$80,(($N$95*9/5)+32)^4,$N$95^4) - 0.0000004341222*IF($L$80,(($N$95*9/5)+32)^3,$N$95^3) + 0.0000608143905*IF($L$80,(($N$95*9/5)+32)^2,$N$95^2) - 0.0039308500021*IF($L$80,(($N$95*9/5)+32),$N$95) + 0.08700948577525</f>
        <v>2.9756810407249951E-2</v>
      </c>
      <c r="AG259" s="807">
        <f ca="1">IF($M$102,MAX(AF259*$O$91,0),0)</f>
        <v>2.9417471346157098E-4</v>
      </c>
    </row>
    <row r="260" spans="23:33" x14ac:dyDescent="0.2">
      <c r="W260" s="1272"/>
      <c r="X260" s="766" t="s">
        <v>323</v>
      </c>
      <c r="Y260" s="766">
        <v>26.02</v>
      </c>
      <c r="Z260" s="816">
        <f t="shared" si="46"/>
        <v>78.835999999999999</v>
      </c>
      <c r="AA260" s="817">
        <v>0.15029999999999999</v>
      </c>
      <c r="AB260" s="766">
        <v>26.85</v>
      </c>
      <c r="AC260" s="766">
        <f t="shared" si="47"/>
        <v>80.33</v>
      </c>
      <c r="AD260" s="817">
        <v>0.1118</v>
      </c>
      <c r="AE260" s="805" t="s">
        <v>316</v>
      </c>
      <c r="AF260" s="811">
        <f>0.00000000220395*IF($L$52,(($C$56*9/5)+32)^4,$C$56^4) - 0.0000004341222*IF($L$52,(($C$56*9/5)+32)^3,$C$56^3) + 0.0000608143905*IF($L$52,(($C$56*9/5)+32)^2,$C$56^2) - 0.0039308500021*IF($L$52,(($C$56*9/5)+32),$C$56) + 0.08700948577525</f>
        <v>2.9756810407249951E-2</v>
      </c>
    </row>
    <row r="261" spans="23:33" x14ac:dyDescent="0.2">
      <c r="X261" s="33"/>
      <c r="Y261" s="33"/>
      <c r="Z261" s="818"/>
      <c r="AA261" s="33"/>
      <c r="AB261" s="818"/>
      <c r="AE261" s="815"/>
      <c r="AF261" s="1267" t="s">
        <v>324</v>
      </c>
      <c r="AG261" s="1267"/>
    </row>
    <row r="262" spans="23:33" x14ac:dyDescent="0.2">
      <c r="W262" t="s">
        <v>325</v>
      </c>
      <c r="X262" s="33"/>
      <c r="Z262" t="s">
        <v>326</v>
      </c>
      <c r="AA262" s="33"/>
      <c r="AE262" s="805" t="s">
        <v>313</v>
      </c>
      <c r="AF262" s="806">
        <f>X263*IF($L$80,(($N$95*9/5)+32)^2,$N$95^2) +(X264*IF($L$80,(($N$95*9/5)+32),$N$95)) + X265</f>
        <v>0.15757841435455355</v>
      </c>
      <c r="AG262" s="807">
        <f ca="1">IF($M$102,MAX(AF262*$O$91,0),0)</f>
        <v>1.5578143038874025E-3</v>
      </c>
    </row>
    <row r="263" spans="23:33" x14ac:dyDescent="0.2">
      <c r="W263" s="819" t="s">
        <v>327</v>
      </c>
      <c r="X263" s="820">
        <f>INDEX(LINEST(AA254:AA260,Z254:Z260^{1,2}),1)</f>
        <v>1.1470029015875874E-4</v>
      </c>
      <c r="Z263" s="819" t="s">
        <v>327</v>
      </c>
      <c r="AA263" s="820">
        <f>INDEX(LINEST(AD254:AD260,AC254:AC260^{1,2}),1)</f>
        <v>8.5523221634332687E-5</v>
      </c>
      <c r="AE263" s="805" t="s">
        <v>316</v>
      </c>
      <c r="AF263" s="811">
        <f>X263*IF($L$52,(($C$56*9/5)+32)^2,$C$56^2) +(X264*IF($L$52,(($C$56*9/5)+32),$C$56)) + X265</f>
        <v>0.15757841435455355</v>
      </c>
    </row>
    <row r="264" spans="23:33" x14ac:dyDescent="0.2">
      <c r="W264" s="821" t="s">
        <v>328</v>
      </c>
      <c r="X264" s="822">
        <f>INDEX(LINEST(AA254:AA260,Z254:Z260^{1,2}),1,2)</f>
        <v>-9.7916242967206035E-3</v>
      </c>
      <c r="Z264" s="821" t="s">
        <v>328</v>
      </c>
      <c r="AA264" s="822">
        <f>INDEX(LINEST(AD254:AD260,AC254:AC260^{1,2}),1,2)</f>
        <v>-7.5611925338036363E-3</v>
      </c>
      <c r="AE264" s="815"/>
      <c r="AF264" s="1267" t="s">
        <v>329</v>
      </c>
      <c r="AG264" s="1267"/>
    </row>
    <row r="265" spans="23:33" x14ac:dyDescent="0.2">
      <c r="W265" s="823" t="s">
        <v>330</v>
      </c>
      <c r="X265" s="824">
        <f>INDEX(LINEST(AA254:AA260,Z254:Z260^{1,2}),1,3)</f>
        <v>0.20682650107614597</v>
      </c>
      <c r="Z265" s="823" t="s">
        <v>330</v>
      </c>
      <c r="AA265" s="824">
        <f>INDEX(LINEST(AD254:AD260,AC254:AC260^{1,2}),1,3)</f>
        <v>0.16590751439006435</v>
      </c>
      <c r="AE265" s="805" t="s">
        <v>313</v>
      </c>
      <c r="AF265" s="806">
        <f xml:space="preserve"> AA263*IF($L$80,(($N$95*9/5)+32)^2,$N$95^2) +(AA264*IF($L$80,(($N$95*9/5)+32),$N$95)) +AA265</f>
        <v>0.10836073014550263</v>
      </c>
      <c r="AG265" s="807">
        <f ca="1">IF($M$102,MAX(AF265*$O$91,0),0)</f>
        <v>1.0712501207210481E-3</v>
      </c>
    </row>
    <row r="266" spans="23:33" x14ac:dyDescent="0.2">
      <c r="AE266" s="805" t="s">
        <v>316</v>
      </c>
      <c r="AF266" s="811">
        <f xml:space="preserve"> AA263*IF($L$52,(($C$56*9/5)+32)^2,$C$56^2) +(AA264*IF($L$52,(($C$56*9/5)+32),$C$56)) +AA265</f>
        <v>0.10836073014550263</v>
      </c>
    </row>
  </sheetData>
  <mergeCells count="228">
    <mergeCell ref="AF261:AG261"/>
    <mergeCell ref="AF264:AG264"/>
    <mergeCell ref="W249:X249"/>
    <mergeCell ref="W250:X250"/>
    <mergeCell ref="AF252:AG252"/>
    <mergeCell ref="Y253:Z253"/>
    <mergeCell ref="AA253:AB253"/>
    <mergeCell ref="W254:W260"/>
    <mergeCell ref="AF255:AG255"/>
    <mergeCell ref="AF258:AG258"/>
    <mergeCell ref="W244:Y244"/>
    <mergeCell ref="Z244:AD244"/>
    <mergeCell ref="AE244:AF244"/>
    <mergeCell ref="W245:X245"/>
    <mergeCell ref="W246:X246"/>
    <mergeCell ref="W248:Y248"/>
    <mergeCell ref="Z248:AD248"/>
    <mergeCell ref="AE248:AF248"/>
    <mergeCell ref="W238:X238"/>
    <mergeCell ref="W240:Y240"/>
    <mergeCell ref="Z240:AD240"/>
    <mergeCell ref="AE240:AF240"/>
    <mergeCell ref="W241:X241"/>
    <mergeCell ref="W242:X242"/>
    <mergeCell ref="W233:X233"/>
    <mergeCell ref="W234:X234"/>
    <mergeCell ref="W236:Y236"/>
    <mergeCell ref="Z236:AD236"/>
    <mergeCell ref="AE236:AF236"/>
    <mergeCell ref="W237:X237"/>
    <mergeCell ref="B125:C125"/>
    <mergeCell ref="W131:AG131"/>
    <mergeCell ref="AD133:AF133"/>
    <mergeCell ref="W216:AB216"/>
    <mergeCell ref="W232:Y232"/>
    <mergeCell ref="Z232:AD232"/>
    <mergeCell ref="AE232:AF232"/>
    <mergeCell ref="B120:C120"/>
    <mergeCell ref="B121:C121"/>
    <mergeCell ref="P121:R121"/>
    <mergeCell ref="B122:C122"/>
    <mergeCell ref="B123:C123"/>
    <mergeCell ref="B124:C124"/>
    <mergeCell ref="P114:R114"/>
    <mergeCell ref="B115:L115"/>
    <mergeCell ref="B116:C116"/>
    <mergeCell ref="B117:C117"/>
    <mergeCell ref="B118:C118"/>
    <mergeCell ref="B119:C119"/>
    <mergeCell ref="Q111:R111"/>
    <mergeCell ref="C112:H112"/>
    <mergeCell ref="I112:K112"/>
    <mergeCell ref="Q112:R112"/>
    <mergeCell ref="J113:L113"/>
    <mergeCell ref="Q113:R113"/>
    <mergeCell ref="C108:D108"/>
    <mergeCell ref="Q108:R108"/>
    <mergeCell ref="C109:D109"/>
    <mergeCell ref="P109:R109"/>
    <mergeCell ref="C110:D110"/>
    <mergeCell ref="Q110:R110"/>
    <mergeCell ref="B106:D106"/>
    <mergeCell ref="Q106:R106"/>
    <mergeCell ref="B107:D107"/>
    <mergeCell ref="Q107:R107"/>
    <mergeCell ref="M103:N103"/>
    <mergeCell ref="P103:R103"/>
    <mergeCell ref="B104:E104"/>
    <mergeCell ref="G104:H104"/>
    <mergeCell ref="I104:J104"/>
    <mergeCell ref="K104:L104"/>
    <mergeCell ref="M104:N104"/>
    <mergeCell ref="P104:R104"/>
    <mergeCell ref="B102:D102"/>
    <mergeCell ref="E102:F102"/>
    <mergeCell ref="G102:H102"/>
    <mergeCell ref="I102:J102"/>
    <mergeCell ref="K102:L102"/>
    <mergeCell ref="M102:N102"/>
    <mergeCell ref="Q102:R102"/>
    <mergeCell ref="K105:L105"/>
    <mergeCell ref="M105:N105"/>
    <mergeCell ref="Q105:R105"/>
    <mergeCell ref="G100:H100"/>
    <mergeCell ref="I100:J100"/>
    <mergeCell ref="K100:L100"/>
    <mergeCell ref="M100:N100"/>
    <mergeCell ref="Q100:R100"/>
    <mergeCell ref="B101:D101"/>
    <mergeCell ref="E101:F101"/>
    <mergeCell ref="G101:H101"/>
    <mergeCell ref="I101:J101"/>
    <mergeCell ref="K101:L101"/>
    <mergeCell ref="M101:N101"/>
    <mergeCell ref="Q101:R101"/>
    <mergeCell ref="P98:R98"/>
    <mergeCell ref="B99:E99"/>
    <mergeCell ref="G99:H99"/>
    <mergeCell ref="I99:J99"/>
    <mergeCell ref="K99:L99"/>
    <mergeCell ref="M99:O99"/>
    <mergeCell ref="Q99:R99"/>
    <mergeCell ref="P93:R93"/>
    <mergeCell ref="C94:K94"/>
    <mergeCell ref="M94:N94"/>
    <mergeCell ref="B95:F95"/>
    <mergeCell ref="K95:L95"/>
    <mergeCell ref="M96:N96"/>
    <mergeCell ref="B91:C91"/>
    <mergeCell ref="M91:N91"/>
    <mergeCell ref="B92:C92"/>
    <mergeCell ref="B93:G93"/>
    <mergeCell ref="J93:K93"/>
    <mergeCell ref="N93:O93"/>
    <mergeCell ref="B88:C88"/>
    <mergeCell ref="F88:G88"/>
    <mergeCell ref="I88:J88"/>
    <mergeCell ref="M88:N88"/>
    <mergeCell ref="O88:O90"/>
    <mergeCell ref="P88:R88"/>
    <mergeCell ref="B89:C89"/>
    <mergeCell ref="B90:C90"/>
    <mergeCell ref="B84:C84"/>
    <mergeCell ref="M84:N84"/>
    <mergeCell ref="M85:N85"/>
    <mergeCell ref="P86:Q86"/>
    <mergeCell ref="B87:L87"/>
    <mergeCell ref="M87:O87"/>
    <mergeCell ref="P87:R87"/>
    <mergeCell ref="B81:C81"/>
    <mergeCell ref="M81:O81"/>
    <mergeCell ref="B82:C82"/>
    <mergeCell ref="M82:N82"/>
    <mergeCell ref="P82:R82"/>
    <mergeCell ref="B83:C83"/>
    <mergeCell ref="M83:N83"/>
    <mergeCell ref="P83:R83"/>
    <mergeCell ref="D78:E78"/>
    <mergeCell ref="J78:K78"/>
    <mergeCell ref="M78:O78"/>
    <mergeCell ref="P78:Q78"/>
    <mergeCell ref="P79:Q79"/>
    <mergeCell ref="C80:I80"/>
    <mergeCell ref="J80:K80"/>
    <mergeCell ref="B76:E76"/>
    <mergeCell ref="M76:N76"/>
    <mergeCell ref="P76:Q76"/>
    <mergeCell ref="B77:E77"/>
    <mergeCell ref="M77:N77"/>
    <mergeCell ref="P77:Q77"/>
    <mergeCell ref="B73:L73"/>
    <mergeCell ref="M73:O73"/>
    <mergeCell ref="P73:R73"/>
    <mergeCell ref="B74:E74"/>
    <mergeCell ref="F74:K74"/>
    <mergeCell ref="M74:N74"/>
    <mergeCell ref="O74:O75"/>
    <mergeCell ref="B75:E75"/>
    <mergeCell ref="M75:N75"/>
    <mergeCell ref="B70:D70"/>
    <mergeCell ref="N70:O70"/>
    <mergeCell ref="Q70:R70"/>
    <mergeCell ref="B71:D71"/>
    <mergeCell ref="Q71:R71"/>
    <mergeCell ref="B72:F72"/>
    <mergeCell ref="B64:C64"/>
    <mergeCell ref="B65:C65"/>
    <mergeCell ref="B66:L66"/>
    <mergeCell ref="B68:E68"/>
    <mergeCell ref="F68:K68"/>
    <mergeCell ref="B69:D69"/>
    <mergeCell ref="B58:K58"/>
    <mergeCell ref="B59:C59"/>
    <mergeCell ref="B60:C60"/>
    <mergeCell ref="B61:C61"/>
    <mergeCell ref="B62:C62"/>
    <mergeCell ref="B63:C63"/>
    <mergeCell ref="B53:C53"/>
    <mergeCell ref="B54:C54"/>
    <mergeCell ref="B55:C55"/>
    <mergeCell ref="D56:F56"/>
    <mergeCell ref="G56:L56"/>
    <mergeCell ref="B57:F57"/>
    <mergeCell ref="G57:L57"/>
    <mergeCell ref="C52:J52"/>
    <mergeCell ref="Y47:AB47"/>
    <mergeCell ref="C48:D48"/>
    <mergeCell ref="E48:F48"/>
    <mergeCell ref="G48:H48"/>
    <mergeCell ref="I48:J48"/>
    <mergeCell ref="K48:L48"/>
    <mergeCell ref="T48:U48"/>
    <mergeCell ref="Y48:Z48"/>
    <mergeCell ref="AA48:AB48"/>
    <mergeCell ref="W4:AG4"/>
    <mergeCell ref="B5:D5"/>
    <mergeCell ref="I5:J5"/>
    <mergeCell ref="K5:M5"/>
    <mergeCell ref="P5:Q5"/>
    <mergeCell ref="I6:J6"/>
    <mergeCell ref="C50:D50"/>
    <mergeCell ref="E50:F50"/>
    <mergeCell ref="G50:H50"/>
    <mergeCell ref="I50:J50"/>
    <mergeCell ref="K50:L50"/>
    <mergeCell ref="M44:O44"/>
    <mergeCell ref="P44:R44"/>
    <mergeCell ref="B45:R45"/>
    <mergeCell ref="W46:X46"/>
    <mergeCell ref="D47:J47"/>
    <mergeCell ref="N47:P47"/>
    <mergeCell ref="W47:X47"/>
    <mergeCell ref="D9:E9"/>
    <mergeCell ref="H9:I9"/>
    <mergeCell ref="H17:L17"/>
    <mergeCell ref="M27:Q27"/>
    <mergeCell ref="M42:R42"/>
    <mergeCell ref="M43:O43"/>
    <mergeCell ref="P43:R43"/>
    <mergeCell ref="P6:Q6"/>
    <mergeCell ref="E7:G7"/>
    <mergeCell ref="D8:E8"/>
    <mergeCell ref="F8:G8"/>
    <mergeCell ref="H8:I8"/>
    <mergeCell ref="G2:M3"/>
    <mergeCell ref="P3:R3"/>
    <mergeCell ref="G4:M4"/>
    <mergeCell ref="P4:Q4"/>
  </mergeCells>
  <conditionalFormatting sqref="B11:C11">
    <cfRule type="expression" dxfId="85" priority="4">
      <formula>OR($A$9,AND($C$9&lt;&gt;"",$C$9&lt;&gt;0))</formula>
    </cfRule>
  </conditionalFormatting>
  <conditionalFormatting sqref="C6">
    <cfRule type="expression" dxfId="84" priority="2">
      <formula>G16&lt;&gt;2</formula>
    </cfRule>
  </conditionalFormatting>
  <conditionalFormatting sqref="D81">
    <cfRule type="expression" dxfId="83" priority="11">
      <formula>OR($D$85=1,$D$85=2,$D$85=3)</formula>
    </cfRule>
  </conditionalFormatting>
  <conditionalFormatting sqref="D81:D84">
    <cfRule type="expression" dxfId="82" priority="10">
      <formula>OR($D$85=1,$D$85=2,$D$85=3)</formula>
    </cfRule>
  </conditionalFormatting>
  <conditionalFormatting sqref="D82:D84">
    <cfRule type="expression" dxfId="81" priority="9">
      <formula>OR($D$85=1,$D$85=2,$D$85=3)</formula>
    </cfRule>
  </conditionalFormatting>
  <conditionalFormatting sqref="D97">
    <cfRule type="expression" dxfId="80" priority="41">
      <formula>AND(ROUND(N89,1)&lt;ROUND(D98,1),ROUND(D98,1)&lt;ROUND(IF(C4,K101,K102),1))</formula>
    </cfRule>
    <cfRule type="expression" dxfId="79" priority="42">
      <formula>ROUND(D98,1)=ROUND($N$89,1)</formula>
    </cfRule>
  </conditionalFormatting>
  <conditionalFormatting sqref="D10:I10">
    <cfRule type="cellIs" dxfId="78" priority="5" operator="notBetween">
      <formula>0.5</formula>
      <formula>$J$10</formula>
    </cfRule>
  </conditionalFormatting>
  <conditionalFormatting sqref="D89:L89">
    <cfRule type="expression" dxfId="77" priority="16">
      <formula>ROUND(D89,1)&lt;ROUND(MIN($D$98,$F$100),1)</formula>
    </cfRule>
  </conditionalFormatting>
  <conditionalFormatting sqref="D14:S15">
    <cfRule type="expression" dxfId="76" priority="3">
      <formula>$A$14=TRUE</formula>
    </cfRule>
  </conditionalFormatting>
  <conditionalFormatting sqref="E5">
    <cfRule type="cellIs" dxfId="75" priority="23" stopIfTrue="1" operator="notBetween">
      <formula>5</formula>
      <formula>100</formula>
    </cfRule>
  </conditionalFormatting>
  <conditionalFormatting sqref="E88 H95">
    <cfRule type="cellIs" dxfId="74" priority="17" stopIfTrue="1" operator="equal">
      <formula>"Birthdate?"</formula>
    </cfRule>
  </conditionalFormatting>
  <conditionalFormatting sqref="E106 F107">
    <cfRule type="containsText" dxfId="73" priority="12" operator="containsText" text="Weight?">
      <formula>NOT(ISERROR(SEARCH("Weight?",E106)))</formula>
    </cfRule>
  </conditionalFormatting>
  <conditionalFormatting sqref="F78">
    <cfRule type="expression" dxfId="72" priority="18" stopIfTrue="1">
      <formula>$D$78=FALSE</formula>
    </cfRule>
  </conditionalFormatting>
  <conditionalFormatting sqref="G81">
    <cfRule type="expression" dxfId="71" priority="7">
      <formula>$D$85=4</formula>
    </cfRule>
  </conditionalFormatting>
  <conditionalFormatting sqref="G81:G84">
    <cfRule type="expression" dxfId="70" priority="8">
      <formula>$D$85=4</formula>
    </cfRule>
  </conditionalFormatting>
  <conditionalFormatting sqref="G82:G84">
    <cfRule type="expression" dxfId="69" priority="6">
      <formula>$D$85=4</formula>
    </cfRule>
  </conditionalFormatting>
  <conditionalFormatting sqref="G101:L102">
    <cfRule type="expression" dxfId="68" priority="36">
      <formula>ROUND(G101,1)=ROUND($N$89,1)</formula>
    </cfRule>
  </conditionalFormatting>
  <conditionalFormatting sqref="I6:J6">
    <cfRule type="cellIs" dxfId="67" priority="22" stopIfTrue="1" operator="notBetween">
      <formula>29.995</formula>
      <formula>85.005</formula>
    </cfRule>
  </conditionalFormatting>
  <conditionalFormatting sqref="J59">
    <cfRule type="cellIs" dxfId="66" priority="20" stopIfTrue="1" operator="equal">
      <formula>"1000m"</formula>
    </cfRule>
  </conditionalFormatting>
  <conditionalFormatting sqref="K95">
    <cfRule type="cellIs" dxfId="65" priority="13" operator="equal">
      <formula>"Wght / Hght?"</formula>
    </cfRule>
  </conditionalFormatting>
  <conditionalFormatting sqref="K101:L101">
    <cfRule type="expression" dxfId="64" priority="40">
      <formula>AND(C4,ROUND(N89,1)&lt;ROUND(K101,1),ROUND(K101,1)&lt;ROUND(D98,1))</formula>
    </cfRule>
  </conditionalFormatting>
  <conditionalFormatting sqref="K102:L102">
    <cfRule type="expression" dxfId="63" priority="39">
      <formula>AND(C4=FALSE,ROUND(N89,1)&lt;ROUND(K102,1),ROUND(K102,1)&lt;ROUND(D98,1))</formula>
    </cfRule>
  </conditionalFormatting>
  <conditionalFormatting sqref="L59">
    <cfRule type="cellIs" dxfId="62" priority="19" stopIfTrue="1" operator="equal">
      <formula>"1 Mile"</formula>
    </cfRule>
  </conditionalFormatting>
  <conditionalFormatting sqref="L78">
    <cfRule type="expression" dxfId="61" priority="35" stopIfTrue="1">
      <formula>$J$78=FALSE</formula>
    </cfRule>
  </conditionalFormatting>
  <conditionalFormatting sqref="M31:M40">
    <cfRule type="expression" dxfId="60" priority="31" stopIfTrue="1">
      <formula>$R$29=3</formula>
    </cfRule>
  </conditionalFormatting>
  <conditionalFormatting sqref="M41">
    <cfRule type="expression" dxfId="59" priority="26" stopIfTrue="1">
      <formula>$N$28=3</formula>
    </cfRule>
  </conditionalFormatting>
  <conditionalFormatting sqref="M66">
    <cfRule type="cellIs" dxfId="58" priority="21" stopIfTrue="1" operator="greaterThan">
      <formula>1</formula>
    </cfRule>
  </conditionalFormatting>
  <conditionalFormatting sqref="M90">
    <cfRule type="expression" dxfId="57" priority="37">
      <formula>ROUND($N$89,1)&lt;ROUND(MIN($D$98,$F$100),1)</formula>
    </cfRule>
  </conditionalFormatting>
  <conditionalFormatting sqref="M88:N88">
    <cfRule type="cellIs" dxfId="56" priority="15" stopIfTrue="1" operator="equal">
      <formula>"Current Weight?"</formula>
    </cfRule>
  </conditionalFormatting>
  <conditionalFormatting sqref="N31:N40">
    <cfRule type="expression" dxfId="55" priority="32" stopIfTrue="1">
      <formula>OR($R$29=2,$R$29=4)</formula>
    </cfRule>
  </conditionalFormatting>
  <conditionalFormatting sqref="N41">
    <cfRule type="expression" dxfId="54" priority="27" stopIfTrue="1">
      <formula>OR($N$28=2,$N$28=4)</formula>
    </cfRule>
  </conditionalFormatting>
  <conditionalFormatting sqref="O31:O40">
    <cfRule type="expression" dxfId="53" priority="33" stopIfTrue="1">
      <formula>OR($R$29=1,$R$29=4)</formula>
    </cfRule>
  </conditionalFormatting>
  <conditionalFormatting sqref="O41">
    <cfRule type="expression" dxfId="52" priority="28" stopIfTrue="1">
      <formula>OR($N$28=1,$N$28=4)</formula>
    </cfRule>
  </conditionalFormatting>
  <conditionalFormatting sqref="P31:P40">
    <cfRule type="expression" dxfId="51" priority="34" stopIfTrue="1">
      <formula>OR($R$29=1,$R$29=2,$R$29=3)</formula>
    </cfRule>
  </conditionalFormatting>
  <conditionalFormatting sqref="P41">
    <cfRule type="expression" dxfId="50" priority="29" stopIfTrue="1">
      <formula>OR($N$28=1,$N$28=2,$N$28=3)</formula>
    </cfRule>
  </conditionalFormatting>
  <conditionalFormatting sqref="P48 R76">
    <cfRule type="cellIs" dxfId="49" priority="24" stopIfTrue="1" operator="equal">
      <formula>"Birthdate?"</formula>
    </cfRule>
  </conditionalFormatting>
  <conditionalFormatting sqref="Q31:R40">
    <cfRule type="cellIs" dxfId="48" priority="30" stopIfTrue="1" operator="equal">
      <formula>0</formula>
    </cfRule>
  </conditionalFormatting>
  <conditionalFormatting sqref="R77">
    <cfRule type="expression" dxfId="47" priority="14">
      <formula>ROUND(C3,1)&lt;ROUND(MIN($D$98,$F$100),1)</formula>
    </cfRule>
    <cfRule type="cellIs" dxfId="46" priority="25" operator="equal">
      <formula>"Wght / Hght?"</formula>
    </cfRule>
  </conditionalFormatting>
  <conditionalFormatting sqref="R79">
    <cfRule type="expression" dxfId="45" priority="38" stopIfTrue="1">
      <formula>ROUND($P$80,1)&lt;ROUND(MIN($D$98,$F$100),1)</formula>
    </cfRule>
  </conditionalFormatting>
  <conditionalFormatting sqref="W217:AB218">
    <cfRule type="expression" dxfId="44" priority="1">
      <formula>$A$14=TRUE</formula>
    </cfRule>
  </conditionalFormatting>
  <dataValidations count="5">
    <dataValidation type="list" allowBlank="1" showInputMessage="1" showErrorMessage="1" sqref="B108:B109" xr:uid="{4B4BE473-9BF8-49C9-B052-674A4D1572BC}">
      <formula1>$AC$134:$AC$140</formula1>
    </dataValidation>
    <dataValidation type="list" allowBlank="1" showInputMessage="1" showErrorMessage="1" sqref="E6" xr:uid="{8F5F7B28-7EC7-4A84-92AA-2A8B0DE843CC}">
      <formula1>$AC$134:$AC$141</formula1>
    </dataValidation>
    <dataValidation allowBlank="1" showErrorMessage="1" promptTitle="Time Entry" sqref="G6" xr:uid="{598A7B76-2CBE-478F-A2CC-67DC28BE07C2}"/>
    <dataValidation type="date" allowBlank="1" showInputMessage="1" showErrorMessage="1" sqref="E2" xr:uid="{DB8FE9CC-4A9E-41A6-9267-C7716442C692}">
      <formula1>1</formula1>
      <formula2>NOW()</formula2>
    </dataValidation>
    <dataValidation type="whole" allowBlank="1" showInputMessage="1" showErrorMessage="1" sqref="R29" xr:uid="{3F41F4FF-DCD7-4BE6-BEDB-3F9DA38EBA51}">
      <formula1>1</formula1>
      <formula2>4</formula2>
    </dataValidation>
  </dataValidations>
  <hyperlinks>
    <hyperlink ref="B68:D68" r:id="rId1" display="McMillanRunning.com" xr:uid="{E9B794C9-5D5E-4B27-9875-443ABD0E22D6}"/>
    <hyperlink ref="B74:E74" r:id="rId2" display="Joe Friel" xr:uid="{515DD14D-2D3D-4DCF-96EC-CAE4E0F2E715}"/>
    <hyperlink ref="T48:U48" r:id="rId3" display="2015 Age Grade Factors" xr:uid="{D1C5C212-AEBB-4365-92EE-7E61B315BDE5}"/>
    <hyperlink ref="N71" r:id="rId4" display="http://www.iaaf.org/statistics/records/index.html" xr:uid="{F6CB4E00-A756-4532-9319-A77B84F66854}"/>
    <hyperlink ref="O71" r:id="rId5" xr:uid="{DBA8C116-2CEF-4CBE-BCA8-84B951C8EC5A}"/>
    <hyperlink ref="P71" r:id="rId6" xr:uid="{E1CE63C3-FD01-49DF-851F-68BFC31F2ADF}"/>
    <hyperlink ref="G57:K57" r:id="rId7" display="Run Smart Project /" xr:uid="{BAB4823A-B0CB-4CAE-ABB2-2158816BC538}"/>
    <hyperlink ref="B57:F57" r:id="rId8" display="Jack Daniels Online Training Log" xr:uid="{358D2BB4-F07D-4D86-A565-B1A8C537C683}"/>
    <hyperlink ref="B68:E68" r:id="rId9" display="McMillanRunning.com" xr:uid="{D61B41F3-9247-474D-9642-BDF6E502D9CF}"/>
    <hyperlink ref="AE236:AF236" r:id="rId10" display="http://maximumperformancerunning.blogspot.com/2013/07/temperature-dew-point.html" xr:uid="{DFBE6E16-3302-4EDE-BE04-6701EF8BDB34}"/>
    <hyperlink ref="AE232:AF232" r:id="rId11" display="https://runsmartproject.com/calculator/" xr:uid="{E6779C3A-5E7B-4751-8CFB-FF5E58468C4D}"/>
    <hyperlink ref="AE244:AF244" r:id="rId12" display="https://journals.plos.org/plosone/article?id=10.1371/journal.pone.0037407" xr:uid="{6A13E411-AFCD-4167-98EB-936CF961DF14}"/>
    <hyperlink ref="AE248:AF248" r:id="rId13" display="https://journals.plos.org/plosone/article?id=10.1371/journal.pone.0037407" xr:uid="{770BCBD4-EC10-44B9-A90E-9BA40D941F3F}"/>
    <hyperlink ref="AE240" r:id="rId14" xr:uid="{5651717A-1D37-443E-A9D5-CE0650C4F7A9}"/>
    <hyperlink ref="I112:J112" r:id="rId15" display="(Polar / M.Fitzgerald)" xr:uid="{F7D93846-241B-4792-9AD6-BA92F3C27D5F}"/>
  </hyperlinks>
  <pageMargins left="0.7" right="0.7" top="0.75" bottom="0.75" header="0.3" footer="0.3"/>
  <pageSetup orientation="portrait" r:id="rId16"/>
  <drawing r:id="rId17"/>
  <legacyDrawing r:id="rId18"/>
  <mc:AlternateContent xmlns:mc="http://schemas.openxmlformats.org/markup-compatibility/2006">
    <mc:Choice Requires="x14">
      <controls>
        <mc:AlternateContent xmlns:mc="http://schemas.openxmlformats.org/markup-compatibility/2006">
          <mc:Choice Requires="x14">
            <control shapeId="1025" r:id="rId19" name="Button 1">
              <controlPr defaultSize="0" autoFill="0" autoPict="0">
                <anchor moveWithCells="1">
                  <from>
                    <xdr:col>2</xdr:col>
                    <xdr:colOff>209550</xdr:colOff>
                    <xdr:row>15</xdr:row>
                    <xdr:rowOff>19050</xdr:rowOff>
                  </from>
                  <to>
                    <xdr:col>3</xdr:col>
                    <xdr:colOff>9525</xdr:colOff>
                    <xdr:row>15</xdr:row>
                    <xdr:rowOff>152400</xdr:rowOff>
                  </to>
                </anchor>
              </controlPr>
            </control>
          </mc:Choice>
        </mc:AlternateContent>
        <mc:AlternateContent xmlns:mc="http://schemas.openxmlformats.org/markup-compatibility/2006">
          <mc:Choice Requires="x14">
            <control shapeId="1026" r:id="rId20" name="Button 2">
              <controlPr defaultSize="0" autoFill="0" autoPict="0">
                <anchor moveWithCells="1">
                  <from>
                    <xdr:col>1</xdr:col>
                    <xdr:colOff>542925</xdr:colOff>
                    <xdr:row>15</xdr:row>
                    <xdr:rowOff>19050</xdr:rowOff>
                  </from>
                  <to>
                    <xdr:col>2</xdr:col>
                    <xdr:colOff>190500</xdr:colOff>
                    <xdr:row>15</xdr:row>
                    <xdr:rowOff>152400</xdr:rowOff>
                  </to>
                </anchor>
              </controlPr>
            </control>
          </mc:Choice>
        </mc:AlternateContent>
        <mc:AlternateContent xmlns:mc="http://schemas.openxmlformats.org/markup-compatibility/2006">
          <mc:Choice Requires="x14">
            <control shapeId="1027" r:id="rId21" name="Check Box 3">
              <controlPr defaultSize="0" autoFill="0" autoLine="0" autoPict="0">
                <anchor moveWithCells="1">
                  <from>
                    <xdr:col>11</xdr:col>
                    <xdr:colOff>9525</xdr:colOff>
                    <xdr:row>56</xdr:row>
                    <xdr:rowOff>133350</xdr:rowOff>
                  </from>
                  <to>
                    <xdr:col>11</xdr:col>
                    <xdr:colOff>533400</xdr:colOff>
                    <xdr:row>58</xdr:row>
                    <xdr:rowOff>9525</xdr:rowOff>
                  </to>
                </anchor>
              </controlPr>
            </control>
          </mc:Choice>
        </mc:AlternateContent>
        <mc:AlternateContent xmlns:mc="http://schemas.openxmlformats.org/markup-compatibility/2006">
          <mc:Choice Requires="x14">
            <control shapeId="1028" r:id="rId22" name="Button 4">
              <controlPr defaultSize="0" print="0" autoFill="0" autoPict="0">
                <anchor moveWithCells="1" sizeWithCells="1">
                  <from>
                    <xdr:col>1</xdr:col>
                    <xdr:colOff>28575</xdr:colOff>
                    <xdr:row>7</xdr:row>
                    <xdr:rowOff>28575</xdr:rowOff>
                  </from>
                  <to>
                    <xdr:col>1</xdr:col>
                    <xdr:colOff>133350</xdr:colOff>
                    <xdr:row>8</xdr:row>
                    <xdr:rowOff>9525</xdr:rowOff>
                  </to>
                </anchor>
              </controlPr>
            </control>
          </mc:Choice>
        </mc:AlternateContent>
        <mc:AlternateContent xmlns:mc="http://schemas.openxmlformats.org/markup-compatibility/2006">
          <mc:Choice Requires="x14">
            <control shapeId="1029" r:id="rId23" name="Button 5">
              <controlPr defaultSize="0" autoFill="0" autoPict="0">
                <anchor moveWithCells="1">
                  <from>
                    <xdr:col>1</xdr:col>
                    <xdr:colOff>28575</xdr:colOff>
                    <xdr:row>6</xdr:row>
                    <xdr:rowOff>9525</xdr:rowOff>
                  </from>
                  <to>
                    <xdr:col>1</xdr:col>
                    <xdr:colOff>133350</xdr:colOff>
                    <xdr:row>6</xdr:row>
                    <xdr:rowOff>161925</xdr:rowOff>
                  </to>
                </anchor>
              </controlPr>
            </control>
          </mc:Choice>
        </mc:AlternateContent>
        <mc:AlternateContent xmlns:mc="http://schemas.openxmlformats.org/markup-compatibility/2006">
          <mc:Choice Requires="x14">
            <control shapeId="1030" r:id="rId24" name="Button 6">
              <controlPr defaultSize="0" print="0" autoFill="0" autoPict="0">
                <anchor moveWithCells="1" sizeWithCells="1">
                  <from>
                    <xdr:col>16</xdr:col>
                    <xdr:colOff>409575</xdr:colOff>
                    <xdr:row>26</xdr:row>
                    <xdr:rowOff>28575</xdr:rowOff>
                  </from>
                  <to>
                    <xdr:col>17</xdr:col>
                    <xdr:colOff>533400</xdr:colOff>
                    <xdr:row>26</xdr:row>
                    <xdr:rowOff>152400</xdr:rowOff>
                  </to>
                </anchor>
              </controlPr>
            </control>
          </mc:Choice>
        </mc:AlternateContent>
        <mc:AlternateContent xmlns:mc="http://schemas.openxmlformats.org/markup-compatibility/2006">
          <mc:Choice Requires="x14">
            <control shapeId="1031" r:id="rId25" name="Check Box 7">
              <controlPr defaultSize="0" autoFill="0" autoLine="0" autoPict="0">
                <anchor moveWithCells="1">
                  <from>
                    <xdr:col>14</xdr:col>
                    <xdr:colOff>47625</xdr:colOff>
                    <xdr:row>46</xdr:row>
                    <xdr:rowOff>142875</xdr:rowOff>
                  </from>
                  <to>
                    <xdr:col>14</xdr:col>
                    <xdr:colOff>476250</xdr:colOff>
                    <xdr:row>48</xdr:row>
                    <xdr:rowOff>9525</xdr:rowOff>
                  </to>
                </anchor>
              </controlPr>
            </control>
          </mc:Choice>
        </mc:AlternateContent>
        <mc:AlternateContent xmlns:mc="http://schemas.openxmlformats.org/markup-compatibility/2006">
          <mc:Choice Requires="x14">
            <control shapeId="1032" r:id="rId26" name="Check Box 8">
              <controlPr defaultSize="0" autoFill="0" autoLine="0" autoPict="0">
                <anchor moveWithCells="1">
                  <from>
                    <xdr:col>1</xdr:col>
                    <xdr:colOff>38100</xdr:colOff>
                    <xdr:row>2</xdr:row>
                    <xdr:rowOff>133350</xdr:rowOff>
                  </from>
                  <to>
                    <xdr:col>1</xdr:col>
                    <xdr:colOff>561975</xdr:colOff>
                    <xdr:row>4</xdr:row>
                    <xdr:rowOff>9525</xdr:rowOff>
                  </to>
                </anchor>
              </controlPr>
            </control>
          </mc:Choice>
        </mc:AlternateContent>
        <mc:AlternateContent xmlns:mc="http://schemas.openxmlformats.org/markup-compatibility/2006">
          <mc:Choice Requires="x14">
            <control shapeId="1033" r:id="rId27" name="Check Box 9">
              <controlPr defaultSize="0" autoFill="0" autoLine="0" autoPict="0">
                <anchor moveWithCells="1">
                  <from>
                    <xdr:col>11</xdr:col>
                    <xdr:colOff>19050</xdr:colOff>
                    <xdr:row>72</xdr:row>
                    <xdr:rowOff>133350</xdr:rowOff>
                  </from>
                  <to>
                    <xdr:col>11</xdr:col>
                    <xdr:colOff>542925</xdr:colOff>
                    <xdr:row>74</xdr:row>
                    <xdr:rowOff>0</xdr:rowOff>
                  </to>
                </anchor>
              </controlPr>
            </control>
          </mc:Choice>
        </mc:AlternateContent>
        <mc:AlternateContent xmlns:mc="http://schemas.openxmlformats.org/markup-compatibility/2006">
          <mc:Choice Requires="x14">
            <control shapeId="1034" r:id="rId28" name="Check Box 10">
              <controlPr defaultSize="0" autoFill="0" autoLine="0" autoPict="0">
                <anchor moveWithCells="1">
                  <from>
                    <xdr:col>11</xdr:col>
                    <xdr:colOff>19050</xdr:colOff>
                    <xdr:row>50</xdr:row>
                    <xdr:rowOff>142875</xdr:rowOff>
                  </from>
                  <to>
                    <xdr:col>11</xdr:col>
                    <xdr:colOff>542925</xdr:colOff>
                    <xdr:row>52</xdr:row>
                    <xdr:rowOff>9525</xdr:rowOff>
                  </to>
                </anchor>
              </controlPr>
            </control>
          </mc:Choice>
        </mc:AlternateContent>
        <mc:AlternateContent xmlns:mc="http://schemas.openxmlformats.org/markup-compatibility/2006">
          <mc:Choice Requires="x14">
            <control shapeId="1035" r:id="rId29" name="Check Box 11">
              <controlPr defaultSize="0" autoFill="0" autoLine="0" autoPict="0">
                <anchor moveWithCells="1">
                  <from>
                    <xdr:col>15</xdr:col>
                    <xdr:colOff>19050</xdr:colOff>
                    <xdr:row>68</xdr:row>
                    <xdr:rowOff>133350</xdr:rowOff>
                  </from>
                  <to>
                    <xdr:col>15</xdr:col>
                    <xdr:colOff>542925</xdr:colOff>
                    <xdr:row>70</xdr:row>
                    <xdr:rowOff>9525</xdr:rowOff>
                  </to>
                </anchor>
              </controlPr>
            </control>
          </mc:Choice>
        </mc:AlternateContent>
        <mc:AlternateContent xmlns:mc="http://schemas.openxmlformats.org/markup-compatibility/2006">
          <mc:Choice Requires="x14">
            <control shapeId="1036" r:id="rId30" name="Check Box 12">
              <controlPr defaultSize="0" autoFill="0" autoLine="0" autoPict="0">
                <anchor moveWithCells="1">
                  <from>
                    <xdr:col>15</xdr:col>
                    <xdr:colOff>542925</xdr:colOff>
                    <xdr:row>47</xdr:row>
                    <xdr:rowOff>152400</xdr:rowOff>
                  </from>
                  <to>
                    <xdr:col>16</xdr:col>
                    <xdr:colOff>552450</xdr:colOff>
                    <xdr:row>48</xdr:row>
                    <xdr:rowOff>161925</xdr:rowOff>
                  </to>
                </anchor>
              </controlPr>
            </control>
          </mc:Choice>
        </mc:AlternateContent>
        <mc:AlternateContent xmlns:mc="http://schemas.openxmlformats.org/markup-compatibility/2006">
          <mc:Choice Requires="x14">
            <control shapeId="1037" r:id="rId31" name="Check Box 13">
              <controlPr defaultSize="0" autoFill="0" autoLine="0" autoPict="0">
                <anchor moveWithCells="1">
                  <from>
                    <xdr:col>2</xdr:col>
                    <xdr:colOff>9525</xdr:colOff>
                    <xdr:row>2</xdr:row>
                    <xdr:rowOff>133350</xdr:rowOff>
                  </from>
                  <to>
                    <xdr:col>2</xdr:col>
                    <xdr:colOff>438150</xdr:colOff>
                    <xdr:row>4</xdr:row>
                    <xdr:rowOff>9525</xdr:rowOff>
                  </to>
                </anchor>
              </controlPr>
            </control>
          </mc:Choice>
        </mc:AlternateContent>
        <mc:AlternateContent xmlns:mc="http://schemas.openxmlformats.org/markup-compatibility/2006">
          <mc:Choice Requires="x14">
            <control shapeId="1038" r:id="rId32" name="Check Box 14">
              <controlPr defaultSize="0" autoFill="0" autoLine="0" autoPict="0">
                <anchor moveWithCells="1">
                  <from>
                    <xdr:col>11</xdr:col>
                    <xdr:colOff>19050</xdr:colOff>
                    <xdr:row>86</xdr:row>
                    <xdr:rowOff>133350</xdr:rowOff>
                  </from>
                  <to>
                    <xdr:col>11</xdr:col>
                    <xdr:colOff>542925</xdr:colOff>
                    <xdr:row>88</xdr:row>
                    <xdr:rowOff>0</xdr:rowOff>
                  </to>
                </anchor>
              </controlPr>
            </control>
          </mc:Choice>
        </mc:AlternateContent>
        <mc:AlternateContent xmlns:mc="http://schemas.openxmlformats.org/markup-compatibility/2006">
          <mc:Choice Requires="x14">
            <control shapeId="1039" r:id="rId33" name="Button 15">
              <controlPr defaultSize="0" autoFill="0" autoPict="0">
                <anchor moveWithCells="1">
                  <from>
                    <xdr:col>11</xdr:col>
                    <xdr:colOff>104775</xdr:colOff>
                    <xdr:row>114</xdr:row>
                    <xdr:rowOff>9525</xdr:rowOff>
                  </from>
                  <to>
                    <xdr:col>11</xdr:col>
                    <xdr:colOff>523875</xdr:colOff>
                    <xdr:row>114</xdr:row>
                    <xdr:rowOff>161925</xdr:rowOff>
                  </to>
                </anchor>
              </controlPr>
            </control>
          </mc:Choice>
        </mc:AlternateContent>
        <mc:AlternateContent xmlns:mc="http://schemas.openxmlformats.org/markup-compatibility/2006">
          <mc:Choice Requires="x14">
            <control shapeId="1040" r:id="rId34" name="Check Box 16">
              <controlPr defaultSize="0" autoFill="0" autoLine="0" autoPict="0">
                <anchor moveWithCells="1">
                  <from>
                    <xdr:col>17</xdr:col>
                    <xdr:colOff>9525</xdr:colOff>
                    <xdr:row>84</xdr:row>
                    <xdr:rowOff>142875</xdr:rowOff>
                  </from>
                  <to>
                    <xdr:col>17</xdr:col>
                    <xdr:colOff>533400</xdr:colOff>
                    <xdr:row>86</xdr:row>
                    <xdr:rowOff>19050</xdr:rowOff>
                  </to>
                </anchor>
              </controlPr>
            </control>
          </mc:Choice>
        </mc:AlternateContent>
        <mc:AlternateContent xmlns:mc="http://schemas.openxmlformats.org/markup-compatibility/2006">
          <mc:Choice Requires="x14">
            <control shapeId="1041" r:id="rId35" name="Check Box 17">
              <controlPr defaultSize="0" autoFill="0" autoLine="0" autoPict="0">
                <anchor moveWithCells="1">
                  <from>
                    <xdr:col>12</xdr:col>
                    <xdr:colOff>19050</xdr:colOff>
                    <xdr:row>95</xdr:row>
                    <xdr:rowOff>123825</xdr:rowOff>
                  </from>
                  <to>
                    <xdr:col>14</xdr:col>
                    <xdr:colOff>19050</xdr:colOff>
                    <xdr:row>97</xdr:row>
                    <xdr:rowOff>38100</xdr:rowOff>
                  </to>
                </anchor>
              </controlPr>
            </control>
          </mc:Choice>
        </mc:AlternateContent>
        <mc:AlternateContent xmlns:mc="http://schemas.openxmlformats.org/markup-compatibility/2006">
          <mc:Choice Requires="x14">
            <control shapeId="1042" r:id="rId36" name="Check Box 18">
              <controlPr defaultSize="0" autoFill="0" autoLine="0" autoPict="0">
                <anchor moveWithCells="1">
                  <from>
                    <xdr:col>12</xdr:col>
                    <xdr:colOff>0</xdr:colOff>
                    <xdr:row>98</xdr:row>
                    <xdr:rowOff>142875</xdr:rowOff>
                  </from>
                  <to>
                    <xdr:col>13</xdr:col>
                    <xdr:colOff>333375</xdr:colOff>
                    <xdr:row>100</xdr:row>
                    <xdr:rowOff>9525</xdr:rowOff>
                  </to>
                </anchor>
              </controlPr>
            </control>
          </mc:Choice>
        </mc:AlternateContent>
        <mc:AlternateContent xmlns:mc="http://schemas.openxmlformats.org/markup-compatibility/2006">
          <mc:Choice Requires="x14">
            <control shapeId="1043" r:id="rId37" name="Check Box 19">
              <controlPr defaultSize="0" autoFill="0" autoLine="0" autoPict="0">
                <anchor moveWithCells="1">
                  <from>
                    <xdr:col>12</xdr:col>
                    <xdr:colOff>0</xdr:colOff>
                    <xdr:row>100</xdr:row>
                    <xdr:rowOff>142875</xdr:rowOff>
                  </from>
                  <to>
                    <xdr:col>13</xdr:col>
                    <xdr:colOff>333375</xdr:colOff>
                    <xdr:row>102</xdr:row>
                    <xdr:rowOff>28575</xdr:rowOff>
                  </to>
                </anchor>
              </controlPr>
            </control>
          </mc:Choice>
        </mc:AlternateContent>
        <mc:AlternateContent xmlns:mc="http://schemas.openxmlformats.org/markup-compatibility/2006">
          <mc:Choice Requires="x14">
            <control shapeId="1044" r:id="rId38" name="Check Box 20">
              <controlPr defaultSize="0" autoFill="0" autoLine="0" autoPict="0">
                <anchor moveWithCells="1">
                  <from>
                    <xdr:col>12</xdr:col>
                    <xdr:colOff>0</xdr:colOff>
                    <xdr:row>99</xdr:row>
                    <xdr:rowOff>142875</xdr:rowOff>
                  </from>
                  <to>
                    <xdr:col>13</xdr:col>
                    <xdr:colOff>419100</xdr:colOff>
                    <xdr:row>101</xdr:row>
                    <xdr:rowOff>28575</xdr:rowOff>
                  </to>
                </anchor>
              </controlPr>
            </control>
          </mc:Choice>
        </mc:AlternateContent>
        <mc:AlternateContent xmlns:mc="http://schemas.openxmlformats.org/markup-compatibility/2006">
          <mc:Choice Requires="x14">
            <control shapeId="1045" r:id="rId39" name="Button 21">
              <controlPr defaultSize="0" autoFill="0" autoPict="0">
                <anchor moveWithCells="1">
                  <from>
                    <xdr:col>12</xdr:col>
                    <xdr:colOff>171450</xdr:colOff>
                    <xdr:row>74</xdr:row>
                    <xdr:rowOff>161925</xdr:rowOff>
                  </from>
                  <to>
                    <xdr:col>13</xdr:col>
                    <xdr:colOff>438150</xdr:colOff>
                    <xdr:row>75</xdr:row>
                    <xdr:rowOff>152400</xdr:rowOff>
                  </to>
                </anchor>
              </controlPr>
            </control>
          </mc:Choice>
        </mc:AlternateContent>
        <mc:AlternateContent xmlns:mc="http://schemas.openxmlformats.org/markup-compatibility/2006">
          <mc:Choice Requires="x14">
            <control shapeId="1046" r:id="rId40" name="Check Box 22">
              <controlPr defaultSize="0" autoFill="0" autoLine="0" autoPict="0">
                <anchor moveWithCells="1">
                  <from>
                    <xdr:col>11</xdr:col>
                    <xdr:colOff>9525</xdr:colOff>
                    <xdr:row>66</xdr:row>
                    <xdr:rowOff>133350</xdr:rowOff>
                  </from>
                  <to>
                    <xdr:col>11</xdr:col>
                    <xdr:colOff>533400</xdr:colOff>
                    <xdr:row>68</xdr:row>
                    <xdr:rowOff>0</xdr:rowOff>
                  </to>
                </anchor>
              </controlPr>
            </control>
          </mc:Choice>
        </mc:AlternateContent>
        <mc:AlternateContent xmlns:mc="http://schemas.openxmlformats.org/markup-compatibility/2006">
          <mc:Choice Requires="x14">
            <control shapeId="1047" r:id="rId41" name="Check Box 23">
              <controlPr defaultSize="0" autoFill="0" autoLine="0" autoPict="0">
                <anchor moveWithCells="1">
                  <from>
                    <xdr:col>7</xdr:col>
                    <xdr:colOff>66675</xdr:colOff>
                    <xdr:row>70</xdr:row>
                    <xdr:rowOff>133350</xdr:rowOff>
                  </from>
                  <to>
                    <xdr:col>7</xdr:col>
                    <xdr:colOff>466725</xdr:colOff>
                    <xdr:row>72</xdr:row>
                    <xdr:rowOff>0</xdr:rowOff>
                  </to>
                </anchor>
              </controlPr>
            </control>
          </mc:Choice>
        </mc:AlternateContent>
        <mc:AlternateContent xmlns:mc="http://schemas.openxmlformats.org/markup-compatibility/2006">
          <mc:Choice Requires="x14">
            <control shapeId="1048" r:id="rId42" name="Check Box 24">
              <controlPr defaultSize="0" autoFill="0" autoLine="0" autoPict="0">
                <anchor moveWithCells="1">
                  <from>
                    <xdr:col>11</xdr:col>
                    <xdr:colOff>19050</xdr:colOff>
                    <xdr:row>78</xdr:row>
                    <xdr:rowOff>133350</xdr:rowOff>
                  </from>
                  <to>
                    <xdr:col>11</xdr:col>
                    <xdr:colOff>542925</xdr:colOff>
                    <xdr:row>80</xdr:row>
                    <xdr:rowOff>9525</xdr:rowOff>
                  </to>
                </anchor>
              </controlPr>
            </control>
          </mc:Choice>
        </mc:AlternateContent>
        <mc:AlternateContent xmlns:mc="http://schemas.openxmlformats.org/markup-compatibility/2006">
          <mc:Choice Requires="x14">
            <control shapeId="1049" r:id="rId43" name="Check Box 25">
              <controlPr defaultSize="0" autoFill="0" autoLine="0" autoPict="0">
                <anchor moveWithCells="1">
                  <from>
                    <xdr:col>3</xdr:col>
                    <xdr:colOff>19050</xdr:colOff>
                    <xdr:row>76</xdr:row>
                    <xdr:rowOff>161925</xdr:rowOff>
                  </from>
                  <to>
                    <xdr:col>4</xdr:col>
                    <xdr:colOff>552450</xdr:colOff>
                    <xdr:row>77</xdr:row>
                    <xdr:rowOff>161925</xdr:rowOff>
                  </to>
                </anchor>
              </controlPr>
            </control>
          </mc:Choice>
        </mc:AlternateContent>
        <mc:AlternateContent xmlns:mc="http://schemas.openxmlformats.org/markup-compatibility/2006">
          <mc:Choice Requires="x14">
            <control shapeId="1050" r:id="rId44" name="Check Box 26">
              <controlPr defaultSize="0" autoFill="0" autoLine="0" autoPict="0">
                <anchor moveWithCells="1">
                  <from>
                    <xdr:col>9</xdr:col>
                    <xdr:colOff>19050</xdr:colOff>
                    <xdr:row>76</xdr:row>
                    <xdr:rowOff>161925</xdr:rowOff>
                  </from>
                  <to>
                    <xdr:col>10</xdr:col>
                    <xdr:colOff>552450</xdr:colOff>
                    <xdr:row>77</xdr:row>
                    <xdr:rowOff>161925</xdr:rowOff>
                  </to>
                </anchor>
              </controlPr>
            </control>
          </mc:Choice>
        </mc:AlternateContent>
        <mc:AlternateContent xmlns:mc="http://schemas.openxmlformats.org/markup-compatibility/2006">
          <mc:Choice Requires="x14">
            <control shapeId="1051" r:id="rId45" name="Check Box 27">
              <controlPr defaultSize="0" autoFill="0" autoLine="0" autoPict="0">
                <anchor moveWithCells="1">
                  <from>
                    <xdr:col>3</xdr:col>
                    <xdr:colOff>114300</xdr:colOff>
                    <xdr:row>15</xdr:row>
                    <xdr:rowOff>9525</xdr:rowOff>
                  </from>
                  <to>
                    <xdr:col>4</xdr:col>
                    <xdr:colOff>76200</xdr:colOff>
                    <xdr:row>15</xdr:row>
                    <xdr:rowOff>142875</xdr:rowOff>
                  </to>
                </anchor>
              </controlPr>
            </control>
          </mc:Choice>
        </mc:AlternateContent>
        <mc:AlternateContent xmlns:mc="http://schemas.openxmlformats.org/markup-compatibility/2006">
          <mc:Choice Requires="x14">
            <control shapeId="1052" r:id="rId46" name="Check Box 28">
              <controlPr defaultSize="0" autoFill="0" autoLine="0" autoPict="0">
                <anchor moveWithCells="1">
                  <from>
                    <xdr:col>4</xdr:col>
                    <xdr:colOff>66675</xdr:colOff>
                    <xdr:row>15</xdr:row>
                    <xdr:rowOff>9525</xdr:rowOff>
                  </from>
                  <to>
                    <xdr:col>5</xdr:col>
                    <xdr:colOff>9525</xdr:colOff>
                    <xdr:row>15</xdr:row>
                    <xdr:rowOff>142875</xdr:rowOff>
                  </to>
                </anchor>
              </controlPr>
            </control>
          </mc:Choice>
        </mc:AlternateContent>
        <mc:AlternateContent xmlns:mc="http://schemas.openxmlformats.org/markup-compatibility/2006">
          <mc:Choice Requires="x14">
            <control shapeId="1053" r:id="rId47" name="Check Box 29">
              <controlPr defaultSize="0" autoFill="0" autoLine="0" autoPict="0">
                <anchor moveWithCells="1">
                  <from>
                    <xdr:col>14</xdr:col>
                    <xdr:colOff>190500</xdr:colOff>
                    <xdr:row>79</xdr:row>
                    <xdr:rowOff>152400</xdr:rowOff>
                  </from>
                  <to>
                    <xdr:col>14</xdr:col>
                    <xdr:colOff>428625</xdr:colOff>
                    <xdr:row>81</xdr:row>
                    <xdr:rowOff>9525</xdr:rowOff>
                  </to>
                </anchor>
              </controlPr>
            </control>
          </mc:Choice>
        </mc:AlternateContent>
        <mc:AlternateContent xmlns:mc="http://schemas.openxmlformats.org/markup-compatibility/2006">
          <mc:Choice Requires="x14">
            <control shapeId="1054" r:id="rId48" name="Check Box 30">
              <controlPr defaultSize="0" autoFill="0" autoLine="0" autoPict="0">
                <anchor moveWithCells="1">
                  <from>
                    <xdr:col>14</xdr:col>
                    <xdr:colOff>190500</xdr:colOff>
                    <xdr:row>85</xdr:row>
                    <xdr:rowOff>152400</xdr:rowOff>
                  </from>
                  <to>
                    <xdr:col>14</xdr:col>
                    <xdr:colOff>428625</xdr:colOff>
                    <xdr:row>87</xdr:row>
                    <xdr:rowOff>9525</xdr:rowOff>
                  </to>
                </anchor>
              </controlPr>
            </control>
          </mc:Choice>
        </mc:AlternateContent>
        <mc:AlternateContent xmlns:mc="http://schemas.openxmlformats.org/markup-compatibility/2006">
          <mc:Choice Requires="x14">
            <control shapeId="1055" r:id="rId49" name="Check Box 31">
              <controlPr defaultSize="0" autoFill="0" autoLine="0" autoPict="0">
                <anchor moveWithCells="1">
                  <from>
                    <xdr:col>14</xdr:col>
                    <xdr:colOff>190500</xdr:colOff>
                    <xdr:row>92</xdr:row>
                    <xdr:rowOff>152400</xdr:rowOff>
                  </from>
                  <to>
                    <xdr:col>14</xdr:col>
                    <xdr:colOff>428625</xdr:colOff>
                    <xdr:row>94</xdr:row>
                    <xdr:rowOff>9525</xdr:rowOff>
                  </to>
                </anchor>
              </controlPr>
            </control>
          </mc:Choice>
        </mc:AlternateContent>
        <mc:AlternateContent xmlns:mc="http://schemas.openxmlformats.org/markup-compatibility/2006">
          <mc:Choice Requires="x14">
            <control shapeId="1056" r:id="rId50" name="Option Button 32">
              <controlPr defaultSize="0" autoFill="0" autoLine="0" autoPict="0">
                <anchor moveWithCells="1">
                  <from>
                    <xdr:col>18</xdr:col>
                    <xdr:colOff>38100</xdr:colOff>
                    <xdr:row>6</xdr:row>
                    <xdr:rowOff>9525</xdr:rowOff>
                  </from>
                  <to>
                    <xdr:col>18</xdr:col>
                    <xdr:colOff>590550</xdr:colOff>
                    <xdr:row>6</xdr:row>
                    <xdr:rowOff>152400</xdr:rowOff>
                  </to>
                </anchor>
              </controlPr>
            </control>
          </mc:Choice>
        </mc:AlternateContent>
        <mc:AlternateContent xmlns:mc="http://schemas.openxmlformats.org/markup-compatibility/2006">
          <mc:Choice Requires="x14">
            <control shapeId="1057" r:id="rId51" name="Option Button 33">
              <controlPr defaultSize="0" autoFill="0" autoLine="0" autoPict="0">
                <anchor moveWithCells="1">
                  <from>
                    <xdr:col>18</xdr:col>
                    <xdr:colOff>38100</xdr:colOff>
                    <xdr:row>5</xdr:row>
                    <xdr:rowOff>9525</xdr:rowOff>
                  </from>
                  <to>
                    <xdr:col>18</xdr:col>
                    <xdr:colOff>590550</xdr:colOff>
                    <xdr:row>5</xdr:row>
                    <xdr:rowOff>161925</xdr:rowOff>
                  </to>
                </anchor>
              </controlPr>
            </control>
          </mc:Choice>
        </mc:AlternateContent>
        <mc:AlternateContent xmlns:mc="http://schemas.openxmlformats.org/markup-compatibility/2006">
          <mc:Choice Requires="x14">
            <control shapeId="1058" r:id="rId52" name="Option Button 34">
              <controlPr defaultSize="0" autoFill="0" autoLine="0" autoPict="0">
                <anchor moveWithCells="1">
                  <from>
                    <xdr:col>4</xdr:col>
                    <xdr:colOff>552450</xdr:colOff>
                    <xdr:row>15</xdr:row>
                    <xdr:rowOff>0</xdr:rowOff>
                  </from>
                  <to>
                    <xdr:col>5</xdr:col>
                    <xdr:colOff>523875</xdr:colOff>
                    <xdr:row>15</xdr:row>
                    <xdr:rowOff>161925</xdr:rowOff>
                  </to>
                </anchor>
              </controlPr>
            </control>
          </mc:Choice>
        </mc:AlternateContent>
        <mc:AlternateContent xmlns:mc="http://schemas.openxmlformats.org/markup-compatibility/2006">
          <mc:Choice Requires="x14">
            <control shapeId="1059" r:id="rId53" name="Option Button 35">
              <controlPr defaultSize="0" autoFill="0" autoLine="0" autoPict="0">
                <anchor moveWithCells="1">
                  <from>
                    <xdr:col>5</xdr:col>
                    <xdr:colOff>533400</xdr:colOff>
                    <xdr:row>15</xdr:row>
                    <xdr:rowOff>0</xdr:rowOff>
                  </from>
                  <to>
                    <xdr:col>6</xdr:col>
                    <xdr:colOff>523875</xdr:colOff>
                    <xdr:row>15</xdr:row>
                    <xdr:rowOff>161925</xdr:rowOff>
                  </to>
                </anchor>
              </controlPr>
            </control>
          </mc:Choice>
        </mc:AlternateContent>
        <mc:AlternateContent xmlns:mc="http://schemas.openxmlformats.org/markup-compatibility/2006">
          <mc:Choice Requires="x14">
            <control shapeId="1060" r:id="rId54" name="Group Box 36">
              <controlPr defaultSize="0" autoFill="0" autoPict="0">
                <anchor moveWithCells="1">
                  <from>
                    <xdr:col>17</xdr:col>
                    <xdr:colOff>523875</xdr:colOff>
                    <xdr:row>4</xdr:row>
                    <xdr:rowOff>133350</xdr:rowOff>
                  </from>
                  <to>
                    <xdr:col>19</xdr:col>
                    <xdr:colOff>38100</xdr:colOff>
                    <xdr:row>6</xdr:row>
                    <xdr:rowOff>161925</xdr:rowOff>
                  </to>
                </anchor>
              </controlPr>
            </control>
          </mc:Choice>
        </mc:AlternateContent>
        <mc:AlternateContent xmlns:mc="http://schemas.openxmlformats.org/markup-compatibility/2006">
          <mc:Choice Requires="x14">
            <control shapeId="1061" r:id="rId55" name="Button 37">
              <controlPr defaultSize="0" autoFill="0" autoPict="0">
                <anchor moveWithCells="1">
                  <from>
                    <xdr:col>13</xdr:col>
                    <xdr:colOff>76200</xdr:colOff>
                    <xdr:row>91</xdr:row>
                    <xdr:rowOff>28575</xdr:rowOff>
                  </from>
                  <to>
                    <xdr:col>13</xdr:col>
                    <xdr:colOff>533400</xdr:colOff>
                    <xdr:row>92</xdr:row>
                    <xdr:rowOff>0</xdr:rowOff>
                  </to>
                </anchor>
              </controlPr>
            </control>
          </mc:Choice>
        </mc:AlternateContent>
        <mc:AlternateContent xmlns:mc="http://schemas.openxmlformats.org/markup-compatibility/2006">
          <mc:Choice Requires="x14">
            <control shapeId="1062" r:id="rId56" name="Check Box 38">
              <controlPr defaultSize="0" autoFill="0" autoLine="0" autoPict="0">
                <anchor moveWithCells="1">
                  <from>
                    <xdr:col>1</xdr:col>
                    <xdr:colOff>76200</xdr:colOff>
                    <xdr:row>109</xdr:row>
                    <xdr:rowOff>9525</xdr:rowOff>
                  </from>
                  <to>
                    <xdr:col>1</xdr:col>
                    <xdr:colOff>504825</xdr:colOff>
                    <xdr:row>110</xdr:row>
                    <xdr:rowOff>0</xdr:rowOff>
                  </to>
                </anchor>
              </controlPr>
            </control>
          </mc:Choice>
        </mc:AlternateContent>
        <mc:AlternateContent xmlns:mc="http://schemas.openxmlformats.org/markup-compatibility/2006">
          <mc:Choice Requires="x14">
            <control shapeId="1063" r:id="rId57" name="Button 39">
              <controlPr defaultSize="0" autoFill="0" autoPict="0">
                <anchor moveWithCells="1">
                  <from>
                    <xdr:col>14</xdr:col>
                    <xdr:colOff>47625</xdr:colOff>
                    <xdr:row>91</xdr:row>
                    <xdr:rowOff>28575</xdr:rowOff>
                  </from>
                  <to>
                    <xdr:col>14</xdr:col>
                    <xdr:colOff>504825</xdr:colOff>
                    <xdr:row>92</xdr:row>
                    <xdr:rowOff>0</xdr:rowOff>
                  </to>
                </anchor>
              </controlPr>
            </control>
          </mc:Choice>
        </mc:AlternateContent>
        <mc:AlternateContent xmlns:mc="http://schemas.openxmlformats.org/markup-compatibility/2006">
          <mc:Choice Requires="x14">
            <control shapeId="1064" r:id="rId58" name="Button 40">
              <controlPr defaultSize="0" autoFill="0" autoPict="0">
                <anchor moveWithCells="1">
                  <from>
                    <xdr:col>12</xdr:col>
                    <xdr:colOff>104775</xdr:colOff>
                    <xdr:row>91</xdr:row>
                    <xdr:rowOff>28575</xdr:rowOff>
                  </from>
                  <to>
                    <xdr:col>12</xdr:col>
                    <xdr:colOff>561975</xdr:colOff>
                    <xdr:row>92</xdr:row>
                    <xdr:rowOff>0</xdr:rowOff>
                  </to>
                </anchor>
              </controlPr>
            </control>
          </mc:Choice>
        </mc:AlternateContent>
        <mc:AlternateContent xmlns:mc="http://schemas.openxmlformats.org/markup-compatibility/2006">
          <mc:Choice Requires="x14">
            <control shapeId="1065" r:id="rId59" name="Check Box 41">
              <controlPr defaultSize="0" autoFill="0" autoLine="0" autoPict="0">
                <anchor moveWithCells="1">
                  <from>
                    <xdr:col>15</xdr:col>
                    <xdr:colOff>542925</xdr:colOff>
                    <xdr:row>45</xdr:row>
                    <xdr:rowOff>161925</xdr:rowOff>
                  </from>
                  <to>
                    <xdr:col>16</xdr:col>
                    <xdr:colOff>552450</xdr:colOff>
                    <xdr:row>46</xdr:row>
                    <xdr:rowOff>161925</xdr:rowOff>
                  </to>
                </anchor>
              </controlPr>
            </control>
          </mc:Choice>
        </mc:AlternateContent>
        <mc:AlternateContent xmlns:mc="http://schemas.openxmlformats.org/markup-compatibility/2006">
          <mc:Choice Requires="x14">
            <control shapeId="1066" r:id="rId60" name="Check Box 42">
              <controlPr defaultSize="0" autoFill="0" autoLine="0" autoPict="0">
                <anchor moveWithCells="1">
                  <from>
                    <xdr:col>15</xdr:col>
                    <xdr:colOff>542925</xdr:colOff>
                    <xdr:row>46</xdr:row>
                    <xdr:rowOff>161925</xdr:rowOff>
                  </from>
                  <to>
                    <xdr:col>16</xdr:col>
                    <xdr:colOff>552450</xdr:colOff>
                    <xdr:row>47</xdr:row>
                    <xdr:rowOff>161925</xdr:rowOff>
                  </to>
                </anchor>
              </controlPr>
            </control>
          </mc:Choice>
        </mc:AlternateContent>
        <mc:AlternateContent xmlns:mc="http://schemas.openxmlformats.org/markup-compatibility/2006">
          <mc:Choice Requires="x14">
            <control shapeId="1067" r:id="rId61" name="Option Button 43">
              <controlPr defaultSize="0" autoFill="0" autoLine="0" autoPict="0">
                <anchor moveWithCells="1">
                  <from>
                    <xdr:col>2</xdr:col>
                    <xdr:colOff>447675</xdr:colOff>
                    <xdr:row>84</xdr:row>
                    <xdr:rowOff>0</xdr:rowOff>
                  </from>
                  <to>
                    <xdr:col>4</xdr:col>
                    <xdr:colOff>9525</xdr:colOff>
                    <xdr:row>84</xdr:row>
                    <xdr:rowOff>161925</xdr:rowOff>
                  </to>
                </anchor>
              </controlPr>
            </control>
          </mc:Choice>
        </mc:AlternateContent>
        <mc:AlternateContent xmlns:mc="http://schemas.openxmlformats.org/markup-compatibility/2006">
          <mc:Choice Requires="x14">
            <control shapeId="1068" r:id="rId62" name="Option Button 44">
              <controlPr defaultSize="0" autoFill="0" autoLine="0" autoPict="0">
                <anchor moveWithCells="1">
                  <from>
                    <xdr:col>4</xdr:col>
                    <xdr:colOff>466725</xdr:colOff>
                    <xdr:row>84</xdr:row>
                    <xdr:rowOff>0</xdr:rowOff>
                  </from>
                  <to>
                    <xdr:col>6</xdr:col>
                    <xdr:colOff>9525</xdr:colOff>
                    <xdr:row>84</xdr:row>
                    <xdr:rowOff>161925</xdr:rowOff>
                  </to>
                </anchor>
              </controlPr>
            </control>
          </mc:Choice>
        </mc:AlternateContent>
        <mc:AlternateContent xmlns:mc="http://schemas.openxmlformats.org/markup-compatibility/2006">
          <mc:Choice Requires="x14">
            <control shapeId="1069" r:id="rId63" name="Option Button 45">
              <controlPr defaultSize="0" autoFill="0" autoLine="0" autoPict="0">
                <anchor moveWithCells="1">
                  <from>
                    <xdr:col>6</xdr:col>
                    <xdr:colOff>504825</xdr:colOff>
                    <xdr:row>84</xdr:row>
                    <xdr:rowOff>0</xdr:rowOff>
                  </from>
                  <to>
                    <xdr:col>8</xdr:col>
                    <xdr:colOff>66675</xdr:colOff>
                    <xdr:row>84</xdr:row>
                    <xdr:rowOff>161925</xdr:rowOff>
                  </to>
                </anchor>
              </controlPr>
            </control>
          </mc:Choice>
        </mc:AlternateContent>
        <mc:AlternateContent xmlns:mc="http://schemas.openxmlformats.org/markup-compatibility/2006">
          <mc:Choice Requires="x14">
            <control shapeId="1070" r:id="rId64" name="Option Button 46">
              <controlPr defaultSize="0" autoFill="0" autoLine="0" autoPict="0">
                <anchor moveWithCells="1">
                  <from>
                    <xdr:col>8</xdr:col>
                    <xdr:colOff>438150</xdr:colOff>
                    <xdr:row>84</xdr:row>
                    <xdr:rowOff>0</xdr:rowOff>
                  </from>
                  <to>
                    <xdr:col>10</xdr:col>
                    <xdr:colOff>0</xdr:colOff>
                    <xdr:row>84</xdr:row>
                    <xdr:rowOff>161925</xdr:rowOff>
                  </to>
                </anchor>
              </controlPr>
            </control>
          </mc:Choice>
        </mc:AlternateContent>
        <mc:AlternateContent xmlns:mc="http://schemas.openxmlformats.org/markup-compatibility/2006">
          <mc:Choice Requires="x14">
            <control shapeId="1071" r:id="rId65" name="Check Box 47">
              <controlPr defaultSize="0" autoFill="0" autoLine="0" autoPict="0">
                <anchor moveWithCells="1">
                  <from>
                    <xdr:col>1</xdr:col>
                    <xdr:colOff>38100</xdr:colOff>
                    <xdr:row>78</xdr:row>
                    <xdr:rowOff>133350</xdr:rowOff>
                  </from>
                  <to>
                    <xdr:col>1</xdr:col>
                    <xdr:colOff>466725</xdr:colOff>
                    <xdr:row>80</xdr:row>
                    <xdr:rowOff>9525</xdr:rowOff>
                  </to>
                </anchor>
              </controlPr>
            </control>
          </mc:Choice>
        </mc:AlternateContent>
        <mc:AlternateContent xmlns:mc="http://schemas.openxmlformats.org/markup-compatibility/2006">
          <mc:Choice Requires="x14">
            <control shapeId="1072" r:id="rId66" name="Check Box 48">
              <controlPr defaultSize="0" autoFill="0" autoLine="0" autoPict="0">
                <anchor moveWithCells="1">
                  <from>
                    <xdr:col>14</xdr:col>
                    <xdr:colOff>38100</xdr:colOff>
                    <xdr:row>95</xdr:row>
                    <xdr:rowOff>142875</xdr:rowOff>
                  </from>
                  <to>
                    <xdr:col>14</xdr:col>
                    <xdr:colOff>533400</xdr:colOff>
                    <xdr:row>97</xdr:row>
                    <xdr:rowOff>19050</xdr:rowOff>
                  </to>
                </anchor>
              </controlPr>
            </control>
          </mc:Choice>
        </mc:AlternateContent>
        <mc:AlternateContent xmlns:mc="http://schemas.openxmlformats.org/markup-compatibility/2006">
          <mc:Choice Requires="x14">
            <control shapeId="1073" r:id="rId67" name="Group Box 49">
              <controlPr defaultSize="0" autoFill="0" autoPict="0">
                <anchor moveWithCells="1">
                  <from>
                    <xdr:col>4</xdr:col>
                    <xdr:colOff>485775</xdr:colOff>
                    <xdr:row>14</xdr:row>
                    <xdr:rowOff>76200</xdr:rowOff>
                  </from>
                  <to>
                    <xdr:col>7</xdr:col>
                    <xdr:colOff>95250</xdr:colOff>
                    <xdr:row>16</xdr:row>
                    <xdr:rowOff>66675</xdr:rowOff>
                  </to>
                </anchor>
              </controlPr>
            </control>
          </mc:Choice>
        </mc:AlternateContent>
        <mc:AlternateContent xmlns:mc="http://schemas.openxmlformats.org/markup-compatibility/2006">
          <mc:Choice Requires="x14">
            <control shapeId="1074" r:id="rId68" name="Check Box 50">
              <controlPr defaultSize="0" autoFill="0" autoLine="0" autoPict="0" altText="Metric Distance">
                <anchor moveWithCells="1">
                  <from>
                    <xdr:col>1</xdr:col>
                    <xdr:colOff>76200</xdr:colOff>
                    <xdr:row>104</xdr:row>
                    <xdr:rowOff>0</xdr:rowOff>
                  </from>
                  <to>
                    <xdr:col>3</xdr:col>
                    <xdr:colOff>66675</xdr:colOff>
                    <xdr:row>104</xdr:row>
                    <xdr:rowOff>161925</xdr:rowOff>
                  </to>
                </anchor>
              </controlPr>
            </control>
          </mc:Choice>
        </mc:AlternateContent>
        <mc:AlternateContent xmlns:mc="http://schemas.openxmlformats.org/markup-compatibility/2006">
          <mc:Choice Requires="x14">
            <control shapeId="1075" r:id="rId69" name="Check Box 51">
              <controlPr defaultSize="0" autoFill="0" autoLine="0" autoPict="0">
                <anchor moveWithCells="1">
                  <from>
                    <xdr:col>10</xdr:col>
                    <xdr:colOff>390525</xdr:colOff>
                    <xdr:row>46</xdr:row>
                    <xdr:rowOff>0</xdr:rowOff>
                  </from>
                  <to>
                    <xdr:col>11</xdr:col>
                    <xdr:colOff>561975</xdr:colOff>
                    <xdr:row>46</xdr:row>
                    <xdr:rowOff>171450</xdr:rowOff>
                  </to>
                </anchor>
              </controlPr>
            </control>
          </mc:Choice>
        </mc:AlternateContent>
        <mc:AlternateContent xmlns:mc="http://schemas.openxmlformats.org/markup-compatibility/2006">
          <mc:Choice Requires="x14">
            <control shapeId="1076" r:id="rId70" name="Button 52">
              <controlPr defaultSize="0" print="0" autoFill="0" autoPict="0">
                <anchor moveWithCells="1" sizeWithCells="1">
                  <from>
                    <xdr:col>1</xdr:col>
                    <xdr:colOff>38100</xdr:colOff>
                    <xdr:row>9</xdr:row>
                    <xdr:rowOff>28575</xdr:rowOff>
                  </from>
                  <to>
                    <xdr:col>2</xdr:col>
                    <xdr:colOff>123825</xdr:colOff>
                    <xdr:row>9</xdr:row>
                    <xdr:rowOff>152400</xdr:rowOff>
                  </to>
                </anchor>
              </controlPr>
            </control>
          </mc:Choice>
        </mc:AlternateContent>
        <mc:AlternateContent xmlns:mc="http://schemas.openxmlformats.org/markup-compatibility/2006">
          <mc:Choice Requires="x14">
            <control shapeId="1077" r:id="rId71" name="Button 53">
              <controlPr defaultSize="0" print="0" autoFill="0" autoPict="0">
                <anchor moveWithCells="1" sizeWithCells="1">
                  <from>
                    <xdr:col>2</xdr:col>
                    <xdr:colOff>152400</xdr:colOff>
                    <xdr:row>9</xdr:row>
                    <xdr:rowOff>28575</xdr:rowOff>
                  </from>
                  <to>
                    <xdr:col>2</xdr:col>
                    <xdr:colOff>533400</xdr:colOff>
                    <xdr:row>9</xdr:row>
                    <xdr:rowOff>152400</xdr:rowOff>
                  </to>
                </anchor>
              </controlPr>
            </control>
          </mc:Choice>
        </mc:AlternateContent>
        <mc:AlternateContent xmlns:mc="http://schemas.openxmlformats.org/markup-compatibility/2006">
          <mc:Choice Requires="x14">
            <control shapeId="1078" r:id="rId72" name="Button 54">
              <controlPr defaultSize="0" print="0" autoFill="0" autoPict="0">
                <anchor moveWithCells="1" sizeWithCells="1">
                  <from>
                    <xdr:col>1</xdr:col>
                    <xdr:colOff>66675</xdr:colOff>
                    <xdr:row>48</xdr:row>
                    <xdr:rowOff>38100</xdr:rowOff>
                  </from>
                  <to>
                    <xdr:col>1</xdr:col>
                    <xdr:colOff>657225</xdr:colOff>
                    <xdr:row>49</xdr:row>
                    <xdr:rowOff>142875</xdr:rowOff>
                  </to>
                </anchor>
              </controlPr>
            </control>
          </mc:Choice>
        </mc:AlternateContent>
        <mc:AlternateContent xmlns:mc="http://schemas.openxmlformats.org/markup-compatibility/2006">
          <mc:Choice Requires="x14">
            <control shapeId="1079" r:id="rId73" name="Check Box 55">
              <controlPr defaultSize="0" autoFill="0" autoLine="0" autoPict="0">
                <anchor moveWithCells="1">
                  <from>
                    <xdr:col>1</xdr:col>
                    <xdr:colOff>38100</xdr:colOff>
                    <xdr:row>55</xdr:row>
                    <xdr:rowOff>0</xdr:rowOff>
                  </from>
                  <to>
                    <xdr:col>1</xdr:col>
                    <xdr:colOff>695325</xdr:colOff>
                    <xdr:row>55</xdr:row>
                    <xdr:rowOff>161925</xdr:rowOff>
                  </to>
                </anchor>
              </controlPr>
            </control>
          </mc:Choice>
        </mc:AlternateContent>
        <mc:AlternateContent xmlns:mc="http://schemas.openxmlformats.org/markup-compatibility/2006">
          <mc:Choice Requires="x14">
            <control shapeId="1080" r:id="rId74" name="Group Box 56">
              <controlPr defaultSize="0" autoFill="0" autoPict="0">
                <anchor moveWithCells="1">
                  <from>
                    <xdr:col>2</xdr:col>
                    <xdr:colOff>381000</xdr:colOff>
                    <xdr:row>83</xdr:row>
                    <xdr:rowOff>104775</xdr:rowOff>
                  </from>
                  <to>
                    <xdr:col>10</xdr:col>
                    <xdr:colOff>123825</xdr:colOff>
                    <xdr:row>85</xdr:row>
                    <xdr:rowOff>57150</xdr:rowOff>
                  </to>
                </anchor>
              </controlPr>
            </control>
          </mc:Choice>
        </mc:AlternateContent>
        <mc:AlternateContent xmlns:mc="http://schemas.openxmlformats.org/markup-compatibility/2006">
          <mc:Choice Requires="x14">
            <control shapeId="1081" r:id="rId75" name="Check Box 57">
              <controlPr defaultSize="0" autoFill="0" autoLine="0" autoPict="0">
                <anchor moveWithCells="1">
                  <from>
                    <xdr:col>12</xdr:col>
                    <xdr:colOff>628650</xdr:colOff>
                    <xdr:row>2</xdr:row>
                    <xdr:rowOff>161925</xdr:rowOff>
                  </from>
                  <to>
                    <xdr:col>14</xdr:col>
                    <xdr:colOff>209550</xdr:colOff>
                    <xdr:row>3</xdr:row>
                    <xdr:rowOff>161925</xdr:rowOff>
                  </to>
                </anchor>
              </controlPr>
            </control>
          </mc:Choice>
        </mc:AlternateContent>
        <mc:AlternateContent xmlns:mc="http://schemas.openxmlformats.org/markup-compatibility/2006">
          <mc:Choice Requires="x14">
            <control shapeId="1082" r:id="rId76" name="Check Box 58">
              <controlPr defaultSize="0" autoFill="0" autoLine="0" autoPict="0">
                <anchor moveWithCells="1">
                  <from>
                    <xdr:col>1</xdr:col>
                    <xdr:colOff>342900</xdr:colOff>
                    <xdr:row>13</xdr:row>
                    <xdr:rowOff>9525</xdr:rowOff>
                  </from>
                  <to>
                    <xdr:col>1</xdr:col>
                    <xdr:colOff>571500</xdr:colOff>
                    <xdr:row>14</xdr:row>
                    <xdr:rowOff>0</xdr:rowOff>
                  </to>
                </anchor>
              </controlPr>
            </control>
          </mc:Choice>
        </mc:AlternateContent>
      </controls>
    </mc:Choice>
  </mc:AlternateConten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5E560E-BF0F-48FF-B839-45CC1439F999}">
  <dimension ref="A1:AH266"/>
  <sheetViews>
    <sheetView workbookViewId="0">
      <selection activeCell="D81" sqref="D81"/>
    </sheetView>
  </sheetViews>
  <sheetFormatPr defaultRowHeight="12.75" x14ac:dyDescent="0.2"/>
  <cols>
    <col min="1" max="1" width="0.85546875" style="883" customWidth="1"/>
    <col min="2" max="2" width="10.7109375" style="883" customWidth="1"/>
    <col min="3" max="3" width="8.42578125" style="885" customWidth="1"/>
    <col min="4" max="4" width="8.42578125" style="883" customWidth="1"/>
    <col min="5" max="5" width="8.7109375" style="883" customWidth="1"/>
    <col min="6" max="11" width="8.42578125" style="883" customWidth="1"/>
    <col min="12" max="12" width="9" style="883" customWidth="1"/>
    <col min="13" max="13" width="9.7109375" style="883" customWidth="1"/>
    <col min="14" max="15" width="8.28515625" style="883" customWidth="1"/>
    <col min="16" max="17" width="8.5703125" style="883" customWidth="1"/>
    <col min="18" max="18" width="8.42578125" style="883" customWidth="1"/>
    <col min="19" max="21" width="9.140625" style="885"/>
    <col min="22" max="24" width="10.140625" style="883" customWidth="1"/>
    <col min="25" max="26" width="9.140625" style="883" customWidth="1"/>
    <col min="27" max="31" width="12.7109375" style="883" customWidth="1"/>
    <col min="32" max="32" width="9.140625" style="883" customWidth="1"/>
    <col min="33" max="34" width="10.7109375" style="883" customWidth="1"/>
    <col min="35" max="16384" width="9.140625" style="883"/>
  </cols>
  <sheetData>
    <row r="1" spans="1:34" ht="13.5" thickBot="1" x14ac:dyDescent="0.25">
      <c r="A1" s="32"/>
      <c r="U1" s="883" t="s">
        <v>376</v>
      </c>
    </row>
    <row r="2" spans="1:34" ht="14.25" thickTop="1" thickBot="1" x14ac:dyDescent="0.25">
      <c r="A2" s="32"/>
      <c r="B2" s="34" t="str">
        <f>IF($B$4,"Height (cm):","Height (in):")</f>
        <v>Height (in):</v>
      </c>
      <c r="C2" s="35">
        <v>71</v>
      </c>
      <c r="D2" s="36" t="s">
        <v>50</v>
      </c>
      <c r="E2" s="37">
        <v>34364</v>
      </c>
      <c r="F2" s="38"/>
      <c r="G2" s="937" t="s">
        <v>51</v>
      </c>
      <c r="H2" s="937"/>
      <c r="I2" s="937"/>
      <c r="J2" s="937"/>
      <c r="K2" s="937"/>
      <c r="L2" s="937"/>
      <c r="M2" s="937"/>
      <c r="N2" s="38"/>
      <c r="O2" s="38"/>
      <c r="P2" s="39"/>
      <c r="Q2" s="40" t="s">
        <v>52</v>
      </c>
      <c r="R2" s="41">
        <v>44166</v>
      </c>
    </row>
    <row r="3" spans="1:34" ht="13.5" thickBot="1" x14ac:dyDescent="0.25">
      <c r="B3" s="42" t="str">
        <f>"Weight"&amp;IF($B$4," (kg):"," (lb):")</f>
        <v>Weight (lb):</v>
      </c>
      <c r="C3" s="43">
        <v>155</v>
      </c>
      <c r="D3" s="44" t="s">
        <v>53</v>
      </c>
      <c r="E3" s="45">
        <v>201</v>
      </c>
      <c r="G3" s="938"/>
      <c r="H3" s="938"/>
      <c r="I3" s="938"/>
      <c r="J3" s="938"/>
      <c r="K3" s="938"/>
      <c r="L3" s="938"/>
      <c r="M3" s="938"/>
      <c r="P3" s="939" t="str">
        <f>P73</f>
        <v>Male Peak Potential - Marathon</v>
      </c>
      <c r="Q3" s="940"/>
      <c r="R3" s="941"/>
      <c r="S3" s="882" t="s">
        <v>54</v>
      </c>
      <c r="T3" s="882"/>
      <c r="U3" s="882"/>
      <c r="V3" s="882"/>
    </row>
    <row r="4" spans="1:34" ht="13.5" thickBot="1" x14ac:dyDescent="0.25">
      <c r="B4" s="46" t="b">
        <v>0</v>
      </c>
      <c r="C4" s="47" t="b">
        <v>1</v>
      </c>
      <c r="D4" s="48" t="s">
        <v>55</v>
      </c>
      <c r="E4" s="49">
        <v>54</v>
      </c>
      <c r="F4" s="50"/>
      <c r="G4" s="942" t="s">
        <v>56</v>
      </c>
      <c r="H4" s="942"/>
      <c r="I4" s="942"/>
      <c r="J4" s="942"/>
      <c r="K4" s="942"/>
      <c r="L4" s="942"/>
      <c r="M4" s="942"/>
      <c r="N4" s="51"/>
      <c r="O4" s="52" t="b">
        <v>0</v>
      </c>
      <c r="P4" s="943" t="str">
        <f>"Open Class Standard:"</f>
        <v>Open Class Standard:</v>
      </c>
      <c r="Q4" s="944"/>
      <c r="R4" s="53">
        <f>R74</f>
        <v>8.5381944444444455E-2</v>
      </c>
      <c r="S4" s="882" t="s">
        <v>57</v>
      </c>
      <c r="T4" s="882"/>
      <c r="U4" s="882"/>
      <c r="V4" s="882"/>
      <c r="W4" s="945" t="s">
        <v>58</v>
      </c>
      <c r="X4" s="946"/>
      <c r="Y4" s="946"/>
      <c r="Z4" s="946"/>
      <c r="AA4" s="946"/>
      <c r="AB4" s="946"/>
      <c r="AC4" s="946"/>
      <c r="AD4" s="946"/>
      <c r="AE4" s="946"/>
      <c r="AF4" s="946"/>
      <c r="AG4" s="947"/>
    </row>
    <row r="5" spans="1:34" ht="14.25" thickTop="1" thickBot="1" x14ac:dyDescent="0.25">
      <c r="B5" s="948" t="s">
        <v>59</v>
      </c>
      <c r="C5" s="949"/>
      <c r="D5" s="949"/>
      <c r="E5" s="54">
        <f ca="1">IF(AND(DATEDIF($E$2,NOW(),"y")&gt;=0,DATEDIF($E$2,NOW(),"y")&lt;110),DATEDIF($E$2,NOW(),"y"),"Birthdate?")</f>
        <v>31</v>
      </c>
      <c r="G5" s="24" t="s">
        <v>60</v>
      </c>
      <c r="H5" s="55"/>
      <c r="I5" s="950" t="str">
        <f ca="1">IF(R5="No Std","Custom Entry - No Std",IF(R5="Birthdate?",R5,"AGP  " &amp; IF($C$4,"M-","F-")&amp;$E$5&amp;":   "&amp;TEXT($R$5/$G$6,"0.00%")))</f>
        <v>AGP  M-31:   78.57%</v>
      </c>
      <c r="J5" s="951"/>
      <c r="K5" s="952" t="s">
        <v>61</v>
      </c>
      <c r="L5" s="953"/>
      <c r="M5" s="953"/>
      <c r="N5" s="56" t="s">
        <v>62</v>
      </c>
      <c r="O5" s="57" t="s">
        <v>63</v>
      </c>
      <c r="P5" s="954" t="str">
        <f ca="1">"Age "&amp;TEXT(E5,"#")&amp; " Standard:"</f>
        <v>Age 31 Standard:</v>
      </c>
      <c r="Q5" s="955"/>
      <c r="R5" s="58">
        <f ca="1">R75</f>
        <v>8.5467982213205757E-2</v>
      </c>
      <c r="S5" s="59">
        <v>15</v>
      </c>
      <c r="T5" s="882"/>
      <c r="U5" s="882"/>
      <c r="V5" s="882"/>
    </row>
    <row r="6" spans="1:34" ht="14.25" thickTop="1" thickBot="1" x14ac:dyDescent="0.25">
      <c r="B6" s="60" t="str">
        <f>"Powered by "&amp;IF($G$16=1,"Daniels","Riegel")</f>
        <v>Powered by Riegel</v>
      </c>
      <c r="C6" s="61">
        <v>1.06</v>
      </c>
      <c r="D6" s="62" t="s">
        <v>64</v>
      </c>
      <c r="E6" s="63" t="s">
        <v>65</v>
      </c>
      <c r="F6" s="62" t="s">
        <v>66</v>
      </c>
      <c r="G6" s="64">
        <v>0.10878472222222223</v>
      </c>
      <c r="H6" s="65"/>
      <c r="I6" s="956">
        <f>IF(AND($E$6&gt;0,$G$6&gt;0),(-4.6 + 0.182258 * (F8/G6/1440) + 0.000104 *(F8/G6/1440)^2)/D9,1)</f>
        <v>63.031325591685118</v>
      </c>
      <c r="J6" s="957"/>
      <c r="K6" s="66" t="s">
        <v>67</v>
      </c>
      <c r="L6" s="67">
        <f>IF(AND($E$6&gt;0,$G$6&gt;0),(1609.344/(29.54 + 5.000663 * ($I$6*0.88) - 0.007546 * ($I$6*0.88)^2)/1440),"-")</f>
        <v>3.9393975760932502E-3</v>
      </c>
      <c r="M6" s="68">
        <f>+L6*0.621371192</f>
        <v>2.4478281676189738E-3</v>
      </c>
      <c r="N6" s="69" t="str">
        <f>IF($E$3&gt;0,TEXT(88*IF(O4,(1+C9),1),"00")&amp;" - "&amp;TEXT(0.92*IF(O4,(1+C9),1),"0%"),"")</f>
        <v>88 - 92%</v>
      </c>
      <c r="O6" s="70" t="str">
        <f>IF($E$3&gt;0,TEXT(0.88*E3*IF(O4,(1+C9),1),"0")&amp;" - "&amp;TEXT(0.92*E3*IF(O4,(1+C9),1),"0"),"")</f>
        <v>177 - 185</v>
      </c>
      <c r="P6" s="926" t="str">
        <f>"Peak Potential at "&amp;ROUND(C3,1)&amp;IF(B4," kg"," lb")</f>
        <v>Peak Potential at 155 lb</v>
      </c>
      <c r="Q6" s="927"/>
      <c r="R6" s="71">
        <f ca="1">R78</f>
        <v>9.7262667801660888E-2</v>
      </c>
      <c r="S6" s="72">
        <v>1</v>
      </c>
      <c r="T6" s="882"/>
      <c r="U6" s="882"/>
      <c r="V6" s="882" t="s">
        <v>382</v>
      </c>
      <c r="W6" s="825" t="s">
        <v>456</v>
      </c>
      <c r="Y6" s="883" t="s">
        <v>2</v>
      </c>
      <c r="Z6" s="867">
        <v>0.20416666666666669</v>
      </c>
    </row>
    <row r="7" spans="1:34" ht="14.25" thickTop="1" thickBot="1" x14ac:dyDescent="0.25">
      <c r="B7" s="73"/>
      <c r="C7" s="74" t="s">
        <v>68</v>
      </c>
      <c r="D7" s="903" t="s">
        <v>69</v>
      </c>
      <c r="E7" s="928" t="s">
        <v>70</v>
      </c>
      <c r="F7" s="929"/>
      <c r="G7" s="930"/>
      <c r="H7" s="76" t="s">
        <v>71</v>
      </c>
      <c r="I7" s="77" t="s">
        <v>72</v>
      </c>
      <c r="J7" s="78" t="s">
        <v>65</v>
      </c>
      <c r="K7" s="79" t="s">
        <v>73</v>
      </c>
      <c r="L7" s="79" t="s">
        <v>74</v>
      </c>
      <c r="M7" s="79" t="s">
        <v>75</v>
      </c>
      <c r="N7" s="79" t="s">
        <v>76</v>
      </c>
      <c r="O7" s="80" t="s">
        <v>77</v>
      </c>
      <c r="P7" s="79" t="s">
        <v>78</v>
      </c>
      <c r="Q7" s="81" t="s">
        <v>79</v>
      </c>
      <c r="R7" s="82" t="s">
        <v>80</v>
      </c>
      <c r="S7" s="83"/>
      <c r="T7" s="882"/>
      <c r="U7" s="882"/>
      <c r="V7" s="882" t="s">
        <v>33</v>
      </c>
      <c r="W7" s="825" t="s">
        <v>457</v>
      </c>
    </row>
    <row r="8" spans="1:34" x14ac:dyDescent="0.2">
      <c r="B8" s="84" t="s">
        <v>81</v>
      </c>
      <c r="C8" s="85">
        <v>1</v>
      </c>
      <c r="D8" s="931">
        <f>IF(E6="Custom",S8,HLOOKUP(E6,J7:P8,2,0))</f>
        <v>26.218757456454306</v>
      </c>
      <c r="E8" s="932"/>
      <c r="F8" s="933">
        <f>IF(E6="Custom",S9,HLOOKUP(E6,J7:P9,3,0))</f>
        <v>42195</v>
      </c>
      <c r="G8" s="934"/>
      <c r="H8" s="935" t="s">
        <v>82</v>
      </c>
      <c r="I8" s="936"/>
      <c r="J8" s="86">
        <f>J9/1609.344</f>
        <v>26.218757456454306</v>
      </c>
      <c r="K8" s="87">
        <f t="shared" ref="K8:Q8" si="0">K9/1609.344</f>
        <v>13.109378728227153</v>
      </c>
      <c r="L8" s="87">
        <f t="shared" si="0"/>
        <v>9.3205678835600096</v>
      </c>
      <c r="M8" s="87">
        <f t="shared" si="0"/>
        <v>7.4564543068480074</v>
      </c>
      <c r="N8" s="87">
        <f t="shared" si="0"/>
        <v>6.2137119223733395</v>
      </c>
      <c r="O8" s="87">
        <f t="shared" si="0"/>
        <v>4.9709695378986716</v>
      </c>
      <c r="P8" s="87">
        <f t="shared" si="0"/>
        <v>3.1068559611866697</v>
      </c>
      <c r="Q8" s="88">
        <f t="shared" si="0"/>
        <v>1.8641135767120018</v>
      </c>
      <c r="R8" s="89">
        <v>1</v>
      </c>
      <c r="S8" s="90">
        <f>IF($S$6=1,S5,S5/1.609344)</f>
        <v>15</v>
      </c>
      <c r="T8" s="882"/>
      <c r="U8" s="882"/>
      <c r="V8" s="882" t="s">
        <v>34</v>
      </c>
      <c r="W8" s="825" t="s">
        <v>458</v>
      </c>
    </row>
    <row r="9" spans="1:34" ht="13.5" thickBot="1" x14ac:dyDescent="0.25">
      <c r="A9" s="91"/>
      <c r="B9" s="92" t="s">
        <v>83</v>
      </c>
      <c r="C9" s="93">
        <v>0</v>
      </c>
      <c r="D9" s="973">
        <f>IF($G$6&gt;0,0.8+0.1894393 * EXP(-0.012778*G6*1440)+0.2989558* EXP(-0.1932605*G6*1440),0)</f>
        <v>0.82559494718934712</v>
      </c>
      <c r="E9" s="974"/>
      <c r="F9" s="94" t="str">
        <f>"▼2nd ed 67%"</f>
        <v>▼2nd ed 67%</v>
      </c>
      <c r="G9" s="95" t="str">
        <f>"1st ed 70%▼"</f>
        <v>1st ed 70%▼</v>
      </c>
      <c r="H9" s="975" t="s">
        <v>84</v>
      </c>
      <c r="I9" s="976"/>
      <c r="J9" s="96">
        <v>42195</v>
      </c>
      <c r="K9" s="97">
        <f>J9/2</f>
        <v>21097.5</v>
      </c>
      <c r="L9" s="97">
        <v>15000</v>
      </c>
      <c r="M9" s="97">
        <v>12000</v>
      </c>
      <c r="N9" s="97">
        <v>10000</v>
      </c>
      <c r="O9" s="97">
        <v>8000</v>
      </c>
      <c r="P9" s="97">
        <v>5000</v>
      </c>
      <c r="Q9" s="98">
        <v>3000</v>
      </c>
      <c r="R9" s="99">
        <f>+R8*1609.344</f>
        <v>1609.3440000000001</v>
      </c>
      <c r="S9" s="100">
        <f>IF($S$6=2,S5*1000,S5*1609.344)</f>
        <v>24140.16</v>
      </c>
      <c r="T9" s="882"/>
      <c r="U9" s="882"/>
      <c r="V9" s="882" t="s">
        <v>383</v>
      </c>
      <c r="W9" s="825" t="s">
        <v>459</v>
      </c>
    </row>
    <row r="10" spans="1:34" ht="13.5" thickBot="1" x14ac:dyDescent="0.25">
      <c r="A10" s="885"/>
      <c r="B10" s="101"/>
      <c r="C10" s="102"/>
      <c r="D10" s="103">
        <v>0.59</v>
      </c>
      <c r="E10" s="103">
        <v>0.63</v>
      </c>
      <c r="F10" s="103">
        <v>0.67</v>
      </c>
      <c r="G10" s="103">
        <v>0.7</v>
      </c>
      <c r="H10" s="103">
        <f>$G$10+(($J$10-$G$10)*0.3333)</f>
        <v>0.74186079589820941</v>
      </c>
      <c r="I10" s="104">
        <f>$G$10+(($J$10-$G$10)*0.6667)</f>
        <v>0.78373415129113766</v>
      </c>
      <c r="J10" s="105">
        <f t="shared" ref="J10:S10" si="1">IF($G$6&gt;0,0.8+0.1894393 * EXP(-0.012778*J16*1440)+0.2989558* EXP(-0.1932605*J16*1440),0)</f>
        <v>0.82559494718934712</v>
      </c>
      <c r="K10" s="106">
        <f t="shared" si="1"/>
        <v>0.87253025707172316</v>
      </c>
      <c r="L10" s="106">
        <f t="shared" si="1"/>
        <v>0.89706963369930437</v>
      </c>
      <c r="M10" s="106">
        <f t="shared" si="1"/>
        <v>0.91184160509168333</v>
      </c>
      <c r="N10" s="106">
        <f t="shared" si="1"/>
        <v>0.92301618011327558</v>
      </c>
      <c r="O10" s="106">
        <f t="shared" si="1"/>
        <v>0.93602759595427221</v>
      </c>
      <c r="P10" s="106">
        <f t="shared" si="1"/>
        <v>0.96648404872580629</v>
      </c>
      <c r="Q10" s="106">
        <f t="shared" si="1"/>
        <v>1.0154105465581658</v>
      </c>
      <c r="R10" s="107">
        <f t="shared" si="1"/>
        <v>1.0936302719201008</v>
      </c>
      <c r="S10" s="108">
        <f t="shared" si="1"/>
        <v>0.86259130766749725</v>
      </c>
      <c r="T10" s="882"/>
      <c r="V10" s="882" t="s">
        <v>78</v>
      </c>
      <c r="W10" s="263">
        <v>0.67569444444444449</v>
      </c>
      <c r="X10" s="877">
        <v>45913</v>
      </c>
      <c r="Y10" s="885"/>
      <c r="Z10" s="885"/>
      <c r="AA10" s="885"/>
      <c r="AB10" s="885"/>
      <c r="AC10" s="885"/>
      <c r="AD10" s="885"/>
      <c r="AE10" s="885"/>
      <c r="AF10" s="885"/>
      <c r="AG10" s="885"/>
      <c r="AH10" s="885"/>
    </row>
    <row r="11" spans="1:34" x14ac:dyDescent="0.2">
      <c r="A11" s="109"/>
      <c r="B11" s="110"/>
      <c r="C11" s="111" t="str">
        <f>"% of HRmax "&amp;IF(AND(C9&lt;&gt;0,C9&lt;&gt;""),"("&amp;TEXT(C9,"+0.0%;-0.0%")&amp;") ","")</f>
        <v xml:space="preserve">% of HRmax </v>
      </c>
      <c r="D11" s="112">
        <f>MIN(1,IF($C$8=4,(0.6463*D10)+0.37182,IF($C$8=3,(D10 + 0.345)/1.303,IF($C$8=2,(D10+0.293)/1.3,(0.855*D10)+0.1578)))*(1+$C$9))</f>
        <v>0.66225000000000001</v>
      </c>
      <c r="E11" s="112">
        <f t="shared" ref="E11:S11" si="2">MIN(1,IF($C$8=4,(0.6463*E10)+0.37182,IF($C$8=3,(E10 + 0.345)/1.303,IF($C$8=2,(E10+0.293)/1.3,(0.855*E10)+0.1578)))*(1+$C$9))</f>
        <v>0.69645000000000001</v>
      </c>
      <c r="F11" s="112">
        <f t="shared" si="2"/>
        <v>0.73065000000000002</v>
      </c>
      <c r="G11" s="112">
        <f t="shared" si="2"/>
        <v>0.75629999999999997</v>
      </c>
      <c r="H11" s="112">
        <f t="shared" si="2"/>
        <v>0.792090980492969</v>
      </c>
      <c r="I11" s="112">
        <f t="shared" si="2"/>
        <v>0.82789269935392262</v>
      </c>
      <c r="J11" s="113">
        <f t="shared" si="2"/>
        <v>0.86368367984689187</v>
      </c>
      <c r="K11" s="114">
        <f t="shared" si="2"/>
        <v>0.90381336979632332</v>
      </c>
      <c r="L11" s="114">
        <f t="shared" si="2"/>
        <v>0.92479453681290513</v>
      </c>
      <c r="M11" s="114">
        <f t="shared" si="2"/>
        <v>0.93742457235338916</v>
      </c>
      <c r="N11" s="114">
        <f t="shared" si="2"/>
        <v>0.94697883399685057</v>
      </c>
      <c r="O11" s="114">
        <f t="shared" si="2"/>
        <v>0.95810359454090266</v>
      </c>
      <c r="P11" s="114">
        <f t="shared" si="2"/>
        <v>0.98414386166056445</v>
      </c>
      <c r="Q11" s="114">
        <f t="shared" si="2"/>
        <v>1</v>
      </c>
      <c r="R11" s="115">
        <f t="shared" si="2"/>
        <v>1</v>
      </c>
      <c r="S11" s="116">
        <f t="shared" si="2"/>
        <v>0.89531556805571011</v>
      </c>
      <c r="T11" s="882"/>
      <c r="V11" s="882" t="s">
        <v>76</v>
      </c>
      <c r="W11" s="500">
        <v>2.3958333333333335E-2</v>
      </c>
      <c r="X11" s="877">
        <v>45802</v>
      </c>
      <c r="Y11" s="117"/>
      <c r="Z11" s="885"/>
      <c r="AA11" s="885"/>
      <c r="AB11" s="885"/>
      <c r="AC11" s="885"/>
      <c r="AD11" s="885"/>
      <c r="AE11" s="885"/>
      <c r="AF11" s="885"/>
      <c r="AG11" s="885"/>
      <c r="AH11" s="118"/>
    </row>
    <row r="12" spans="1:34" ht="13.5" thickBot="1" x14ac:dyDescent="0.25">
      <c r="A12" s="109"/>
      <c r="B12" s="119"/>
      <c r="C12" s="120" t="str">
        <f>"% HR Reserve "</f>
        <v xml:space="preserve">% HR Reserve </v>
      </c>
      <c r="D12" s="121">
        <f t="shared" ref="D12:S12" si="3">IF(AND($E$3&gt;0,$E$4&gt;0),(D13-$E$4)/($E$3-$E$4),"-")</f>
        <v>0.5381785714285714</v>
      </c>
      <c r="E12" s="121">
        <f t="shared" si="3"/>
        <v>0.5849418367346938</v>
      </c>
      <c r="F12" s="121">
        <f t="shared" si="3"/>
        <v>0.63170510204081631</v>
      </c>
      <c r="G12" s="121">
        <f t="shared" si="3"/>
        <v>0.66677755102040814</v>
      </c>
      <c r="H12" s="121">
        <f t="shared" si="3"/>
        <v>0.71571623863324341</v>
      </c>
      <c r="I12" s="122">
        <f t="shared" si="3"/>
        <v>0.76466960932066963</v>
      </c>
      <c r="J12" s="123">
        <f t="shared" si="3"/>
        <v>0.81360829693350523</v>
      </c>
      <c r="K12" s="121">
        <f t="shared" si="3"/>
        <v>0.86847950563987075</v>
      </c>
      <c r="L12" s="121">
        <f t="shared" si="3"/>
        <v>0.89716804013193152</v>
      </c>
      <c r="M12" s="121">
        <f t="shared" si="3"/>
        <v>0.91443768056483832</v>
      </c>
      <c r="N12" s="121">
        <f t="shared" si="3"/>
        <v>0.92750167097528557</v>
      </c>
      <c r="O12" s="121">
        <f t="shared" si="3"/>
        <v>0.94271307824980566</v>
      </c>
      <c r="P12" s="121">
        <f t="shared" si="3"/>
        <v>0.97831915778077172</v>
      </c>
      <c r="Q12" s="121">
        <f t="shared" si="3"/>
        <v>1</v>
      </c>
      <c r="R12" s="124">
        <f t="shared" si="3"/>
        <v>1</v>
      </c>
      <c r="S12" s="125">
        <f t="shared" si="3"/>
        <v>0.85686006244352197</v>
      </c>
      <c r="T12" s="882"/>
      <c r="V12" s="882" t="s">
        <v>507</v>
      </c>
      <c r="W12" s="500">
        <v>3.7164351851851851E-2</v>
      </c>
      <c r="X12" s="878">
        <v>45897</v>
      </c>
      <c r="Y12" s="885"/>
      <c r="Z12" s="885"/>
      <c r="AA12" s="885"/>
      <c r="AB12" s="885"/>
      <c r="AC12" s="885"/>
      <c r="AD12" s="885"/>
      <c r="AE12" s="885"/>
      <c r="AF12" s="885"/>
      <c r="AG12" s="885"/>
      <c r="AH12" s="109"/>
    </row>
    <row r="13" spans="1:34" ht="13.5" thickBot="1" x14ac:dyDescent="0.25">
      <c r="A13" s="109"/>
      <c r="B13" s="126" t="str">
        <f>"HR Profile "&amp;IF(AND(C8&gt;=1,C8&lt;=4),C8,1)</f>
        <v>HR Profile 1</v>
      </c>
      <c r="C13" s="127" t="str">
        <f>"HR bpm "</f>
        <v xml:space="preserve">HR bpm </v>
      </c>
      <c r="D13" s="128">
        <f t="shared" ref="D13:S13" si="4">IF($E$3&gt;0,D11*$E$3,"-")</f>
        <v>133.11224999999999</v>
      </c>
      <c r="E13" s="128">
        <f t="shared" si="4"/>
        <v>139.98644999999999</v>
      </c>
      <c r="F13" s="128">
        <f t="shared" si="4"/>
        <v>146.86064999999999</v>
      </c>
      <c r="G13" s="128">
        <f t="shared" si="4"/>
        <v>152.0163</v>
      </c>
      <c r="H13" s="128">
        <f t="shared" si="4"/>
        <v>159.21028707908678</v>
      </c>
      <c r="I13" s="129">
        <f t="shared" si="4"/>
        <v>166.40643257013843</v>
      </c>
      <c r="J13" s="130">
        <f t="shared" si="4"/>
        <v>173.60041964922527</v>
      </c>
      <c r="K13" s="128">
        <f t="shared" si="4"/>
        <v>181.666487329061</v>
      </c>
      <c r="L13" s="128">
        <f t="shared" si="4"/>
        <v>185.88370189939394</v>
      </c>
      <c r="M13" s="128">
        <f t="shared" si="4"/>
        <v>188.42233904303123</v>
      </c>
      <c r="N13" s="128">
        <f t="shared" si="4"/>
        <v>190.34274563336697</v>
      </c>
      <c r="O13" s="128">
        <f t="shared" si="4"/>
        <v>192.57882250272144</v>
      </c>
      <c r="P13" s="128">
        <f t="shared" si="4"/>
        <v>197.81291619377345</v>
      </c>
      <c r="Q13" s="128">
        <f t="shared" si="4"/>
        <v>201</v>
      </c>
      <c r="R13" s="131">
        <f t="shared" si="4"/>
        <v>201</v>
      </c>
      <c r="S13" s="132">
        <f t="shared" si="4"/>
        <v>179.95842917919774</v>
      </c>
      <c r="T13" s="882"/>
      <c r="U13" s="882"/>
      <c r="V13" s="884" t="s">
        <v>508</v>
      </c>
      <c r="W13" s="876">
        <v>4.0625000000000001E-2</v>
      </c>
      <c r="Y13" s="885"/>
      <c r="Z13" s="885"/>
      <c r="AA13" s="885"/>
      <c r="AB13" s="885"/>
      <c r="AC13" s="885"/>
      <c r="AD13" s="885"/>
      <c r="AE13" s="885"/>
      <c r="AF13" s="885"/>
      <c r="AG13" s="885"/>
      <c r="AH13" s="109"/>
    </row>
    <row r="14" spans="1:34" x14ac:dyDescent="0.2">
      <c r="A14" s="133" t="b">
        <v>0</v>
      </c>
      <c r="B14" s="134" t="s">
        <v>85</v>
      </c>
      <c r="C14" s="127" t="str">
        <f>IF($A$14,"MPH ","Pace / Mile ")</f>
        <v xml:space="preserve">Pace / Mile </v>
      </c>
      <c r="D14" s="135">
        <f t="shared" ref="D14:I14" si="5">IF(AND($E$6&gt;0,$G$6&gt;0),IF($A$14,60/(1609.344/(29.54+5.000663*($I$6*(D10))-0.007546*($I$6*(D10))^2))/(1+W219),1609.344/(29.54+5.000663*($I$6*(D10))-0.007546*($I$6*(D10))^2)/1440*(1+W219)),"")</f>
        <v>5.4492774445903053E-3</v>
      </c>
      <c r="E14" s="135">
        <f t="shared" si="5"/>
        <v>5.1683927796189848E-3</v>
      </c>
      <c r="F14" s="135">
        <f t="shared" si="5"/>
        <v>4.9171200669991064E-3</v>
      </c>
      <c r="G14" s="135">
        <f t="shared" si="5"/>
        <v>4.7454035305918886E-3</v>
      </c>
      <c r="H14" s="135">
        <f t="shared" si="5"/>
        <v>4.5265621792275161E-3</v>
      </c>
      <c r="I14" s="136">
        <f t="shared" si="5"/>
        <v>4.3287200388119531E-3</v>
      </c>
      <c r="J14" s="137">
        <f t="shared" ref="J14:S14" si="6">IF(AND($E$6&gt;0,$G$6&gt;0),IF($A$14,60/(J16/J8)/1440,J16/J8),"-")</f>
        <v>4.1491181419599484E-3</v>
      </c>
      <c r="K14" s="135">
        <f t="shared" si="6"/>
        <v>3.9801001604236868E-3</v>
      </c>
      <c r="L14" s="135">
        <f t="shared" si="6"/>
        <v>3.8994703022620192E-3</v>
      </c>
      <c r="M14" s="135">
        <f t="shared" si="6"/>
        <v>3.8476097483042E-3</v>
      </c>
      <c r="N14" s="135">
        <f t="shared" si="6"/>
        <v>3.8057489973170907E-3</v>
      </c>
      <c r="O14" s="135">
        <f t="shared" si="6"/>
        <v>3.7551348790070263E-3</v>
      </c>
      <c r="P14" s="135">
        <f t="shared" si="6"/>
        <v>3.650718460284386E-3</v>
      </c>
      <c r="Q14" s="135">
        <f t="shared" si="6"/>
        <v>3.5405229748134096E-3</v>
      </c>
      <c r="R14" s="138">
        <f t="shared" si="6"/>
        <v>3.4106650802185248E-3</v>
      </c>
      <c r="S14" s="139">
        <f t="shared" si="6"/>
        <v>4.0124030353983634E-3</v>
      </c>
      <c r="T14" s="882"/>
      <c r="U14" s="882"/>
      <c r="V14" s="884" t="s">
        <v>506</v>
      </c>
      <c r="W14" s="500">
        <v>3.9942129629629633E-2</v>
      </c>
      <c r="X14" s="879">
        <v>45897</v>
      </c>
      <c r="Y14" s="885"/>
      <c r="Z14" s="885"/>
      <c r="AA14" s="885"/>
      <c r="AB14" s="885"/>
      <c r="AF14" s="885"/>
      <c r="AG14" s="885"/>
      <c r="AH14" s="118"/>
    </row>
    <row r="15" spans="1:34" ht="13.5" thickBot="1" x14ac:dyDescent="0.25">
      <c r="B15" s="140"/>
      <c r="C15" s="127" t="str">
        <f>IF($A$14,"KMH ","Pace / km ")</f>
        <v xml:space="preserve">Pace / km </v>
      </c>
      <c r="D15" s="141">
        <f>IF(D14&lt;&gt;"-",IF($A$14,D14/0.621371192,D14*0.621371192),"-")</f>
        <v>3.3860240212837921E-3</v>
      </c>
      <c r="E15" s="141">
        <f t="shared" ref="E15:S15" si="7">IF(E14&lt;&gt;"-",IF($A$14,E14/0.621371192,E14*0.621371192),"-")</f>
        <v>3.2114903821960417E-3</v>
      </c>
      <c r="F15" s="142">
        <f t="shared" si="7"/>
        <v>3.0553567572383549E-3</v>
      </c>
      <c r="G15" s="142">
        <f t="shared" si="7"/>
        <v>2.9486570483248905E-3</v>
      </c>
      <c r="H15" s="142">
        <f t="shared" si="7"/>
        <v>2.8126753369687196E-3</v>
      </c>
      <c r="I15" s="143">
        <f t="shared" si="7"/>
        <v>2.6897419303508695E-3</v>
      </c>
      <c r="J15" s="144">
        <f t="shared" si="7"/>
        <v>2.5781424856184784E-3</v>
      </c>
      <c r="K15" s="142">
        <f t="shared" si="7"/>
        <v>2.4731195809618574E-3</v>
      </c>
      <c r="L15" s="142">
        <f t="shared" si="7"/>
        <v>2.4230185098851513E-3</v>
      </c>
      <c r="M15" s="142">
        <f t="shared" si="7"/>
        <v>2.3907938556546006E-3</v>
      </c>
      <c r="N15" s="142">
        <f t="shared" si="7"/>
        <v>2.3647827909157254E-3</v>
      </c>
      <c r="O15" s="142">
        <f t="shared" si="7"/>
        <v>2.3333326358893716E-3</v>
      </c>
      <c r="P15" s="142">
        <f t="shared" si="7"/>
        <v>2.2684512813233135E-3</v>
      </c>
      <c r="Q15" s="142">
        <f t="shared" si="7"/>
        <v>2.1999789811631945E-3</v>
      </c>
      <c r="R15" s="145">
        <f t="shared" si="7"/>
        <v>2.1192890264081603E-3</v>
      </c>
      <c r="S15" s="146">
        <f t="shared" si="7"/>
        <v>2.4931916568898993E-3</v>
      </c>
      <c r="T15" s="882"/>
      <c r="U15" s="882"/>
      <c r="V15" s="882" t="s">
        <v>505</v>
      </c>
      <c r="W15" s="876">
        <v>5.2881944444444447E-2</v>
      </c>
      <c r="X15" s="880">
        <v>45906</v>
      </c>
      <c r="AC15" s="4"/>
    </row>
    <row r="16" spans="1:34" ht="13.5" thickBot="1" x14ac:dyDescent="0.25">
      <c r="B16" s="147" t="s">
        <v>86</v>
      </c>
      <c r="C16" s="148"/>
      <c r="D16" s="149" t="b">
        <v>0</v>
      </c>
      <c r="E16" s="150" t="b">
        <v>0</v>
      </c>
      <c r="F16" s="151"/>
      <c r="G16" s="152">
        <v>2</v>
      </c>
      <c r="H16" s="153"/>
      <c r="I16" s="154" t="s">
        <v>87</v>
      </c>
      <c r="J16" s="155">
        <f t="shared" ref="J16:S16" si="8">IF(AND($E$6&gt;0,$G$6&gt;0),IF($G$16=1,(J9/(29.54+5.000663*($I$6*(J10))-0.007546*($I$6*(J10))^2)/1440),$G$6*(J8/$D$8)^$C$6),"-")</f>
        <v>0.10878472222222223</v>
      </c>
      <c r="K16" s="156">
        <f t="shared" si="8"/>
        <v>5.2176640379271756E-2</v>
      </c>
      <c r="L16" s="156">
        <f t="shared" si="8"/>
        <v>3.634527766215942E-2</v>
      </c>
      <c r="M16" s="156">
        <f t="shared" si="8"/>
        <v>2.8689526278813229E-2</v>
      </c>
      <c r="N16" s="156">
        <f t="shared" si="8"/>
        <v>2.364782791818959E-2</v>
      </c>
      <c r="O16" s="156">
        <f t="shared" si="8"/>
        <v>1.8666661094244742E-2</v>
      </c>
      <c r="P16" s="156">
        <f t="shared" si="8"/>
        <v>1.1342256410948765E-2</v>
      </c>
      <c r="Q16" s="156">
        <f t="shared" si="8"/>
        <v>6.5999369460104417E-3</v>
      </c>
      <c r="R16" s="157">
        <f t="shared" si="8"/>
        <v>3.4106650802185248E-3</v>
      </c>
      <c r="S16" s="158">
        <f t="shared" si="8"/>
        <v>6.0186045530975452E-2</v>
      </c>
      <c r="T16" s="882"/>
      <c r="U16" s="882"/>
      <c r="V16" s="882">
        <v>15</v>
      </c>
      <c r="W16" s="870">
        <v>6.0624999999999998E-2</v>
      </c>
      <c r="X16" s="879">
        <v>45906</v>
      </c>
      <c r="AC16" s="4"/>
      <c r="AH16" s="159"/>
    </row>
    <row r="17" spans="2:28" ht="14.25" thickTop="1" thickBot="1" x14ac:dyDescent="0.25">
      <c r="B17" s="160"/>
      <c r="C17" s="160"/>
      <c r="D17" s="160"/>
      <c r="E17" s="160"/>
      <c r="F17" s="160"/>
      <c r="G17" s="160"/>
      <c r="H17" s="977" t="s">
        <v>88</v>
      </c>
      <c r="I17" s="977"/>
      <c r="J17" s="977"/>
      <c r="K17" s="977"/>
      <c r="L17" s="977"/>
      <c r="M17" s="161" t="s">
        <v>89</v>
      </c>
      <c r="N17" s="161"/>
      <c r="O17" s="161"/>
      <c r="P17" s="160"/>
      <c r="Q17" s="160"/>
      <c r="R17" s="162"/>
      <c r="S17" s="162"/>
      <c r="U17" s="882"/>
      <c r="V17" s="882"/>
    </row>
    <row r="18" spans="2:28" ht="14.25" thickTop="1" thickBot="1" x14ac:dyDescent="0.25">
      <c r="B18" s="163"/>
      <c r="C18" s="164" t="s">
        <v>90</v>
      </c>
      <c r="D18" s="165">
        <f t="shared" ref="D18:I18" si="9">IF(D11&lt;0.55,"-",LOOKUP((0.5197*D11^2)+(0.2662*D11)+0.1999,$Z$135:$Z$214,$AB$135:$AB$214))</f>
        <v>0.11</v>
      </c>
      <c r="E18" s="166">
        <f t="shared" si="9"/>
        <v>0.1585</v>
      </c>
      <c r="F18" s="167">
        <f t="shared" si="9"/>
        <v>0.217</v>
      </c>
      <c r="G18" s="168">
        <f t="shared" si="9"/>
        <v>0.25</v>
      </c>
      <c r="H18" s="166">
        <f t="shared" si="9"/>
        <v>0.32500000000000001</v>
      </c>
      <c r="I18" s="169">
        <f t="shared" si="9"/>
        <v>0.40449999999999997</v>
      </c>
      <c r="J18" s="170">
        <f t="shared" ref="J18:R18" si="10">IF(J11&lt;0.55,"-",LOOKUP(J10,$Z$135:$Z$214,$AB$135:$AB$214))</f>
        <v>0.53350000000000009</v>
      </c>
      <c r="K18" s="166">
        <f t="shared" si="10"/>
        <v>0.65</v>
      </c>
      <c r="L18" s="167">
        <f t="shared" si="10"/>
        <v>0.70300000000000007</v>
      </c>
      <c r="M18" s="167">
        <f t="shared" si="10"/>
        <v>0.76300000000000001</v>
      </c>
      <c r="N18" s="168">
        <f t="shared" si="10"/>
        <v>0.8</v>
      </c>
      <c r="O18" s="165">
        <f t="shared" si="10"/>
        <v>0.86149999999999993</v>
      </c>
      <c r="P18" s="166">
        <f t="shared" si="10"/>
        <v>0.91700000000000004</v>
      </c>
      <c r="Q18" s="168">
        <f t="shared" si="10"/>
        <v>1</v>
      </c>
      <c r="R18" s="171">
        <f t="shared" si="10"/>
        <v>1.375</v>
      </c>
      <c r="U18" s="882"/>
      <c r="V18" s="882"/>
    </row>
    <row r="19" spans="2:28" x14ac:dyDescent="0.2">
      <c r="B19" s="172">
        <f>IF(AND($D$16,$E$16),2,1)</f>
        <v>1</v>
      </c>
      <c r="C19" s="173" t="str">
        <f>IF($D$16,"KM ","Mile ")</f>
        <v xml:space="preserve">Mile </v>
      </c>
      <c r="D19" s="174">
        <f t="shared" ref="D19:R44" si="11">IF(AND(D$18&lt;&gt;"-",AND(D$14&lt;&gt;"-",D$14&lt;&gt;0)),$B19*D$18*IF($A$14,IF($D$16,60/D$15,60/D$14),IF($D$16,D$15,D$14)*1440),"-")</f>
        <v>0.86316554722310435</v>
      </c>
      <c r="E19" s="175">
        <f t="shared" si="11"/>
        <v>1.179633968020237</v>
      </c>
      <c r="F19" s="176">
        <f t="shared" si="11"/>
        <v>1.5365016785358807</v>
      </c>
      <c r="G19" s="177">
        <f t="shared" si="11"/>
        <v>1.70834527101308</v>
      </c>
      <c r="H19" s="178">
        <f t="shared" si="11"/>
        <v>2.1184310998784777</v>
      </c>
      <c r="I19" s="179">
        <f t="shared" si="11"/>
        <v>2.5213928482071863</v>
      </c>
      <c r="J19" s="180">
        <f t="shared" si="11"/>
        <v>3.1875185213793116</v>
      </c>
      <c r="K19" s="181">
        <f t="shared" si="11"/>
        <v>3.7253737501565709</v>
      </c>
      <c r="L19" s="182">
        <f t="shared" si="11"/>
        <v>3.9475117763858876</v>
      </c>
      <c r="M19" s="182">
        <f t="shared" si="11"/>
        <v>4.2274457826567904</v>
      </c>
      <c r="N19" s="183">
        <f t="shared" si="11"/>
        <v>4.3842228449092886</v>
      </c>
      <c r="O19" s="184">
        <f t="shared" si="11"/>
        <v>4.6584701255009566</v>
      </c>
      <c r="P19" s="185">
        <f t="shared" si="11"/>
        <v>4.8207007124363264</v>
      </c>
      <c r="Q19" s="186">
        <f t="shared" si="11"/>
        <v>5.0983530837313102</v>
      </c>
      <c r="R19" s="187">
        <f t="shared" si="11"/>
        <v>6.7531168588326791</v>
      </c>
      <c r="U19" s="882"/>
      <c r="V19" s="882"/>
    </row>
    <row r="20" spans="2:28" x14ac:dyDescent="0.2">
      <c r="B20" s="172">
        <f t="shared" ref="B20:B44" si="12">IF(AND($D$16,$E$16),B19+2,B19+1)</f>
        <v>2</v>
      </c>
      <c r="C20" s="173" t="str">
        <f t="shared" ref="C20:C44" si="13">IF($D$16,"KM ","Miles ")</f>
        <v xml:space="preserve">Miles </v>
      </c>
      <c r="D20" s="174">
        <f t="shared" si="11"/>
        <v>1.7263310944462087</v>
      </c>
      <c r="E20" s="188">
        <f t="shared" si="11"/>
        <v>2.359267936040474</v>
      </c>
      <c r="F20" s="189">
        <f t="shared" si="11"/>
        <v>3.0730033570717614</v>
      </c>
      <c r="G20" s="190">
        <f t="shared" si="11"/>
        <v>3.41669054202616</v>
      </c>
      <c r="H20" s="191">
        <f t="shared" si="11"/>
        <v>4.2368621997569553</v>
      </c>
      <c r="I20" s="192">
        <f t="shared" si="11"/>
        <v>5.0427856964143727</v>
      </c>
      <c r="J20" s="193">
        <f t="shared" si="11"/>
        <v>6.3750370427586232</v>
      </c>
      <c r="K20" s="194">
        <f t="shared" si="11"/>
        <v>7.4507475003131418</v>
      </c>
      <c r="L20" s="195">
        <f t="shared" si="11"/>
        <v>7.8950235527717751</v>
      </c>
      <c r="M20" s="195">
        <f t="shared" si="11"/>
        <v>8.4548915653135808</v>
      </c>
      <c r="N20" s="196">
        <f t="shared" si="11"/>
        <v>8.7684456898185772</v>
      </c>
      <c r="O20" s="197">
        <f t="shared" si="11"/>
        <v>9.3169402510019133</v>
      </c>
      <c r="P20" s="198">
        <f t="shared" si="11"/>
        <v>9.6414014248726527</v>
      </c>
      <c r="Q20" s="199">
        <f t="shared" si="11"/>
        <v>10.19670616746262</v>
      </c>
      <c r="R20" s="200">
        <f t="shared" si="11"/>
        <v>13.506233717665358</v>
      </c>
      <c r="U20" s="882"/>
      <c r="V20" s="882"/>
      <c r="W20" s="885"/>
      <c r="X20" s="885"/>
      <c r="Y20" s="885"/>
      <c r="Z20" s="885"/>
    </row>
    <row r="21" spans="2:28" x14ac:dyDescent="0.2">
      <c r="B21" s="172">
        <f t="shared" si="12"/>
        <v>3</v>
      </c>
      <c r="C21" s="173" t="str">
        <f t="shared" si="13"/>
        <v xml:space="preserve">Miles </v>
      </c>
      <c r="D21" s="174">
        <f t="shared" si="11"/>
        <v>2.5894966416693133</v>
      </c>
      <c r="E21" s="188">
        <f t="shared" si="11"/>
        <v>3.5389019040607117</v>
      </c>
      <c r="F21" s="189">
        <f t="shared" si="11"/>
        <v>4.6095050356076426</v>
      </c>
      <c r="G21" s="190">
        <f t="shared" si="11"/>
        <v>5.1250358130392399</v>
      </c>
      <c r="H21" s="191">
        <f t="shared" si="11"/>
        <v>6.3552932996354334</v>
      </c>
      <c r="I21" s="192">
        <f t="shared" si="11"/>
        <v>7.5641785446215577</v>
      </c>
      <c r="J21" s="193">
        <f t="shared" si="11"/>
        <v>9.5625555641379343</v>
      </c>
      <c r="K21" s="194">
        <f t="shared" si="11"/>
        <v>11.176121250469713</v>
      </c>
      <c r="L21" s="195">
        <f t="shared" si="11"/>
        <v>11.842535329157661</v>
      </c>
      <c r="M21" s="195">
        <f t="shared" si="11"/>
        <v>12.682337347970373</v>
      </c>
      <c r="N21" s="196">
        <f t="shared" si="11"/>
        <v>13.152668534727868</v>
      </c>
      <c r="O21" s="197">
        <f t="shared" si="11"/>
        <v>13.97541037650287</v>
      </c>
      <c r="P21" s="198">
        <f t="shared" si="11"/>
        <v>14.46210213730898</v>
      </c>
      <c r="Q21" s="199">
        <f t="shared" si="11"/>
        <v>15.29505925119393</v>
      </c>
      <c r="R21" s="200">
        <f t="shared" si="11"/>
        <v>20.259350576498036</v>
      </c>
      <c r="U21" s="882"/>
      <c r="V21" s="882"/>
    </row>
    <row r="22" spans="2:28" x14ac:dyDescent="0.2">
      <c r="B22" s="172">
        <f t="shared" si="12"/>
        <v>4</v>
      </c>
      <c r="C22" s="173" t="str">
        <f t="shared" si="13"/>
        <v xml:space="preserve">Miles </v>
      </c>
      <c r="D22" s="174">
        <f t="shared" si="11"/>
        <v>3.4526621888924174</v>
      </c>
      <c r="E22" s="188">
        <f t="shared" si="11"/>
        <v>4.718535872080948</v>
      </c>
      <c r="F22" s="189">
        <f t="shared" si="11"/>
        <v>6.1460067141435228</v>
      </c>
      <c r="G22" s="190">
        <f t="shared" si="11"/>
        <v>6.8333810840523199</v>
      </c>
      <c r="H22" s="191">
        <f t="shared" si="11"/>
        <v>8.4737243995139107</v>
      </c>
      <c r="I22" s="192">
        <f t="shared" si="11"/>
        <v>10.085571392828745</v>
      </c>
      <c r="J22" s="193">
        <f t="shared" si="11"/>
        <v>12.750074085517246</v>
      </c>
      <c r="K22" s="194">
        <f t="shared" si="11"/>
        <v>14.901495000626284</v>
      </c>
      <c r="L22" s="195">
        <f t="shared" si="11"/>
        <v>15.79004710554355</v>
      </c>
      <c r="M22" s="195">
        <f t="shared" si="11"/>
        <v>16.909783130627162</v>
      </c>
      <c r="N22" s="196">
        <f t="shared" si="11"/>
        <v>17.536891379637154</v>
      </c>
      <c r="O22" s="197">
        <f t="shared" si="11"/>
        <v>18.633880502003827</v>
      </c>
      <c r="P22" s="198">
        <f t="shared" si="11"/>
        <v>19.282802849745305</v>
      </c>
      <c r="Q22" s="199">
        <f t="shared" si="11"/>
        <v>20.393412334925241</v>
      </c>
      <c r="R22" s="200">
        <f t="shared" si="11"/>
        <v>27.012467435330716</v>
      </c>
      <c r="U22" s="882"/>
      <c r="V22" s="882"/>
      <c r="W22" s="885"/>
      <c r="X22" s="885"/>
      <c r="Y22" s="885"/>
      <c r="Z22" s="885"/>
      <c r="AA22" s="885"/>
    </row>
    <row r="23" spans="2:28" ht="13.5" thickBot="1" x14ac:dyDescent="0.25">
      <c r="B23" s="201">
        <f t="shared" si="12"/>
        <v>5</v>
      </c>
      <c r="C23" s="202" t="str">
        <f t="shared" si="13"/>
        <v xml:space="preserve">Miles </v>
      </c>
      <c r="D23" s="203">
        <f t="shared" si="11"/>
        <v>4.315827736115522</v>
      </c>
      <c r="E23" s="204">
        <f t="shared" si="11"/>
        <v>5.8981698401011853</v>
      </c>
      <c r="F23" s="205">
        <f t="shared" si="11"/>
        <v>7.682508392679404</v>
      </c>
      <c r="G23" s="206">
        <f t="shared" si="11"/>
        <v>8.5417263550653999</v>
      </c>
      <c r="H23" s="207">
        <f t="shared" si="11"/>
        <v>10.592155499392387</v>
      </c>
      <c r="I23" s="208">
        <f t="shared" si="11"/>
        <v>12.606964241035932</v>
      </c>
      <c r="J23" s="209">
        <f t="shared" si="11"/>
        <v>15.937592606896557</v>
      </c>
      <c r="K23" s="210">
        <f t="shared" si="11"/>
        <v>18.626868750782855</v>
      </c>
      <c r="L23" s="211">
        <f t="shared" si="11"/>
        <v>19.737558881929438</v>
      </c>
      <c r="M23" s="211">
        <f t="shared" si="11"/>
        <v>21.137228913283952</v>
      </c>
      <c r="N23" s="212">
        <f t="shared" si="11"/>
        <v>21.921114224546443</v>
      </c>
      <c r="O23" s="213">
        <f t="shared" si="11"/>
        <v>23.292350627504781</v>
      </c>
      <c r="P23" s="214">
        <f t="shared" si="11"/>
        <v>24.103503562181633</v>
      </c>
      <c r="Q23" s="199">
        <f t="shared" si="11"/>
        <v>25.491765418656552</v>
      </c>
      <c r="R23" s="215" t="s">
        <v>91</v>
      </c>
      <c r="U23" s="882"/>
      <c r="V23" s="882"/>
      <c r="W23" s="885"/>
      <c r="X23" s="885"/>
      <c r="Y23" s="885"/>
      <c r="Z23" s="885"/>
      <c r="AA23" s="885"/>
    </row>
    <row r="24" spans="2:28" x14ac:dyDescent="0.2">
      <c r="B24" s="216">
        <f t="shared" si="12"/>
        <v>6</v>
      </c>
      <c r="C24" s="217" t="str">
        <f t="shared" si="13"/>
        <v xml:space="preserve">Miles </v>
      </c>
      <c r="D24" s="218">
        <f t="shared" si="11"/>
        <v>5.1789932833386265</v>
      </c>
      <c r="E24" s="219">
        <f t="shared" si="11"/>
        <v>7.0778038081214234</v>
      </c>
      <c r="F24" s="220">
        <f t="shared" si="11"/>
        <v>9.2190100712152852</v>
      </c>
      <c r="G24" s="221">
        <f t="shared" si="11"/>
        <v>10.25007162607848</v>
      </c>
      <c r="H24" s="222">
        <f t="shared" si="11"/>
        <v>12.710586599270867</v>
      </c>
      <c r="I24" s="223">
        <f t="shared" si="11"/>
        <v>15.128357089243115</v>
      </c>
      <c r="J24" s="224">
        <f t="shared" si="11"/>
        <v>19.125111128275869</v>
      </c>
      <c r="K24" s="225">
        <f t="shared" si="11"/>
        <v>22.352242500939425</v>
      </c>
      <c r="L24" s="226">
        <f t="shared" si="11"/>
        <v>23.685070658315322</v>
      </c>
      <c r="M24" s="226">
        <f t="shared" si="11"/>
        <v>25.364674695940746</v>
      </c>
      <c r="N24" s="227">
        <f t="shared" si="11"/>
        <v>26.305337069455735</v>
      </c>
      <c r="O24" s="228">
        <f t="shared" si="11"/>
        <v>27.95082075300574</v>
      </c>
      <c r="P24" s="229" t="s">
        <v>91</v>
      </c>
      <c r="Q24" s="230" t="s">
        <v>91</v>
      </c>
      <c r="R24" s="231" t="s">
        <v>91</v>
      </c>
      <c r="U24" s="882"/>
      <c r="V24" s="882"/>
    </row>
    <row r="25" spans="2:28" x14ac:dyDescent="0.2">
      <c r="B25" s="172">
        <f t="shared" si="12"/>
        <v>7</v>
      </c>
      <c r="C25" s="173" t="str">
        <f t="shared" si="13"/>
        <v xml:space="preserve">Miles </v>
      </c>
      <c r="D25" s="232">
        <f t="shared" si="11"/>
        <v>6.0421588305617302</v>
      </c>
      <c r="E25" s="188">
        <f t="shared" si="11"/>
        <v>8.2574377761416589</v>
      </c>
      <c r="F25" s="189">
        <f t="shared" si="11"/>
        <v>10.755511749751165</v>
      </c>
      <c r="G25" s="190">
        <f t="shared" si="11"/>
        <v>11.95841689709156</v>
      </c>
      <c r="H25" s="191">
        <f t="shared" si="11"/>
        <v>14.829017699149343</v>
      </c>
      <c r="I25" s="192">
        <f t="shared" si="11"/>
        <v>17.649749937450302</v>
      </c>
      <c r="J25" s="193">
        <f t="shared" si="11"/>
        <v>22.312629649655179</v>
      </c>
      <c r="K25" s="194">
        <f t="shared" si="11"/>
        <v>26.077616251095993</v>
      </c>
      <c r="L25" s="195">
        <f t="shared" si="11"/>
        <v>27.632582434701213</v>
      </c>
      <c r="M25" s="195">
        <f t="shared" si="11"/>
        <v>29.592120478597536</v>
      </c>
      <c r="N25" s="196">
        <f t="shared" si="11"/>
        <v>30.689559914365024</v>
      </c>
      <c r="O25" s="197" t="s">
        <v>91</v>
      </c>
      <c r="P25" s="198" t="s">
        <v>91</v>
      </c>
      <c r="Q25" s="233" t="s">
        <v>91</v>
      </c>
      <c r="R25" s="200" t="s">
        <v>91</v>
      </c>
      <c r="U25" s="882"/>
      <c r="V25" s="882"/>
    </row>
    <row r="26" spans="2:28" ht="13.5" thickBot="1" x14ac:dyDescent="0.25">
      <c r="B26" s="172">
        <f t="shared" si="12"/>
        <v>8</v>
      </c>
      <c r="C26" s="173" t="str">
        <f t="shared" si="13"/>
        <v xml:space="preserve">Miles </v>
      </c>
      <c r="D26" s="232">
        <f t="shared" si="11"/>
        <v>6.9053243777848348</v>
      </c>
      <c r="E26" s="188">
        <f t="shared" si="11"/>
        <v>9.4370717441618961</v>
      </c>
      <c r="F26" s="189">
        <f t="shared" si="11"/>
        <v>12.292013428287046</v>
      </c>
      <c r="G26" s="190">
        <f t="shared" si="11"/>
        <v>13.66676216810464</v>
      </c>
      <c r="H26" s="191">
        <f t="shared" si="11"/>
        <v>16.947448799027821</v>
      </c>
      <c r="I26" s="192">
        <f t="shared" si="11"/>
        <v>20.171142785657491</v>
      </c>
      <c r="J26" s="193">
        <f t="shared" si="11"/>
        <v>25.500148171034493</v>
      </c>
      <c r="K26" s="194">
        <f t="shared" si="11"/>
        <v>29.802990001252567</v>
      </c>
      <c r="L26" s="195">
        <f t="shared" si="11"/>
        <v>31.580094211087101</v>
      </c>
      <c r="M26" s="234">
        <f t="shared" si="11"/>
        <v>33.819566261254323</v>
      </c>
      <c r="N26" s="235" t="s">
        <v>91</v>
      </c>
      <c r="O26" s="236" t="s">
        <v>91</v>
      </c>
      <c r="P26" s="237" t="s">
        <v>91</v>
      </c>
      <c r="Q26" s="238" t="s">
        <v>91</v>
      </c>
      <c r="R26" s="239" t="s">
        <v>91</v>
      </c>
      <c r="U26" s="882"/>
      <c r="V26" s="882"/>
      <c r="Y26" s="885"/>
    </row>
    <row r="27" spans="2:28" ht="14.25" thickTop="1" thickBot="1" x14ac:dyDescent="0.25">
      <c r="B27" s="172">
        <f t="shared" si="12"/>
        <v>9</v>
      </c>
      <c r="C27" s="173" t="str">
        <f t="shared" si="13"/>
        <v xml:space="preserve">Miles </v>
      </c>
      <c r="D27" s="232">
        <f t="shared" si="11"/>
        <v>7.7684899250079393</v>
      </c>
      <c r="E27" s="188">
        <f t="shared" si="11"/>
        <v>10.616705712182135</v>
      </c>
      <c r="F27" s="189">
        <f t="shared" si="11"/>
        <v>13.828515106822927</v>
      </c>
      <c r="G27" s="190">
        <f t="shared" si="11"/>
        <v>15.37510743911772</v>
      </c>
      <c r="H27" s="191">
        <f t="shared" si="11"/>
        <v>19.065879898906299</v>
      </c>
      <c r="I27" s="192">
        <f t="shared" si="11"/>
        <v>22.692535633864676</v>
      </c>
      <c r="J27" s="193">
        <f t="shared" si="11"/>
        <v>28.687666692413803</v>
      </c>
      <c r="K27" s="194">
        <f t="shared" si="11"/>
        <v>33.528363751409138</v>
      </c>
      <c r="L27" s="196">
        <f t="shared" si="11"/>
        <v>35.527605987472988</v>
      </c>
      <c r="M27" s="978" t="s">
        <v>92</v>
      </c>
      <c r="N27" s="979"/>
      <c r="O27" s="979"/>
      <c r="P27" s="979"/>
      <c r="Q27" s="979"/>
      <c r="R27" s="240"/>
      <c r="U27" s="882"/>
      <c r="V27" s="882"/>
      <c r="Y27" s="885"/>
    </row>
    <row r="28" spans="2:28" ht="14.25" thickTop="1" thickBot="1" x14ac:dyDescent="0.25">
      <c r="B28" s="201">
        <f t="shared" si="12"/>
        <v>10</v>
      </c>
      <c r="C28" s="202" t="str">
        <f t="shared" si="13"/>
        <v xml:space="preserve">Miles </v>
      </c>
      <c r="D28" s="241">
        <f t="shared" si="11"/>
        <v>8.6316554722310439</v>
      </c>
      <c r="E28" s="204">
        <f t="shared" si="11"/>
        <v>11.796339680202371</v>
      </c>
      <c r="F28" s="205">
        <f t="shared" si="11"/>
        <v>15.365016785358808</v>
      </c>
      <c r="G28" s="206">
        <f t="shared" si="11"/>
        <v>17.0834527101308</v>
      </c>
      <c r="H28" s="207">
        <f t="shared" si="11"/>
        <v>21.184310998784774</v>
      </c>
      <c r="I28" s="208">
        <f t="shared" si="11"/>
        <v>25.213928482071864</v>
      </c>
      <c r="J28" s="209">
        <f t="shared" si="11"/>
        <v>31.875185213793113</v>
      </c>
      <c r="K28" s="210">
        <f t="shared" si="11"/>
        <v>37.253737501565709</v>
      </c>
      <c r="L28" s="242">
        <f t="shared" si="11"/>
        <v>39.475117763858876</v>
      </c>
      <c r="M28" s="243" t="s">
        <v>93</v>
      </c>
      <c r="N28" s="244"/>
      <c r="O28" s="244" t="s">
        <v>94</v>
      </c>
      <c r="P28" s="244"/>
      <c r="Q28" s="244"/>
      <c r="R28" s="245" t="s">
        <v>95</v>
      </c>
      <c r="U28" s="882"/>
      <c r="V28" s="882"/>
      <c r="W28" s="886"/>
      <c r="X28" s="247" t="s">
        <v>96</v>
      </c>
      <c r="Y28" s="247"/>
      <c r="Z28" s="247"/>
      <c r="AA28" s="885"/>
    </row>
    <row r="29" spans="2:28" ht="13.5" thickBot="1" x14ac:dyDescent="0.25">
      <c r="B29" s="216">
        <f t="shared" si="12"/>
        <v>11</v>
      </c>
      <c r="C29" s="217" t="str">
        <f t="shared" si="13"/>
        <v xml:space="preserve">Miles </v>
      </c>
      <c r="D29" s="218">
        <f t="shared" si="11"/>
        <v>9.4948210194541467</v>
      </c>
      <c r="E29" s="219">
        <f t="shared" si="11"/>
        <v>12.975973648222608</v>
      </c>
      <c r="F29" s="220">
        <f t="shared" si="11"/>
        <v>16.901518463894689</v>
      </c>
      <c r="G29" s="221">
        <f t="shared" si="11"/>
        <v>18.79179798114388</v>
      </c>
      <c r="H29" s="222">
        <f t="shared" si="11"/>
        <v>23.302742098663256</v>
      </c>
      <c r="I29" s="223">
        <f t="shared" si="11"/>
        <v>27.735321330279049</v>
      </c>
      <c r="J29" s="224">
        <f t="shared" si="11"/>
        <v>35.062703735172427</v>
      </c>
      <c r="K29" s="225">
        <f t="shared" si="11"/>
        <v>40.97911125172228</v>
      </c>
      <c r="L29" s="248" t="s">
        <v>91</v>
      </c>
      <c r="M29" s="249" t="s">
        <v>97</v>
      </c>
      <c r="N29" s="250"/>
      <c r="O29" s="250" t="s">
        <v>98</v>
      </c>
      <c r="P29" s="250"/>
      <c r="Q29" s="250"/>
      <c r="R29" s="251">
        <v>1</v>
      </c>
      <c r="U29" s="882"/>
      <c r="V29" s="882"/>
      <c r="W29" s="252" t="s">
        <v>99</v>
      </c>
      <c r="X29" s="253" t="s">
        <v>99</v>
      </c>
      <c r="Y29" s="253" t="s">
        <v>57</v>
      </c>
      <c r="Z29" s="254" t="s">
        <v>99</v>
      </c>
      <c r="AA29" s="885"/>
    </row>
    <row r="30" spans="2:28" ht="13.5" thickBot="1" x14ac:dyDescent="0.25">
      <c r="B30" s="172">
        <f t="shared" si="12"/>
        <v>12</v>
      </c>
      <c r="C30" s="173" t="str">
        <f t="shared" si="13"/>
        <v xml:space="preserve">Miles </v>
      </c>
      <c r="D30" s="232">
        <f t="shared" si="11"/>
        <v>10.357986566677253</v>
      </c>
      <c r="E30" s="188">
        <f t="shared" si="11"/>
        <v>14.155607616242847</v>
      </c>
      <c r="F30" s="189">
        <f t="shared" si="11"/>
        <v>18.43802014243057</v>
      </c>
      <c r="G30" s="190">
        <f t="shared" si="11"/>
        <v>20.50014325215696</v>
      </c>
      <c r="H30" s="191">
        <f t="shared" si="11"/>
        <v>25.421173198541734</v>
      </c>
      <c r="I30" s="192">
        <f t="shared" si="11"/>
        <v>30.256714178486231</v>
      </c>
      <c r="J30" s="193">
        <f t="shared" si="11"/>
        <v>38.250222256551737</v>
      </c>
      <c r="K30" s="194">
        <f t="shared" si="11"/>
        <v>44.704485001878851</v>
      </c>
      <c r="L30" s="255" t="s">
        <v>91</v>
      </c>
      <c r="M30" s="256" t="s">
        <v>100</v>
      </c>
      <c r="N30" s="257" t="str">
        <f>IF($D$16,"KM","Miles")</f>
        <v>Miles</v>
      </c>
      <c r="O30" s="257" t="s">
        <v>101</v>
      </c>
      <c r="P30" s="258" t="s">
        <v>102</v>
      </c>
      <c r="Q30" s="259" t="s">
        <v>103</v>
      </c>
      <c r="R30" s="260" t="s">
        <v>104</v>
      </c>
      <c r="U30" s="882"/>
      <c r="V30" s="882"/>
      <c r="W30" s="261" t="s">
        <v>57</v>
      </c>
      <c r="X30" s="882" t="s">
        <v>101</v>
      </c>
      <c r="Y30" s="882" t="s">
        <v>101</v>
      </c>
      <c r="Z30" s="262" t="s">
        <v>105</v>
      </c>
      <c r="AA30" s="263"/>
    </row>
    <row r="31" spans="2:28" x14ac:dyDescent="0.2">
      <c r="B31" s="172">
        <f t="shared" si="12"/>
        <v>13</v>
      </c>
      <c r="C31" s="173" t="str">
        <f t="shared" si="13"/>
        <v xml:space="preserve">Miles </v>
      </c>
      <c r="D31" s="232">
        <f t="shared" si="11"/>
        <v>11.221152113900356</v>
      </c>
      <c r="E31" s="188">
        <f t="shared" si="11"/>
        <v>15.335241584263084</v>
      </c>
      <c r="F31" s="189">
        <f t="shared" si="11"/>
        <v>19.974521820966451</v>
      </c>
      <c r="G31" s="190">
        <f t="shared" si="11"/>
        <v>22.20848852317004</v>
      </c>
      <c r="H31" s="191">
        <f t="shared" si="11"/>
        <v>27.539604298420212</v>
      </c>
      <c r="I31" s="192">
        <f t="shared" si="11"/>
        <v>32.778107026693419</v>
      </c>
      <c r="J31" s="193">
        <f t="shared" si="11"/>
        <v>41.437740777931047</v>
      </c>
      <c r="K31" s="194">
        <f t="shared" si="11"/>
        <v>48.429858752035429</v>
      </c>
      <c r="L31" s="255" t="s">
        <v>91</v>
      </c>
      <c r="M31" s="264">
        <v>4.1666666666666664E-2</v>
      </c>
      <c r="N31" s="265">
        <v>8</v>
      </c>
      <c r="O31" s="266">
        <v>0.3125</v>
      </c>
      <c r="P31" s="267">
        <v>125</v>
      </c>
      <c r="Q31" s="268">
        <f t="shared" ref="Q31:Q40" si="14">IF($R$29=1,IF(ISNA(W31),"too slow",W31),IF($R$29=2,IF(ISNA(X31),"too slow",X31),IF($R$29=3,IF(ISNA(Y31),"too slow",Y31),Z31)))</f>
        <v>0.13500000000000001</v>
      </c>
      <c r="R31" s="269">
        <f t="shared" ref="R31:R40" si="15">IF(Q31="Too Slow","",IF($R$29=3,O31*N31*24*Q31,M31*1440*Q31))</f>
        <v>8.1000000000000014</v>
      </c>
      <c r="T31" s="458"/>
      <c r="U31" s="882"/>
      <c r="V31" s="882"/>
      <c r="W31" s="270">
        <f>IF(M31*N31,LOOKUP(((0.182258*(1/((M31/N31)*1440)*IF($D$16,1000,1609.344))+(0.000104*(1/((M31/N31)*1440)*IF($D$16,1000,1609.344))^2)-4.6)/$I$6),$Z$135:$Z$214,$AB$135:$AB$214),0)</f>
        <v>0.13500000000000001</v>
      </c>
      <c r="X31" s="270">
        <f t="shared" ref="X31:X40" si="16">IF(M31*O31,LOOKUP(((0.182258*(1/(O31*24)*IF($D$16,1000,1609.344))+(0.000104*(1/(O31*24)*IF($D$16,1000,1609.344))^2)-4.6)/$I$6),$Z$135:$Z$214,$AB$135:$AB$214),0)</f>
        <v>0.13500000000000001</v>
      </c>
      <c r="Y31" s="270">
        <f t="shared" ref="Y31:Y40" si="17">IF(N31*O31,LOOKUP(((0.182258*(1/(O31*24)*IF($D$16,1000,1609.344))+(0.000104*(1/(O31*24)*IF($D$16,1000,1609.344))^2)-4.6)/$I$6),$Z$135:$Z$214,$AB$135:$AB$214),0)</f>
        <v>0.13500000000000001</v>
      </c>
      <c r="Z31" s="270">
        <f>IF(M31*P31,LOOKUP(MAX(P31/$E$3,0.56),$AA$135:$AA$214,$AB$135:$AB$214),0)</f>
        <v>0.1</v>
      </c>
      <c r="AA31" s="271"/>
      <c r="AB31" s="781"/>
    </row>
    <row r="32" spans="2:28" x14ac:dyDescent="0.2">
      <c r="B32" s="172">
        <f t="shared" si="12"/>
        <v>14</v>
      </c>
      <c r="C32" s="173" t="str">
        <f t="shared" si="13"/>
        <v xml:space="preserve">Miles </v>
      </c>
      <c r="D32" s="232">
        <f t="shared" si="11"/>
        <v>12.08431766112346</v>
      </c>
      <c r="E32" s="188">
        <f t="shared" si="11"/>
        <v>16.514875552283318</v>
      </c>
      <c r="F32" s="189">
        <f t="shared" si="11"/>
        <v>21.511023499502329</v>
      </c>
      <c r="G32" s="190">
        <f t="shared" si="11"/>
        <v>23.91683379418312</v>
      </c>
      <c r="H32" s="191">
        <f t="shared" si="11"/>
        <v>29.658035398298686</v>
      </c>
      <c r="I32" s="192">
        <f t="shared" si="11"/>
        <v>35.299499874900604</v>
      </c>
      <c r="J32" s="193">
        <f t="shared" si="11"/>
        <v>44.625259299310358</v>
      </c>
      <c r="K32" s="194" t="s">
        <v>91</v>
      </c>
      <c r="L32" s="255" t="s">
        <v>91</v>
      </c>
      <c r="M32" s="272">
        <v>5.2083333333333336E-2</v>
      </c>
      <c r="N32" s="273">
        <v>10</v>
      </c>
      <c r="O32" s="274">
        <v>0.28125</v>
      </c>
      <c r="P32" s="275">
        <v>126</v>
      </c>
      <c r="Q32" s="276">
        <f t="shared" si="14"/>
        <v>0.13500000000000001</v>
      </c>
      <c r="R32" s="277">
        <f t="shared" si="15"/>
        <v>10.125</v>
      </c>
      <c r="U32" s="882"/>
      <c r="V32" s="882"/>
      <c r="W32" s="278">
        <f t="shared" ref="W32:W40" si="18">IF(M32*N32,LOOKUP(((0.182258*(1/((M32/N32)*1440)*IF($D$16,1000,1609.344))+(0.000104*(1/((M32/N32)*1440)*IF($D$16,1000,1609.344))^2)-4.6)/$I$6),$Z$135:$Z$214,$AB$135:$AB$214),0)</f>
        <v>0.13500000000000001</v>
      </c>
      <c r="X32" s="278">
        <f t="shared" si="16"/>
        <v>0.28299999999999997</v>
      </c>
      <c r="Y32" s="278">
        <f t="shared" si="17"/>
        <v>0.28299999999999997</v>
      </c>
      <c r="Z32" s="278">
        <f t="shared" ref="Z32:Z40" si="19">IF(M32*P32,LOOKUP(MAX(ROUND(P32/$E$3,2),0.65),$AA$135:$AA$214,$AB$135:$AB$214),0)</f>
        <v>0.1</v>
      </c>
      <c r="AB32" s="781"/>
    </row>
    <row r="33" spans="2:28" ht="13.5" thickBot="1" x14ac:dyDescent="0.25">
      <c r="B33" s="201">
        <f t="shared" si="12"/>
        <v>15</v>
      </c>
      <c r="C33" s="202" t="str">
        <f t="shared" si="13"/>
        <v xml:space="preserve">Miles </v>
      </c>
      <c r="D33" s="241">
        <f t="shared" si="11"/>
        <v>12.947483208346565</v>
      </c>
      <c r="E33" s="204">
        <f t="shared" si="11"/>
        <v>17.694509520303555</v>
      </c>
      <c r="F33" s="205">
        <f t="shared" si="11"/>
        <v>23.04752517803821</v>
      </c>
      <c r="G33" s="206">
        <f t="shared" si="11"/>
        <v>25.6251790651962</v>
      </c>
      <c r="H33" s="207">
        <f t="shared" si="11"/>
        <v>31.776466498177165</v>
      </c>
      <c r="I33" s="208">
        <f t="shared" si="11"/>
        <v>37.820892723107796</v>
      </c>
      <c r="J33" s="209">
        <f t="shared" si="11"/>
        <v>47.812777820689668</v>
      </c>
      <c r="K33" s="210" t="s">
        <v>91</v>
      </c>
      <c r="L33" s="242" t="s">
        <v>91</v>
      </c>
      <c r="M33" s="272">
        <v>4.1666666666666664E-2</v>
      </c>
      <c r="N33" s="273">
        <v>8</v>
      </c>
      <c r="O33" s="274">
        <v>0.3125</v>
      </c>
      <c r="P33" s="275">
        <v>127</v>
      </c>
      <c r="Q33" s="276">
        <f t="shared" si="14"/>
        <v>0.13500000000000001</v>
      </c>
      <c r="R33" s="277">
        <f t="shared" si="15"/>
        <v>8.1000000000000014</v>
      </c>
      <c r="U33" s="882"/>
      <c r="V33" s="882"/>
      <c r="W33" s="278">
        <f t="shared" si="18"/>
        <v>0.13500000000000001</v>
      </c>
      <c r="X33" s="278">
        <f t="shared" si="16"/>
        <v>0.13500000000000001</v>
      </c>
      <c r="Y33" s="278">
        <f t="shared" si="17"/>
        <v>0.13500000000000001</v>
      </c>
      <c r="Z33" s="278">
        <f t="shared" si="19"/>
        <v>0.1</v>
      </c>
      <c r="AB33" s="781"/>
    </row>
    <row r="34" spans="2:28" x14ac:dyDescent="0.2">
      <c r="B34" s="216">
        <f t="shared" si="12"/>
        <v>16</v>
      </c>
      <c r="C34" s="217" t="str">
        <f t="shared" si="13"/>
        <v xml:space="preserve">Miles </v>
      </c>
      <c r="D34" s="218">
        <f t="shared" si="11"/>
        <v>13.81064875556967</v>
      </c>
      <c r="E34" s="219">
        <f t="shared" si="11"/>
        <v>18.874143488323792</v>
      </c>
      <c r="F34" s="220">
        <f t="shared" si="11"/>
        <v>24.584026856574091</v>
      </c>
      <c r="G34" s="221">
        <f t="shared" si="11"/>
        <v>27.33352433620928</v>
      </c>
      <c r="H34" s="222">
        <f t="shared" si="11"/>
        <v>33.894897598055643</v>
      </c>
      <c r="I34" s="223">
        <f t="shared" si="11"/>
        <v>40.342285571314981</v>
      </c>
      <c r="J34" s="224">
        <f t="shared" si="11"/>
        <v>51.000296342068985</v>
      </c>
      <c r="K34" s="225" t="s">
        <v>91</v>
      </c>
      <c r="L34" s="279" t="s">
        <v>91</v>
      </c>
      <c r="M34" s="272">
        <v>3.9583333333333331E-2</v>
      </c>
      <c r="N34" s="273">
        <v>10</v>
      </c>
      <c r="O34" s="274">
        <v>0.27083333333333331</v>
      </c>
      <c r="P34" s="275">
        <v>128</v>
      </c>
      <c r="Q34" s="276">
        <f t="shared" si="14"/>
        <v>0.65</v>
      </c>
      <c r="R34" s="277">
        <f t="shared" si="15"/>
        <v>37.050000000000004</v>
      </c>
      <c r="V34" s="280"/>
      <c r="W34" s="278">
        <f t="shared" si="18"/>
        <v>0.65</v>
      </c>
      <c r="X34" s="278">
        <f t="shared" si="16"/>
        <v>0.33300000000000002</v>
      </c>
      <c r="Y34" s="278">
        <f t="shared" si="17"/>
        <v>0.33300000000000002</v>
      </c>
      <c r="Z34" s="278">
        <f t="shared" si="19"/>
        <v>0.1</v>
      </c>
      <c r="AB34" s="781"/>
    </row>
    <row r="35" spans="2:28" x14ac:dyDescent="0.2">
      <c r="B35" s="172">
        <f t="shared" si="12"/>
        <v>17</v>
      </c>
      <c r="C35" s="173" t="str">
        <f t="shared" si="13"/>
        <v xml:space="preserve">Miles </v>
      </c>
      <c r="D35" s="232">
        <f t="shared" si="11"/>
        <v>14.673814302792774</v>
      </c>
      <c r="E35" s="188">
        <f t="shared" si="11"/>
        <v>20.053777456344033</v>
      </c>
      <c r="F35" s="189">
        <f t="shared" si="11"/>
        <v>26.120528535109973</v>
      </c>
      <c r="G35" s="190">
        <f t="shared" si="11"/>
        <v>29.04186960722236</v>
      </c>
      <c r="H35" s="191">
        <f t="shared" si="11"/>
        <v>36.013328697934121</v>
      </c>
      <c r="I35" s="192">
        <f t="shared" si="11"/>
        <v>42.863678419522167</v>
      </c>
      <c r="J35" s="193">
        <f t="shared" si="11"/>
        <v>54.187814863448295</v>
      </c>
      <c r="K35" s="194" t="s">
        <v>91</v>
      </c>
      <c r="L35" s="255" t="s">
        <v>91</v>
      </c>
      <c r="M35" s="272">
        <v>5.2083333333333336E-2</v>
      </c>
      <c r="N35" s="273">
        <v>10</v>
      </c>
      <c r="O35" s="274">
        <v>0.3125</v>
      </c>
      <c r="P35" s="275">
        <v>129</v>
      </c>
      <c r="Q35" s="276">
        <f t="shared" si="14"/>
        <v>0.13500000000000001</v>
      </c>
      <c r="R35" s="277">
        <f t="shared" si="15"/>
        <v>10.125</v>
      </c>
      <c r="V35" s="280"/>
      <c r="W35" s="278">
        <f t="shared" si="18"/>
        <v>0.13500000000000001</v>
      </c>
      <c r="X35" s="278">
        <f t="shared" si="16"/>
        <v>0.13500000000000001</v>
      </c>
      <c r="Y35" s="278">
        <f t="shared" si="17"/>
        <v>0.13500000000000001</v>
      </c>
      <c r="Z35" s="278">
        <f t="shared" si="19"/>
        <v>0.1</v>
      </c>
      <c r="AB35" s="781"/>
    </row>
    <row r="36" spans="2:28" x14ac:dyDescent="0.2">
      <c r="B36" s="172">
        <f t="shared" si="12"/>
        <v>18</v>
      </c>
      <c r="C36" s="173" t="str">
        <f t="shared" si="13"/>
        <v xml:space="preserve">Miles </v>
      </c>
      <c r="D36" s="232">
        <f t="shared" si="11"/>
        <v>15.536979850015879</v>
      </c>
      <c r="E36" s="188">
        <f t="shared" si="11"/>
        <v>21.23341142436427</v>
      </c>
      <c r="F36" s="189">
        <f t="shared" si="11"/>
        <v>27.657030213645854</v>
      </c>
      <c r="G36" s="190">
        <f t="shared" si="11"/>
        <v>30.75021487823544</v>
      </c>
      <c r="H36" s="191">
        <f t="shared" si="11"/>
        <v>38.131759797812599</v>
      </c>
      <c r="I36" s="192">
        <f t="shared" si="11"/>
        <v>45.385071267729352</v>
      </c>
      <c r="J36" s="193">
        <f t="shared" si="11"/>
        <v>57.375333384827606</v>
      </c>
      <c r="K36" s="194" t="s">
        <v>91</v>
      </c>
      <c r="L36" s="255" t="s">
        <v>91</v>
      </c>
      <c r="M36" s="272">
        <v>4.1666666666666664E-2</v>
      </c>
      <c r="N36" s="273">
        <v>8</v>
      </c>
      <c r="O36" s="274">
        <v>0.30208333333333331</v>
      </c>
      <c r="P36" s="275">
        <v>130</v>
      </c>
      <c r="Q36" s="276">
        <f t="shared" si="14"/>
        <v>0.13500000000000001</v>
      </c>
      <c r="R36" s="277">
        <f t="shared" si="15"/>
        <v>8.1000000000000014</v>
      </c>
      <c r="V36" s="280"/>
      <c r="W36" s="278">
        <f t="shared" si="18"/>
        <v>0.13500000000000001</v>
      </c>
      <c r="X36" s="278">
        <f t="shared" si="16"/>
        <v>0.183</v>
      </c>
      <c r="Y36" s="278">
        <f t="shared" si="17"/>
        <v>0.183</v>
      </c>
      <c r="Z36" s="278">
        <f t="shared" si="19"/>
        <v>0.1</v>
      </c>
      <c r="AB36" s="781"/>
    </row>
    <row r="37" spans="2:28" x14ac:dyDescent="0.2">
      <c r="B37" s="172">
        <f t="shared" si="12"/>
        <v>19</v>
      </c>
      <c r="C37" s="173" t="str">
        <f t="shared" si="13"/>
        <v xml:space="preserve">Miles </v>
      </c>
      <c r="D37" s="232">
        <f t="shared" si="11"/>
        <v>16.40014539723898</v>
      </c>
      <c r="E37" s="188">
        <f t="shared" si="11"/>
        <v>22.413045392384504</v>
      </c>
      <c r="F37" s="189">
        <f t="shared" si="11"/>
        <v>29.193531892181735</v>
      </c>
      <c r="G37" s="190">
        <f t="shared" si="11"/>
        <v>32.45856014924852</v>
      </c>
      <c r="H37" s="191">
        <f t="shared" si="11"/>
        <v>40.25019089769107</v>
      </c>
      <c r="I37" s="192">
        <f t="shared" si="11"/>
        <v>47.906464115936537</v>
      </c>
      <c r="J37" s="193">
        <f t="shared" si="11"/>
        <v>60.562851906206916</v>
      </c>
      <c r="K37" s="194" t="s">
        <v>91</v>
      </c>
      <c r="L37" s="255" t="s">
        <v>91</v>
      </c>
      <c r="M37" s="272">
        <v>5.7013888888888892E-2</v>
      </c>
      <c r="N37" s="273">
        <v>14</v>
      </c>
      <c r="O37" s="274">
        <v>0.33333333333333331</v>
      </c>
      <c r="P37" s="275"/>
      <c r="Q37" s="276">
        <f t="shared" si="14"/>
        <v>0.58299999999999996</v>
      </c>
      <c r="R37" s="277">
        <f t="shared" si="15"/>
        <v>47.8643</v>
      </c>
      <c r="V37" s="280"/>
      <c r="W37" s="278">
        <f t="shared" si="18"/>
        <v>0.58299999999999996</v>
      </c>
      <c r="X37" s="278">
        <f t="shared" si="16"/>
        <v>0.1</v>
      </c>
      <c r="Y37" s="278">
        <f t="shared" si="17"/>
        <v>0.1</v>
      </c>
      <c r="Z37" s="278">
        <f t="shared" si="19"/>
        <v>0</v>
      </c>
      <c r="AB37" s="781"/>
    </row>
    <row r="38" spans="2:28" ht="13.5" thickBot="1" x14ac:dyDescent="0.25">
      <c r="B38" s="201">
        <f t="shared" si="12"/>
        <v>20</v>
      </c>
      <c r="C38" s="202" t="str">
        <f t="shared" si="13"/>
        <v xml:space="preserve">Miles </v>
      </c>
      <c r="D38" s="241">
        <f t="shared" si="11"/>
        <v>17.263310944462088</v>
      </c>
      <c r="E38" s="204">
        <f t="shared" si="11"/>
        <v>23.592679360404741</v>
      </c>
      <c r="F38" s="205">
        <f t="shared" si="11"/>
        <v>30.730033570717616</v>
      </c>
      <c r="G38" s="206">
        <f t="shared" si="11"/>
        <v>34.1669054202616</v>
      </c>
      <c r="H38" s="207">
        <f t="shared" si="11"/>
        <v>42.368621997569548</v>
      </c>
      <c r="I38" s="208">
        <f t="shared" si="11"/>
        <v>50.427856964143729</v>
      </c>
      <c r="J38" s="209">
        <f t="shared" si="11"/>
        <v>63.750370427586226</v>
      </c>
      <c r="K38" s="210" t="s">
        <v>91</v>
      </c>
      <c r="L38" s="242" t="s">
        <v>91</v>
      </c>
      <c r="M38" s="272">
        <v>3.125E-2</v>
      </c>
      <c r="N38" s="273">
        <v>6</v>
      </c>
      <c r="O38" s="274"/>
      <c r="P38" s="275"/>
      <c r="Q38" s="276">
        <f t="shared" si="14"/>
        <v>0.13500000000000001</v>
      </c>
      <c r="R38" s="277">
        <f t="shared" si="15"/>
        <v>6.0750000000000002</v>
      </c>
      <c r="V38" s="280"/>
      <c r="W38" s="278">
        <f t="shared" si="18"/>
        <v>0.13500000000000001</v>
      </c>
      <c r="X38" s="278">
        <f t="shared" si="16"/>
        <v>0</v>
      </c>
      <c r="Y38" s="278">
        <f t="shared" si="17"/>
        <v>0</v>
      </c>
      <c r="Z38" s="278">
        <f t="shared" si="19"/>
        <v>0</v>
      </c>
    </row>
    <row r="39" spans="2:28" x14ac:dyDescent="0.2">
      <c r="B39" s="216">
        <f t="shared" si="12"/>
        <v>21</v>
      </c>
      <c r="C39" s="217" t="str">
        <f t="shared" si="13"/>
        <v xml:space="preserve">Miles </v>
      </c>
      <c r="D39" s="218">
        <f t="shared" si="11"/>
        <v>18.126476491685192</v>
      </c>
      <c r="E39" s="219">
        <f t="shared" si="11"/>
        <v>24.772313328424978</v>
      </c>
      <c r="F39" s="220">
        <f t="shared" si="11"/>
        <v>32.266535249253501</v>
      </c>
      <c r="G39" s="221">
        <f t="shared" si="11"/>
        <v>35.87525069127468</v>
      </c>
      <c r="H39" s="222">
        <f t="shared" si="11"/>
        <v>44.487053097448033</v>
      </c>
      <c r="I39" s="223">
        <f t="shared" si="11"/>
        <v>52.949249812350907</v>
      </c>
      <c r="J39" s="224">
        <f t="shared" si="11"/>
        <v>66.937888948965536</v>
      </c>
      <c r="K39" s="225" t="s">
        <v>91</v>
      </c>
      <c r="L39" s="279" t="s">
        <v>91</v>
      </c>
      <c r="M39" s="281">
        <v>3.6111111111111115E-2</v>
      </c>
      <c r="N39" s="282">
        <v>7</v>
      </c>
      <c r="O39" s="283"/>
      <c r="P39" s="284"/>
      <c r="Q39" s="285">
        <f t="shared" si="14"/>
        <v>0.15</v>
      </c>
      <c r="R39" s="286">
        <f t="shared" si="15"/>
        <v>7.8000000000000007</v>
      </c>
      <c r="V39" s="280"/>
      <c r="W39" s="278">
        <f t="shared" si="18"/>
        <v>0.15</v>
      </c>
      <c r="X39" s="278">
        <f t="shared" si="16"/>
        <v>0</v>
      </c>
      <c r="Y39" s="278">
        <f t="shared" si="17"/>
        <v>0</v>
      </c>
      <c r="Z39" s="278">
        <f t="shared" si="19"/>
        <v>0</v>
      </c>
    </row>
    <row r="40" spans="2:28" ht="13.5" thickBot="1" x14ac:dyDescent="0.25">
      <c r="B40" s="172">
        <f t="shared" si="12"/>
        <v>22</v>
      </c>
      <c r="C40" s="173" t="str">
        <f t="shared" si="13"/>
        <v xml:space="preserve">Miles </v>
      </c>
      <c r="D40" s="232">
        <f t="shared" si="11"/>
        <v>18.989642038908293</v>
      </c>
      <c r="E40" s="188">
        <f t="shared" si="11"/>
        <v>25.951947296445216</v>
      </c>
      <c r="F40" s="189">
        <f t="shared" si="11"/>
        <v>33.803036927789378</v>
      </c>
      <c r="G40" s="190">
        <f t="shared" si="11"/>
        <v>37.58359596228776</v>
      </c>
      <c r="H40" s="191">
        <f t="shared" si="11"/>
        <v>46.605484197326511</v>
      </c>
      <c r="I40" s="192">
        <f t="shared" si="11"/>
        <v>55.470642660558099</v>
      </c>
      <c r="J40" s="193">
        <f t="shared" si="11"/>
        <v>70.125407470344854</v>
      </c>
      <c r="K40" s="194" t="s">
        <v>91</v>
      </c>
      <c r="L40" s="255" t="s">
        <v>91</v>
      </c>
      <c r="M40" s="287"/>
      <c r="N40" s="288"/>
      <c r="O40" s="289"/>
      <c r="P40" s="290"/>
      <c r="Q40" s="285">
        <f t="shared" si="14"/>
        <v>0</v>
      </c>
      <c r="R40" s="286">
        <f t="shared" si="15"/>
        <v>0</v>
      </c>
      <c r="V40" s="280"/>
      <c r="W40" s="291">
        <f t="shared" si="18"/>
        <v>0</v>
      </c>
      <c r="X40" s="291">
        <f t="shared" si="16"/>
        <v>0</v>
      </c>
      <c r="Y40" s="291">
        <f t="shared" si="17"/>
        <v>0</v>
      </c>
      <c r="Z40" s="291">
        <f t="shared" si="19"/>
        <v>0</v>
      </c>
    </row>
    <row r="41" spans="2:28" ht="13.5" thickBot="1" x14ac:dyDescent="0.25">
      <c r="B41" s="172">
        <f t="shared" si="12"/>
        <v>23</v>
      </c>
      <c r="C41" s="173" t="str">
        <f t="shared" si="13"/>
        <v xml:space="preserve">Miles </v>
      </c>
      <c r="D41" s="232">
        <f t="shared" si="11"/>
        <v>19.852807586131398</v>
      </c>
      <c r="E41" s="188">
        <f t="shared" si="11"/>
        <v>27.131581264465456</v>
      </c>
      <c r="F41" s="189">
        <f t="shared" si="11"/>
        <v>35.339538606325256</v>
      </c>
      <c r="G41" s="190">
        <f t="shared" si="11"/>
        <v>39.29194123330084</v>
      </c>
      <c r="H41" s="191">
        <f t="shared" si="11"/>
        <v>48.723915297204989</v>
      </c>
      <c r="I41" s="192">
        <f t="shared" si="11"/>
        <v>57.992035508765284</v>
      </c>
      <c r="J41" s="193">
        <f t="shared" si="11"/>
        <v>73.312925991724157</v>
      </c>
      <c r="K41" s="194" t="s">
        <v>91</v>
      </c>
      <c r="L41" s="255" t="s">
        <v>91</v>
      </c>
      <c r="M41" s="292">
        <f>IF(SUM(M31:M40)&gt;0,SUM(M31:M40),"")</f>
        <v>0.39312499999999995</v>
      </c>
      <c r="N41" s="293">
        <f>IF(SUM(N31:N40)&gt;0,SUM(N31:N40),"")</f>
        <v>81</v>
      </c>
      <c r="O41" s="294">
        <f>IF(SUM(O31:O40)&gt;0,AVERAGE(O31:O40),"")</f>
        <v>0.30357142857142855</v>
      </c>
      <c r="P41" s="295">
        <f>IF(SUM(P31:P40)&gt;0,AVERAGE(P31:P40),"")</f>
        <v>127.5</v>
      </c>
      <c r="Q41" s="296" t="str">
        <f>"Total "</f>
        <v xml:space="preserve">Total </v>
      </c>
      <c r="R41" s="297">
        <f>IF(SUM(R31:R40)&gt;0,SUM(R31:R40),"")</f>
        <v>143.33929999999998</v>
      </c>
      <c r="W41" s="4"/>
    </row>
    <row r="42" spans="2:28" ht="14.25" thickTop="1" thickBot="1" x14ac:dyDescent="0.25">
      <c r="B42" s="172">
        <f t="shared" si="12"/>
        <v>24</v>
      </c>
      <c r="C42" s="173" t="str">
        <f t="shared" si="13"/>
        <v xml:space="preserve">Miles </v>
      </c>
      <c r="D42" s="232">
        <f t="shared" si="11"/>
        <v>20.715973133354506</v>
      </c>
      <c r="E42" s="188">
        <f t="shared" si="11"/>
        <v>28.311215232485694</v>
      </c>
      <c r="F42" s="189">
        <f t="shared" si="11"/>
        <v>36.876040284861141</v>
      </c>
      <c r="G42" s="190">
        <f t="shared" si="11"/>
        <v>41.00028650431392</v>
      </c>
      <c r="H42" s="191">
        <f t="shared" si="11"/>
        <v>50.842346397083467</v>
      </c>
      <c r="I42" s="192">
        <f t="shared" si="11"/>
        <v>60.513428356972462</v>
      </c>
      <c r="J42" s="193">
        <f t="shared" si="11"/>
        <v>76.500444513103474</v>
      </c>
      <c r="K42" s="194" t="s">
        <v>91</v>
      </c>
      <c r="L42" s="255" t="s">
        <v>91</v>
      </c>
      <c r="M42" s="980" t="s">
        <v>106</v>
      </c>
      <c r="N42" s="981"/>
      <c r="O42" s="981"/>
      <c r="P42" s="981"/>
      <c r="Q42" s="981"/>
      <c r="R42" s="982"/>
      <c r="V42" s="298"/>
      <c r="W42" s="4"/>
    </row>
    <row r="43" spans="2:28" ht="13.5" thickBot="1" x14ac:dyDescent="0.25">
      <c r="B43" s="172">
        <f t="shared" si="12"/>
        <v>25</v>
      </c>
      <c r="C43" s="173" t="str">
        <f t="shared" si="13"/>
        <v xml:space="preserve">Miles </v>
      </c>
      <c r="D43" s="241">
        <f t="shared" si="11"/>
        <v>21.579138680577607</v>
      </c>
      <c r="E43" s="204">
        <f t="shared" si="11"/>
        <v>29.490849200505927</v>
      </c>
      <c r="F43" s="205">
        <f t="shared" si="11"/>
        <v>38.412541963397018</v>
      </c>
      <c r="G43" s="206">
        <f t="shared" si="11"/>
        <v>42.708631775327</v>
      </c>
      <c r="H43" s="207">
        <f t="shared" si="11"/>
        <v>52.960777496961938</v>
      </c>
      <c r="I43" s="208">
        <f t="shared" si="11"/>
        <v>63.034821205179654</v>
      </c>
      <c r="J43" s="209">
        <f t="shared" si="11"/>
        <v>79.687963034482777</v>
      </c>
      <c r="K43" s="210" t="s">
        <v>91</v>
      </c>
      <c r="L43" s="242" t="s">
        <v>91</v>
      </c>
      <c r="M43" s="983" t="s">
        <v>107</v>
      </c>
      <c r="N43" s="924"/>
      <c r="O43" s="924"/>
      <c r="P43" s="924" t="s">
        <v>108</v>
      </c>
      <c r="Q43" s="924"/>
      <c r="R43" s="925"/>
    </row>
    <row r="44" spans="2:28" ht="13.5" thickBot="1" x14ac:dyDescent="0.25">
      <c r="B44" s="201">
        <f t="shared" si="12"/>
        <v>26</v>
      </c>
      <c r="C44" s="202" t="str">
        <f t="shared" si="13"/>
        <v xml:space="preserve">Miles </v>
      </c>
      <c r="D44" s="203">
        <f t="shared" si="11"/>
        <v>22.442304227800712</v>
      </c>
      <c r="E44" s="299">
        <f t="shared" si="11"/>
        <v>30.670483168526168</v>
      </c>
      <c r="F44" s="300">
        <f t="shared" si="11"/>
        <v>39.949043641932903</v>
      </c>
      <c r="G44" s="301">
        <f t="shared" si="11"/>
        <v>44.416977046340079</v>
      </c>
      <c r="H44" s="302">
        <f t="shared" si="11"/>
        <v>55.079208596840424</v>
      </c>
      <c r="I44" s="303">
        <f t="shared" si="11"/>
        <v>65.556214053386839</v>
      </c>
      <c r="J44" s="304">
        <f t="shared" si="11"/>
        <v>82.875481555862095</v>
      </c>
      <c r="K44" s="305" t="s">
        <v>91</v>
      </c>
      <c r="L44" s="306" t="s">
        <v>91</v>
      </c>
      <c r="M44" s="963" t="s">
        <v>109</v>
      </c>
      <c r="N44" s="964"/>
      <c r="O44" s="964"/>
      <c r="P44" s="964" t="s">
        <v>110</v>
      </c>
      <c r="Q44" s="964"/>
      <c r="R44" s="965"/>
    </row>
    <row r="45" spans="2:28" ht="13.5" thickBot="1" x14ac:dyDescent="0.25">
      <c r="B45" s="966" t="s">
        <v>111</v>
      </c>
      <c r="C45" s="967"/>
      <c r="D45" s="967"/>
      <c r="E45" s="967"/>
      <c r="F45" s="967"/>
      <c r="G45" s="967"/>
      <c r="H45" s="967"/>
      <c r="I45" s="967"/>
      <c r="J45" s="967"/>
      <c r="K45" s="967"/>
      <c r="L45" s="967"/>
      <c r="M45" s="967"/>
      <c r="N45" s="967"/>
      <c r="O45" s="967"/>
      <c r="P45" s="967"/>
      <c r="Q45" s="967"/>
      <c r="R45" s="968"/>
    </row>
    <row r="46" spans="2:28" ht="14.25" thickTop="1" thickBot="1" x14ac:dyDescent="0.25">
      <c r="B46" s="307"/>
      <c r="C46" s="308"/>
      <c r="D46" s="307"/>
      <c r="E46" s="309"/>
      <c r="F46" s="307"/>
      <c r="G46" s="309"/>
      <c r="H46" s="309"/>
      <c r="I46" s="307"/>
      <c r="J46" s="307"/>
      <c r="K46" s="309"/>
      <c r="L46" s="309"/>
      <c r="M46" s="309"/>
      <c r="N46" s="309"/>
      <c r="O46" s="309"/>
      <c r="P46" s="310"/>
      <c r="Q46" s="310"/>
      <c r="R46" s="310"/>
      <c r="S46" s="310"/>
      <c r="W46" s="904" t="s">
        <v>112</v>
      </c>
      <c r="X46" s="904"/>
    </row>
    <row r="47" spans="2:28" ht="14.25" thickTop="1" thickBot="1" x14ac:dyDescent="0.25">
      <c r="B47" s="311">
        <f>E3</f>
        <v>201</v>
      </c>
      <c r="C47" s="312"/>
      <c r="D47" s="969" t="str">
        <f>"Custom Heart Rate Zones - "&amp;IF(L47,"% HR Reserve","% HRmax")</f>
        <v>Custom Heart Rate Zones - % HRmax</v>
      </c>
      <c r="E47" s="969"/>
      <c r="F47" s="969"/>
      <c r="G47" s="969"/>
      <c r="H47" s="969"/>
      <c r="I47" s="969"/>
      <c r="J47" s="969"/>
      <c r="K47" s="313"/>
      <c r="L47" s="314" t="b">
        <v>0</v>
      </c>
      <c r="M47" s="315" t="s">
        <v>113</v>
      </c>
      <c r="N47" s="970" t="s">
        <v>114</v>
      </c>
      <c r="O47" s="971"/>
      <c r="P47" s="971"/>
      <c r="Q47" s="316" t="b">
        <v>1</v>
      </c>
      <c r="R47" s="317">
        <v>25</v>
      </c>
      <c r="W47" s="972" t="s">
        <v>115</v>
      </c>
      <c r="X47" s="972"/>
      <c r="Y47" s="972" t="s">
        <v>116</v>
      </c>
      <c r="Z47" s="972"/>
      <c r="AA47" s="972"/>
      <c r="AB47" s="972"/>
    </row>
    <row r="48" spans="2:28" ht="13.5" thickBot="1" x14ac:dyDescent="0.25">
      <c r="B48" s="318">
        <f>E4</f>
        <v>54</v>
      </c>
      <c r="C48" s="985" t="s">
        <v>117</v>
      </c>
      <c r="D48" s="986"/>
      <c r="E48" s="987" t="s">
        <v>65</v>
      </c>
      <c r="F48" s="986"/>
      <c r="G48" s="987" t="s">
        <v>118</v>
      </c>
      <c r="H48" s="986"/>
      <c r="I48" s="987" t="s">
        <v>76</v>
      </c>
      <c r="J48" s="986"/>
      <c r="K48" s="987" t="s">
        <v>78</v>
      </c>
      <c r="L48" s="988"/>
      <c r="M48" s="319" t="s">
        <v>119</v>
      </c>
      <c r="N48" s="320" t="str">
        <f ca="1">"Age: "&amp;$E$5</f>
        <v>Age: 31</v>
      </c>
      <c r="O48" s="321"/>
      <c r="P48" s="322" t="str">
        <f>"Wght: "&amp;$C$3</f>
        <v>Wght: 155</v>
      </c>
      <c r="Q48" s="323" t="b">
        <v>1</v>
      </c>
      <c r="R48" s="324">
        <v>155</v>
      </c>
      <c r="S48" s="325"/>
      <c r="T48" s="989" t="s">
        <v>120</v>
      </c>
      <c r="U48" s="990"/>
      <c r="W48" s="326"/>
      <c r="X48" s="327" t="s">
        <v>121</v>
      </c>
      <c r="Y48" s="991" t="s">
        <v>122</v>
      </c>
      <c r="Z48" s="992"/>
      <c r="AA48" s="992" t="s">
        <v>123</v>
      </c>
      <c r="AB48" s="993"/>
    </row>
    <row r="49" spans="2:28" ht="13.5" thickBot="1" x14ac:dyDescent="0.25">
      <c r="B49" s="328"/>
      <c r="C49" s="329">
        <v>0.65</v>
      </c>
      <c r="D49" s="330">
        <v>0.8</v>
      </c>
      <c r="E49" s="331">
        <v>0.8</v>
      </c>
      <c r="F49" s="330">
        <v>0.89</v>
      </c>
      <c r="G49" s="331">
        <v>0.88</v>
      </c>
      <c r="H49" s="330">
        <v>0.92</v>
      </c>
      <c r="I49" s="331">
        <v>0.92</v>
      </c>
      <c r="J49" s="330">
        <v>0.96</v>
      </c>
      <c r="K49" s="331">
        <v>0.92</v>
      </c>
      <c r="L49" s="332">
        <v>1</v>
      </c>
      <c r="M49" s="333">
        <v>0.53541666666666665</v>
      </c>
      <c r="N49" s="334" t="s">
        <v>57</v>
      </c>
      <c r="O49" s="335" t="s">
        <v>99</v>
      </c>
      <c r="P49" s="336" t="str">
        <f>IF($P$70,"Pace/ km","Pace/ mi")</f>
        <v>Pace/ mi</v>
      </c>
      <c r="Q49" s="337" t="b">
        <v>1</v>
      </c>
      <c r="R49" s="338" t="str">
        <f>IF($P$70,"Pace/ km","Pace/ mi")</f>
        <v>Pace/ mi</v>
      </c>
      <c r="S49" s="339" t="s">
        <v>124</v>
      </c>
      <c r="T49" s="340" t="s">
        <v>125</v>
      </c>
      <c r="U49" s="341" t="s">
        <v>126</v>
      </c>
      <c r="V49" s="26"/>
      <c r="W49" s="342" t="s">
        <v>127</v>
      </c>
      <c r="X49" s="343" t="s">
        <v>128</v>
      </c>
      <c r="Y49" s="900" t="s">
        <v>125</v>
      </c>
      <c r="Z49" s="901" t="s">
        <v>126</v>
      </c>
      <c r="AA49" s="901" t="s">
        <v>125</v>
      </c>
      <c r="AB49" s="902" t="s">
        <v>126</v>
      </c>
    </row>
    <row r="50" spans="2:28" ht="13.5" thickBot="1" x14ac:dyDescent="0.25">
      <c r="B50" s="347"/>
      <c r="C50" s="958" t="str">
        <f>IF($L$47,TEXT((($B$47-$B$48)*C49)+$B$48,0)&amp;"  -  "&amp;TEXT((($B$47-$B$48)*D49)+$B$48,0),TEXT($B$47*C49,0)&amp;"  -  "&amp;TEXT($B$47*D49,0))</f>
        <v>131  -  161</v>
      </c>
      <c r="D50" s="959"/>
      <c r="E50" s="960" t="str">
        <f>IF($L$47,TEXT((($B$47-$B$48)*E49)+$B$48,0)&amp;"  -  "&amp;TEXT((($B$47-$B$48)*F49)+$B$48,0),TEXT($B$47*E49,0)&amp;"  -  "&amp;TEXT($B$47*F49,0))</f>
        <v>161  -  179</v>
      </c>
      <c r="F50" s="961"/>
      <c r="G50" s="960" t="str">
        <f>IF($L$47,TEXT((($B$47-$B$48)*G49)+$B$48,0)&amp;"  -  "&amp;TEXT((($B$47-$B$48)*H49)+$B$48,0),TEXT($B$47*G49,0)&amp;"  -  "&amp;TEXT($B$47*H49,0))</f>
        <v>177  -  185</v>
      </c>
      <c r="H50" s="961"/>
      <c r="I50" s="960" t="str">
        <f>IF($L$47,TEXT((($B$47-$B$48)*I49)+$B$48,0)&amp;"  -  "&amp;TEXT((($B$47-$B$48)*J49)+$B$48,0),TEXT($B$47*I49,0)&amp;"  -  "&amp;TEXT($B$47*J49,0))</f>
        <v>185  -  193</v>
      </c>
      <c r="J50" s="961"/>
      <c r="K50" s="960" t="str">
        <f>IF($L$47,TEXT((($B$47-$B$48)*K49)+$B$48,0)&amp;"  -  "&amp;TEXT((($B$47-$B$48)*L49)+$B$48,0),TEXT($B$47*K49,0)&amp;"  -  "&amp;TEXT($B$47*L49,0))</f>
        <v>185  -  201</v>
      </c>
      <c r="L50" s="962"/>
      <c r="M50" s="348">
        <v>0.50763888888888886</v>
      </c>
      <c r="N50" s="349" t="s">
        <v>129</v>
      </c>
      <c r="O50" s="350">
        <f>IF(AND($E$6&gt;0,$G$6&gt;0),IF($G$16=1,(W50/(29.54+5.000663*($I$6*(X50))-0.007546*($I$6*(X50))^2)/1440),($G$6*(S50/$D$8)^1.06)),"-")</f>
        <v>3.1655413510584896E-3</v>
      </c>
      <c r="P50" s="351">
        <f t="shared" ref="P50:P69" si="20">IF(O50&lt;&gt;"-",O50/S50*IF($P$70,0.621371192,1),"-")</f>
        <v>3.3962966533852492E-3</v>
      </c>
      <c r="Q50" s="352">
        <f t="shared" ref="Q50:Q69" ca="1" si="21">IF($O$85="yes",IF($Q$47,(O50*LOOKUP($E$5,$AD$135:$AD$230,IF($C$4,$AE$135:$AE$230,$AF$135:$AF$230))/LOOKUP($R$47,$AD$135:$AD$230,IF($Q$49,$AE$135:$AE$230,$AF$135:$AF$230))),O50)*(IF(AND($C$4,NOT($Q$49)),LOOKUP($E$5,$AD$135:$AD$230,$AG$135:$AG$230),IF(AND(NOT($C$4),$Q$49),1/LOOKUP($R$47,$AD$135:$AD$230,$AG$135:$AG$230),1)))*IF($Q$48,($R$48/$C$3*IF($C$4=$Q$49,1,IF($C$4=TRUE,1.1,0.90909)))^$I$93,1),"-")</f>
        <v>3.1623547060984237E-3</v>
      </c>
      <c r="R50" s="353">
        <f t="shared" ref="R50:R69" ca="1" si="22">IF($O$85="yes",Q50/S50*IF($P$70,0.621371192,1),"-")</f>
        <v>3.3928777147541746E-3</v>
      </c>
      <c r="S50" s="354">
        <f>1.5/1.609344</f>
        <v>0.93205678835600092</v>
      </c>
      <c r="T50" s="355">
        <v>2.3726851851851851E-3</v>
      </c>
      <c r="U50" s="356">
        <v>2.6967592592592594E-3</v>
      </c>
      <c r="V50" s="357" t="s">
        <v>130</v>
      </c>
      <c r="W50" s="358">
        <f>S50*1609.344</f>
        <v>1500</v>
      </c>
      <c r="X50" s="359">
        <f t="shared" ref="X50:X69" si="23">IF($G$6&gt;0,0.8+0.1894393 * EXP(-0.012778*O50*1440)+0.2989558* EXP(-0.1932605*O50*1440),0)</f>
        <v>1.1026036687585212</v>
      </c>
      <c r="Y50" s="360">
        <f>0.8+0.1894393 * EXP(-0.012778*T50*1440)+0.2989558* EXP(-0.1932605*T50*1440)</f>
        <v>1.1358149877746491</v>
      </c>
      <c r="Z50" s="361">
        <f>0.8+0.1894393 * EXP(-0.012778*U50*1440)+0.2989558* EXP(-0.1932605*U50*1440)</f>
        <v>1.1214153470101593</v>
      </c>
      <c r="AA50" s="362">
        <f>(-4.6 + 0.182258 * ($W50/T50/1440) + 0.000104 *($W50/T50/1440)^2)/Y50</f>
        <v>84.04618668391106</v>
      </c>
      <c r="AB50" s="363">
        <f>(-4.6 + 0.182258 * ($W50/U50/1440) + 0.000104 *($W50/U50/1440)^2)/Z50</f>
        <v>72.512866536383726</v>
      </c>
    </row>
    <row r="51" spans="2:28" ht="13.5" thickBot="1" x14ac:dyDescent="0.25">
      <c r="B51" s="364"/>
      <c r="C51" s="365"/>
      <c r="D51" s="365"/>
      <c r="E51" s="365"/>
      <c r="F51" s="365"/>
      <c r="G51" s="365"/>
      <c r="H51" s="365"/>
      <c r="I51" s="365"/>
      <c r="J51" s="365"/>
      <c r="K51" s="365"/>
      <c r="L51" s="366"/>
      <c r="M51" s="348">
        <v>0.42638888888888887</v>
      </c>
      <c r="N51" s="367" t="s">
        <v>80</v>
      </c>
      <c r="O51" s="368">
        <f t="shared" ref="O51:O69" si="24">IF(AND($E$6&gt;0,$G$6&gt;0),IF($G$16=1,(W51/(29.54+5.000663*($I$6*(X51))-0.007546*($I$6*(X51))^2)/1440),($G$6*(S51/$D$8)^1.06)),"-")</f>
        <v>3.4106650802185248E-3</v>
      </c>
      <c r="P51" s="369">
        <f t="shared" si="20"/>
        <v>3.4106650802185248E-3</v>
      </c>
      <c r="Q51" s="370">
        <f t="shared" ca="1" si="21"/>
        <v>3.4072316773711047E-3</v>
      </c>
      <c r="R51" s="371">
        <f t="shared" ca="1" si="22"/>
        <v>3.4072316773711047E-3</v>
      </c>
      <c r="S51" s="354">
        <v>1</v>
      </c>
      <c r="T51" s="372">
        <v>2.5694444444444445E-3</v>
      </c>
      <c r="U51" s="373">
        <v>2.9120370370370368E-3</v>
      </c>
      <c r="V51" s="374" t="s">
        <v>131</v>
      </c>
      <c r="W51" s="375">
        <f t="shared" ref="W51:W69" si="25">S51*1609.344</f>
        <v>1609.3440000000001</v>
      </c>
      <c r="X51" s="376">
        <f t="shared" si="23"/>
        <v>1.0936302719201008</v>
      </c>
      <c r="Y51" s="377">
        <f t="shared" ref="Y51:Z69" si="26">0.8+0.1894393 * EXP(-0.012778*T51*1440)+0.2989558* EXP(-0.1932605*T51*1440)</f>
        <v>1.1269287827032155</v>
      </c>
      <c r="Z51" s="376">
        <f t="shared" si="26"/>
        <v>1.1124947947660067</v>
      </c>
      <c r="AA51" s="378">
        <f t="shared" ref="AA51:AB69" si="27">(-4.6 + 0.182258 * ($W51/T51/1440) + 0.000104 *($W51/T51/1440)^2)/Y51</f>
        <v>83.723241795963048</v>
      </c>
      <c r="AB51" s="379">
        <f t="shared" si="27"/>
        <v>72.509544454813323</v>
      </c>
    </row>
    <row r="52" spans="2:28" ht="14.25" thickTop="1" thickBot="1" x14ac:dyDescent="0.25">
      <c r="B52" s="380">
        <v>3.2406670000000012E-2</v>
      </c>
      <c r="C52" s="984" t="s">
        <v>132</v>
      </c>
      <c r="D52" s="984"/>
      <c r="E52" s="984"/>
      <c r="F52" s="984"/>
      <c r="G52" s="984"/>
      <c r="H52" s="984"/>
      <c r="I52" s="984"/>
      <c r="J52" s="984"/>
      <c r="K52" s="381"/>
      <c r="L52" s="382" t="b">
        <v>0</v>
      </c>
      <c r="M52" s="348">
        <v>0.37708333333333338</v>
      </c>
      <c r="N52" s="367" t="s">
        <v>133</v>
      </c>
      <c r="O52" s="368">
        <f t="shared" si="24"/>
        <v>4.2942077543309583E-3</v>
      </c>
      <c r="P52" s="369">
        <f t="shared" si="20"/>
        <v>3.4554287420930012E-3</v>
      </c>
      <c r="Q52" s="370">
        <f t="shared" ca="1" si="21"/>
        <v>4.2898849185249313E-3</v>
      </c>
      <c r="R52" s="371">
        <f t="shared" ca="1" si="22"/>
        <v>3.4519502771592938E-3</v>
      </c>
      <c r="S52" s="354">
        <f>2/1.609344</f>
        <v>1.2427423844746679</v>
      </c>
      <c r="T52" s="372">
        <v>3.2754629629629631E-3</v>
      </c>
      <c r="U52" s="373">
        <v>3.7268518518518514E-3</v>
      </c>
      <c r="V52" s="374" t="s">
        <v>134</v>
      </c>
      <c r="W52" s="375">
        <f t="shared" si="25"/>
        <v>2000</v>
      </c>
      <c r="X52" s="376">
        <f t="shared" si="23"/>
        <v>1.0655368253760489</v>
      </c>
      <c r="Y52" s="377">
        <f t="shared" si="26"/>
        <v>1.0985102591715143</v>
      </c>
      <c r="Z52" s="376">
        <f t="shared" si="26"/>
        <v>1.0828512181419061</v>
      </c>
      <c r="AA52" s="383">
        <f t="shared" si="27"/>
        <v>83.186971218374168</v>
      </c>
      <c r="AB52" s="384">
        <f t="shared" si="27"/>
        <v>71.816074006912757</v>
      </c>
    </row>
    <row r="53" spans="2:28" ht="13.5" thickBot="1" x14ac:dyDescent="0.25">
      <c r="B53" s="1007" t="s">
        <v>135</v>
      </c>
      <c r="C53" s="1008"/>
      <c r="D53" s="385">
        <v>20</v>
      </c>
      <c r="E53" s="386">
        <v>25</v>
      </c>
      <c r="F53" s="386">
        <v>30</v>
      </c>
      <c r="G53" s="386">
        <v>35</v>
      </c>
      <c r="H53" s="386">
        <v>40</v>
      </c>
      <c r="I53" s="386">
        <v>45</v>
      </c>
      <c r="J53" s="386">
        <v>50</v>
      </c>
      <c r="K53" s="386">
        <v>55</v>
      </c>
      <c r="L53" s="387">
        <v>60</v>
      </c>
      <c r="M53" s="348">
        <v>0.33958333333333335</v>
      </c>
      <c r="N53" s="367" t="s">
        <v>79</v>
      </c>
      <c r="O53" s="368">
        <f t="shared" si="24"/>
        <v>6.5999369460104417E-3</v>
      </c>
      <c r="P53" s="369">
        <f t="shared" si="20"/>
        <v>3.5405229748134096E-3</v>
      </c>
      <c r="Q53" s="370">
        <f t="shared" ca="1" si="21"/>
        <v>6.5932930094847906E-3</v>
      </c>
      <c r="R53" s="371">
        <f t="shared" ca="1" si="22"/>
        <v>3.5369588483520971E-3</v>
      </c>
      <c r="S53" s="354">
        <f>3/1.609344</f>
        <v>1.8641135767120018</v>
      </c>
      <c r="T53" s="372">
        <v>5.092592592592593E-3</v>
      </c>
      <c r="U53" s="373">
        <v>5.7986111111111112E-3</v>
      </c>
      <c r="V53" s="374" t="s">
        <v>136</v>
      </c>
      <c r="W53" s="375">
        <f t="shared" si="25"/>
        <v>3000</v>
      </c>
      <c r="X53" s="376">
        <f t="shared" si="23"/>
        <v>1.0154105465581658</v>
      </c>
      <c r="Y53" s="377">
        <f t="shared" si="26"/>
        <v>1.044955409742395</v>
      </c>
      <c r="Z53" s="376">
        <f t="shared" si="26"/>
        <v>1.0298031453085916</v>
      </c>
      <c r="AA53" s="383">
        <f t="shared" si="27"/>
        <v>83.606485762214774</v>
      </c>
      <c r="AB53" s="384">
        <f t="shared" si="27"/>
        <v>72.156085574942367</v>
      </c>
    </row>
    <row r="54" spans="2:28" x14ac:dyDescent="0.2">
      <c r="B54" s="1009" t="str">
        <f>IF($L$52,"Pace / km","Pace / mile")</f>
        <v>Pace / mile</v>
      </c>
      <c r="C54" s="1010"/>
      <c r="D54" s="388">
        <f>IF($L$6&lt;&gt;"-",IF($L$52,$L$6*0.621371192,$L$6)*(IF(B56,1+B52,1)),"-")</f>
        <v>3.9393975760932502E-3</v>
      </c>
      <c r="E54" s="389">
        <f>IF($D$54&lt;&gt;"-",D$54*1.012,"-")</f>
        <v>3.9866703470063693E-3</v>
      </c>
      <c r="F54" s="389">
        <f>IF($D$54&lt;&gt;"-",$D$54*1.022,"-")</f>
        <v>4.0260643227673018E-3</v>
      </c>
      <c r="G54" s="389">
        <f>IF($D$54&lt;&gt;"-",$D$54*1.027,"-")</f>
        <v>4.0457613106477672E-3</v>
      </c>
      <c r="H54" s="389">
        <f>IF($D$54&lt;&gt;"-",$D$54*1.033,"-")</f>
        <v>4.0693976961043267E-3</v>
      </c>
      <c r="I54" s="389">
        <f>IF($D$54&lt;&gt;"-",$D$54*1.038,"-")</f>
        <v>4.0890946839847939E-3</v>
      </c>
      <c r="J54" s="389">
        <f>IF($D$54&lt;&gt;"-",$D$54*1.043,"-")</f>
        <v>4.1087916718652593E-3</v>
      </c>
      <c r="K54" s="389">
        <f>IF($D$54&lt;&gt;"-",$D$54*1.04866,"-")</f>
        <v>4.1310886621459472E-3</v>
      </c>
      <c r="L54" s="390">
        <f>IF($D$54&lt;&gt;"-",$D$54*1.055,"-")</f>
        <v>4.1560644427783783E-3</v>
      </c>
      <c r="M54" s="348"/>
      <c r="N54" s="367" t="s">
        <v>137</v>
      </c>
      <c r="O54" s="368">
        <f t="shared" si="24"/>
        <v>7.1110031356484971E-3</v>
      </c>
      <c r="P54" s="369">
        <f t="shared" si="20"/>
        <v>3.5555015678242485E-3</v>
      </c>
      <c r="Q54" s="370">
        <f t="shared" ca="1" si="21"/>
        <v>7.1038447258252773E-3</v>
      </c>
      <c r="R54" s="371">
        <f t="shared" ca="1" si="22"/>
        <v>3.5519223629126386E-3</v>
      </c>
      <c r="S54" s="354">
        <v>2</v>
      </c>
      <c r="T54" s="391">
        <v>5.4861111111111117E-3</v>
      </c>
      <c r="U54" s="392">
        <v>6.2731481481481484E-3</v>
      </c>
      <c r="V54" s="374" t="s">
        <v>138</v>
      </c>
      <c r="W54" s="375">
        <f t="shared" si="25"/>
        <v>3218.6880000000001</v>
      </c>
      <c r="X54" s="376">
        <f t="shared" si="23"/>
        <v>1.0075249790792313</v>
      </c>
      <c r="Y54" s="377">
        <f t="shared" si="26"/>
        <v>1.0361944609976594</v>
      </c>
      <c r="Z54" s="376">
        <f t="shared" si="26"/>
        <v>1.0209576166884211</v>
      </c>
      <c r="AA54" s="383">
        <f t="shared" si="27"/>
        <v>83.8848240753114</v>
      </c>
      <c r="AB54" s="384">
        <f t="shared" si="27"/>
        <v>72.034775629497389</v>
      </c>
    </row>
    <row r="55" spans="2:28" ht="13.5" thickBot="1" x14ac:dyDescent="0.25">
      <c r="B55" s="1011" t="s">
        <v>139</v>
      </c>
      <c r="C55" s="1012"/>
      <c r="D55" s="393" t="str">
        <f t="shared" ref="D55:L55" si="28">IF(D54&lt;&gt;"-",IF($L$52,ROUND(D53/D54/1440,1)&amp;" km",ROUND(D53/D54/1440,1)&amp;" mi"),"-")</f>
        <v>3.5 mi</v>
      </c>
      <c r="E55" s="394" t="str">
        <f t="shared" si="28"/>
        <v>4.4 mi</v>
      </c>
      <c r="F55" s="394" t="str">
        <f t="shared" si="28"/>
        <v>5.2 mi</v>
      </c>
      <c r="G55" s="394" t="str">
        <f t="shared" si="28"/>
        <v>6 mi</v>
      </c>
      <c r="H55" s="394" t="str">
        <f t="shared" si="28"/>
        <v>6.8 mi</v>
      </c>
      <c r="I55" s="394" t="str">
        <f t="shared" si="28"/>
        <v>7.6 mi</v>
      </c>
      <c r="J55" s="394" t="str">
        <f t="shared" si="28"/>
        <v>8.5 mi</v>
      </c>
      <c r="K55" s="394" t="str">
        <f t="shared" si="28"/>
        <v>9.2 mi</v>
      </c>
      <c r="L55" s="395" t="str">
        <f t="shared" si="28"/>
        <v>10 mi</v>
      </c>
      <c r="M55" s="348"/>
      <c r="N55" s="367" t="s">
        <v>140</v>
      </c>
      <c r="O55" s="368">
        <f t="shared" si="24"/>
        <v>1.0929180655227686E-2</v>
      </c>
      <c r="P55" s="369">
        <f t="shared" si="20"/>
        <v>3.6430602184092287E-3</v>
      </c>
      <c r="Q55" s="370">
        <f t="shared" ca="1" si="21"/>
        <v>1.091817861336809E-2</v>
      </c>
      <c r="R55" s="371">
        <f t="shared" ca="1" si="22"/>
        <v>3.6393928711226965E-3</v>
      </c>
      <c r="S55" s="354">
        <v>3</v>
      </c>
      <c r="T55" s="396">
        <v>8.4490740740740741E-3</v>
      </c>
      <c r="U55" s="397">
        <v>9.6412037037037039E-3</v>
      </c>
      <c r="V55" s="398" t="s">
        <v>141</v>
      </c>
      <c r="W55" s="375">
        <f t="shared" si="25"/>
        <v>4828.0320000000002</v>
      </c>
      <c r="X55" s="376">
        <f t="shared" si="23"/>
        <v>0.96920774498528084</v>
      </c>
      <c r="Y55" s="377">
        <f t="shared" si="26"/>
        <v>0.99063625649949227</v>
      </c>
      <c r="Z55" s="376">
        <f t="shared" si="26"/>
        <v>0.97907865998853183</v>
      </c>
      <c r="AA55" s="383">
        <f t="shared" si="27"/>
        <v>84.896246205621992</v>
      </c>
      <c r="AB55" s="384">
        <f t="shared" si="27"/>
        <v>72.883655481978408</v>
      </c>
    </row>
    <row r="56" spans="2:28" ht="13.5" thickBot="1" x14ac:dyDescent="0.25">
      <c r="B56" s="399" t="b">
        <v>0</v>
      </c>
      <c r="C56" s="400">
        <v>80</v>
      </c>
      <c r="D56" s="1013" t="str">
        <f>"◄ "&amp;J80&amp;" - "&amp;LEFT(B81,LEN(B81)-3)&amp;IF(L52,"°C","°F")</f>
        <v>◄ J.Daniels - Temperature °F</v>
      </c>
      <c r="E56" s="1014"/>
      <c r="F56" s="1015"/>
      <c r="G56" s="1016" t="s">
        <v>142</v>
      </c>
      <c r="H56" s="1017"/>
      <c r="I56" s="1017"/>
      <c r="J56" s="1017"/>
      <c r="K56" s="1017"/>
      <c r="L56" s="1018"/>
      <c r="M56" s="348"/>
      <c r="N56" s="367" t="s">
        <v>78</v>
      </c>
      <c r="O56" s="368">
        <f t="shared" si="24"/>
        <v>1.1342256410948765E-2</v>
      </c>
      <c r="P56" s="369">
        <f t="shared" si="20"/>
        <v>3.650718460284386E-3</v>
      </c>
      <c r="Q56" s="370">
        <f t="shared" ca="1" si="21"/>
        <v>1.1330838539495076E-2</v>
      </c>
      <c r="R56" s="371">
        <f t="shared" ca="1" si="22"/>
        <v>3.6470434037010331E-3</v>
      </c>
      <c r="S56" s="354">
        <f>5/1.609344</f>
        <v>3.1068559611866697</v>
      </c>
      <c r="T56" s="401">
        <v>9.0162037037037034E-3</v>
      </c>
      <c r="U56" s="402">
        <v>1.0254629629629629E-2</v>
      </c>
      <c r="V56" s="357"/>
      <c r="W56" s="375">
        <f t="shared" si="25"/>
        <v>5000</v>
      </c>
      <c r="X56" s="376">
        <f t="shared" si="23"/>
        <v>0.96648404872580629</v>
      </c>
      <c r="Y56" s="377">
        <f t="shared" si="26"/>
        <v>0.98479562185948155</v>
      </c>
      <c r="Z56" s="376">
        <f t="shared" si="26"/>
        <v>0.97409123354038751</v>
      </c>
      <c r="AA56" s="383">
        <f t="shared" si="27"/>
        <v>82.264131007315953</v>
      </c>
      <c r="AB56" s="384">
        <f t="shared" si="27"/>
        <v>70.87248744547729</v>
      </c>
    </row>
    <row r="57" spans="2:28" ht="13.5" thickBot="1" x14ac:dyDescent="0.25">
      <c r="B57" s="1019" t="s">
        <v>143</v>
      </c>
      <c r="C57" s="1020"/>
      <c r="D57" s="1020"/>
      <c r="E57" s="1020"/>
      <c r="F57" s="1020"/>
      <c r="G57" s="1020" t="s">
        <v>144</v>
      </c>
      <c r="H57" s="1020"/>
      <c r="I57" s="1020"/>
      <c r="J57" s="1020"/>
      <c r="K57" s="1020"/>
      <c r="L57" s="1021"/>
      <c r="M57" s="348"/>
      <c r="N57" s="367" t="s">
        <v>145</v>
      </c>
      <c r="O57" s="368">
        <f t="shared" si="24"/>
        <v>1.4825954588294821E-2</v>
      </c>
      <c r="P57" s="369">
        <f t="shared" si="20"/>
        <v>3.7064886470737054E-3</v>
      </c>
      <c r="Q57" s="370">
        <f t="shared" ca="1" si="21"/>
        <v>1.4811029794009271E-2</v>
      </c>
      <c r="R57" s="371">
        <f t="shared" ca="1" si="22"/>
        <v>3.7027574485023178E-3</v>
      </c>
      <c r="S57" s="354">
        <v>4</v>
      </c>
      <c r="T57" s="372">
        <v>1.1736111111111109E-2</v>
      </c>
      <c r="U57" s="373">
        <v>1.3414351851851851E-2</v>
      </c>
      <c r="V57" s="374"/>
      <c r="W57" s="375">
        <f t="shared" si="25"/>
        <v>6437.3760000000002</v>
      </c>
      <c r="X57" s="376">
        <f t="shared" si="23"/>
        <v>0.94903677610091186</v>
      </c>
      <c r="Y57" s="377">
        <f t="shared" si="26"/>
        <v>0.96405245155236163</v>
      </c>
      <c r="Z57" s="376">
        <f t="shared" si="26"/>
        <v>0.95515439471114272</v>
      </c>
      <c r="AA57" s="383">
        <f t="shared" si="27"/>
        <v>82.893270750842035</v>
      </c>
      <c r="AB57" s="384">
        <f t="shared" si="27"/>
        <v>70.86657246549413</v>
      </c>
    </row>
    <row r="58" spans="2:28" ht="13.5" thickBot="1" x14ac:dyDescent="0.25">
      <c r="B58" s="994" t="str">
        <f>"Interval Split Times In "&amp;IF(L58,"Metric","US/Imperial")&amp;" Distances (Daniels)"</f>
        <v>Interval Split Times In Metric Distances (Daniels)</v>
      </c>
      <c r="C58" s="995"/>
      <c r="D58" s="995"/>
      <c r="E58" s="995"/>
      <c r="F58" s="995"/>
      <c r="G58" s="995"/>
      <c r="H58" s="995"/>
      <c r="I58" s="995"/>
      <c r="J58" s="995"/>
      <c r="K58" s="996"/>
      <c r="L58" s="403" t="b">
        <v>1</v>
      </c>
      <c r="M58" s="348"/>
      <c r="N58" s="367" t="s">
        <v>77</v>
      </c>
      <c r="O58" s="368">
        <f t="shared" si="24"/>
        <v>1.8666661094244742E-2</v>
      </c>
      <c r="P58" s="369">
        <f t="shared" si="20"/>
        <v>3.7551348790070263E-3</v>
      </c>
      <c r="Q58" s="370">
        <f t="shared" ca="1" si="21"/>
        <v>1.8647869988743199E-2</v>
      </c>
      <c r="R58" s="371">
        <f t="shared" ca="1" si="22"/>
        <v>3.7513547098954919E-3</v>
      </c>
      <c r="S58" s="354">
        <f>8/1.609344</f>
        <v>4.9709695378986716</v>
      </c>
      <c r="T58" s="372">
        <v>1.4722222222222222E-2</v>
      </c>
      <c r="U58" s="373">
        <v>1.6689814814814817E-2</v>
      </c>
      <c r="V58" s="404" t="s">
        <v>146</v>
      </c>
      <c r="W58" s="375">
        <f t="shared" si="25"/>
        <v>8000</v>
      </c>
      <c r="X58" s="376">
        <f t="shared" si="23"/>
        <v>0.93602759595427221</v>
      </c>
      <c r="Y58" s="377">
        <f t="shared" si="26"/>
        <v>0.94945368165745703</v>
      </c>
      <c r="Z58" s="376">
        <f t="shared" si="26"/>
        <v>0.94222119124623838</v>
      </c>
      <c r="AA58" s="383">
        <f t="shared" si="27"/>
        <v>83.191150933804494</v>
      </c>
      <c r="AB58" s="384">
        <f t="shared" si="27"/>
        <v>71.736795096480776</v>
      </c>
    </row>
    <row r="59" spans="2:28" ht="13.5" thickBot="1" x14ac:dyDescent="0.25">
      <c r="B59" s="997" t="str">
        <f>"Pace per "&amp;IF($L$58,"/ km","/ mile")</f>
        <v>Pace per / km</v>
      </c>
      <c r="C59" s="998"/>
      <c r="D59" s="898" t="str">
        <f>IF($L$58,"100m","110yd")</f>
        <v>100m</v>
      </c>
      <c r="E59" s="898" t="str">
        <f>IF($L$58,"200m","220yd")</f>
        <v>200m</v>
      </c>
      <c r="F59" s="898" t="str">
        <f>IF($L$58,"300m","330yd")</f>
        <v>300m</v>
      </c>
      <c r="G59" s="898" t="str">
        <f>IF($L$58,"400m","440yd")</f>
        <v>400m</v>
      </c>
      <c r="H59" s="898" t="str">
        <f>IF($L$58,"600m","660yd")</f>
        <v>600m</v>
      </c>
      <c r="I59" s="898" t="str">
        <f>IF($L$58,"800m","880yd")</f>
        <v>800m</v>
      </c>
      <c r="J59" s="898" t="str">
        <f>IF($L$58,"1000m","1100yd")</f>
        <v>1000m</v>
      </c>
      <c r="K59" s="898" t="str">
        <f>IF($L$58,"1200m","1320yd")</f>
        <v>1200m</v>
      </c>
      <c r="L59" s="406" t="str">
        <f>IF($L$58,"1600m","1 mile")</f>
        <v>1600m</v>
      </c>
      <c r="M59" s="348"/>
      <c r="N59" s="367" t="s">
        <v>147</v>
      </c>
      <c r="O59" s="368">
        <f t="shared" si="24"/>
        <v>1.8782235401219444E-2</v>
      </c>
      <c r="P59" s="369">
        <f t="shared" si="20"/>
        <v>3.7564470802438888E-3</v>
      </c>
      <c r="Q59" s="370">
        <f t="shared" ca="1" si="21"/>
        <v>1.8763327950915551E-2</v>
      </c>
      <c r="R59" s="371">
        <f t="shared" ca="1" si="22"/>
        <v>3.7526655901831104E-3</v>
      </c>
      <c r="S59" s="354">
        <v>5</v>
      </c>
      <c r="T59" s="372">
        <v>1.480324074074074E-2</v>
      </c>
      <c r="U59" s="373">
        <v>1.6805555555555556E-2</v>
      </c>
      <c r="V59" s="374" t="s">
        <v>131</v>
      </c>
      <c r="W59" s="375">
        <f t="shared" si="25"/>
        <v>8046.72</v>
      </c>
      <c r="X59" s="376">
        <f t="shared" si="23"/>
        <v>0.93568967727567331</v>
      </c>
      <c r="Y59" s="377">
        <f t="shared" si="26"/>
        <v>0.94912767115464203</v>
      </c>
      <c r="Z59" s="376">
        <f t="shared" si="26"/>
        <v>0.94183365592937773</v>
      </c>
      <c r="AA59" s="383">
        <f t="shared" si="27"/>
        <v>83.254458075129591</v>
      </c>
      <c r="AB59" s="384">
        <f t="shared" si="27"/>
        <v>71.669684133520008</v>
      </c>
    </row>
    <row r="60" spans="2:28" x14ac:dyDescent="0.2">
      <c r="B60" s="999">
        <f>B61-(IF(L58,1000,1609.344)/400) * TIME(0,0,6)</f>
        <v>2.0691238004692985E-3</v>
      </c>
      <c r="C60" s="1000"/>
      <c r="D60" s="407">
        <f>IF($R$14&lt;&gt;"-",IF($L$58,B60*0.1,B60*0.0625),"-")</f>
        <v>2.0691238004692987E-4</v>
      </c>
      <c r="E60" s="407">
        <f>IF($R$14&lt;&gt;"-",IF($L$58,B60*0.2,B60*0.125),"-")</f>
        <v>4.1382476009385973E-4</v>
      </c>
      <c r="F60" s="407">
        <f>IF($R$14&lt;&gt;"-",IF($L$58,B60*0.3,B60*0.1875),"-")</f>
        <v>6.2073714014078949E-4</v>
      </c>
      <c r="G60" s="407">
        <f>IF($R$14&lt;&gt;"-",IF($L$58,B60*0.4,B60*0.25),"-")</f>
        <v>8.2764952018771947E-4</v>
      </c>
      <c r="H60" s="407">
        <f>IF($R$14&lt;&gt;"-",IF($L$58,B60*0.6,B60*0.375),"-")</f>
        <v>1.241474280281579E-3</v>
      </c>
      <c r="I60" s="407">
        <f>IF($R$14&lt;&gt;"-",IF($L$58,B60*0.8,B60*0.5),"-")</f>
        <v>1.6552990403754389E-3</v>
      </c>
      <c r="J60" s="407">
        <f>IF($R$14&lt;&gt;"-",IF($L$58,B60*1,B60*0.625),"-")</f>
        <v>2.0691238004692985E-3</v>
      </c>
      <c r="K60" s="407">
        <f>IF($R$14&lt;&gt;"-",IF($L$58,B60*1.2,B60*0.75),"-")</f>
        <v>2.482948560563158E-3</v>
      </c>
      <c r="L60" s="408">
        <f>IF($R$14&lt;&gt;"-",IF($L$58,B60*1.6,B60*1),"-")</f>
        <v>3.3105980807508779E-3</v>
      </c>
      <c r="M60" s="348"/>
      <c r="N60" s="367" t="s">
        <v>76</v>
      </c>
      <c r="O60" s="368">
        <f t="shared" si="24"/>
        <v>2.364782791818959E-2</v>
      </c>
      <c r="P60" s="369">
        <f t="shared" si="20"/>
        <v>3.8057489973170907E-3</v>
      </c>
      <c r="Q60" s="370">
        <f t="shared" ca="1" si="21"/>
        <v>2.3624022438085278E-2</v>
      </c>
      <c r="R60" s="371">
        <f t="shared" ca="1" si="22"/>
        <v>3.8019178766597913E-3</v>
      </c>
      <c r="S60" s="354">
        <f>10/1.609344</f>
        <v>6.2137119223733395</v>
      </c>
      <c r="T60" s="372">
        <v>1.8553240740740742E-2</v>
      </c>
      <c r="U60" s="373">
        <v>2.1064814814814814E-2</v>
      </c>
      <c r="V60" s="374" t="s">
        <v>134</v>
      </c>
      <c r="W60" s="375">
        <f t="shared" si="25"/>
        <v>10000</v>
      </c>
      <c r="X60" s="376">
        <f t="shared" si="23"/>
        <v>0.92301618011327558</v>
      </c>
      <c r="Y60" s="377">
        <f t="shared" si="26"/>
        <v>0.93636147475550613</v>
      </c>
      <c r="Z60" s="376">
        <f t="shared" si="26"/>
        <v>0.92941995531591082</v>
      </c>
      <c r="AA60" s="383">
        <f t="shared" si="27"/>
        <v>83.503168270942339</v>
      </c>
      <c r="AB60" s="384">
        <f t="shared" si="27"/>
        <v>71.859913588693914</v>
      </c>
    </row>
    <row r="61" spans="2:28" ht="13.5" thickBot="1" x14ac:dyDescent="0.25">
      <c r="B61" s="1001">
        <f>IF(AND($E$6&gt;0,$G$6&gt;0),(1/(29.54 + 5.000663 * ($I$6*0.98) - 0.007546 * ($I$6*0.98)^2)*IF($L$58,1000,1609.344)/1440),"-")</f>
        <v>2.2427349115804094E-3</v>
      </c>
      <c r="C61" s="1002"/>
      <c r="D61" s="409">
        <f>IF($R$14&lt;&gt;"-",IF($L$58,B61*0.1,B61*0.0625),"-")</f>
        <v>2.2427349115804095E-4</v>
      </c>
      <c r="E61" s="409">
        <f>IF($R$14&lt;&gt;"-",IF($L$58,B61*0.2,B61*0.125),"-")</f>
        <v>4.4854698231608191E-4</v>
      </c>
      <c r="F61" s="409">
        <f>IF($R$14&lt;&gt;"-",IF($L$58,B61*0.3,B61*0.1875),"-")</f>
        <v>6.7282047347412284E-4</v>
      </c>
      <c r="G61" s="409">
        <f>IF($R$14&lt;&gt;"-",IF($L$58,B61*0.4,B61*0.25),"-")</f>
        <v>8.9709396463216382E-4</v>
      </c>
      <c r="H61" s="409">
        <f>IF($R$14&lt;&gt;"-",IF($L$58,B61*0.6,B61*0.375),"-")</f>
        <v>1.3456409469482457E-3</v>
      </c>
      <c r="I61" s="409">
        <f>IF($R$14&lt;&gt;"-",IF($L$58,B61*0.8,B61*0.5),"-")</f>
        <v>1.7941879292643276E-3</v>
      </c>
      <c r="J61" s="409">
        <f>IF($R$14&lt;&gt;"-",IF($L$58,B61*1,B61*0.625),"-")</f>
        <v>2.2427349115804094E-3</v>
      </c>
      <c r="K61" s="409">
        <f>IF($R$14&lt;&gt;"-",IF($L$58,B61*1.2,B61*0.75),"-")</f>
        <v>2.6912818938964913E-3</v>
      </c>
      <c r="L61" s="410">
        <f>IF($R$14&lt;&gt;"-",IF($L$58,B61*1.6,B61*1),"-")</f>
        <v>3.5883758585286553E-3</v>
      </c>
      <c r="M61" s="348"/>
      <c r="N61" s="367" t="s">
        <v>75</v>
      </c>
      <c r="O61" s="368">
        <f t="shared" si="24"/>
        <v>2.8689526278813229E-2</v>
      </c>
      <c r="P61" s="369">
        <f t="shared" si="20"/>
        <v>3.8476097483042E-3</v>
      </c>
      <c r="Q61" s="370">
        <f t="shared" ca="1" si="21"/>
        <v>2.8660645489025888E-2</v>
      </c>
      <c r="R61" s="371">
        <f t="shared" ca="1" si="22"/>
        <v>3.8437364878242401E-3</v>
      </c>
      <c r="S61" s="354">
        <f>12/1.609344</f>
        <v>7.4564543068480074</v>
      </c>
      <c r="T61" s="372">
        <v>2.2476851851851855E-2</v>
      </c>
      <c r="U61" s="373">
        <v>2.539351851851852E-2</v>
      </c>
      <c r="V61" s="404" t="s">
        <v>148</v>
      </c>
      <c r="W61" s="375">
        <f t="shared" si="25"/>
        <v>12000</v>
      </c>
      <c r="X61" s="376">
        <f t="shared" si="23"/>
        <v>0.91184160509168333</v>
      </c>
      <c r="Y61" s="377">
        <f t="shared" si="26"/>
        <v>0.92584613035566721</v>
      </c>
      <c r="Z61" s="376">
        <f t="shared" si="26"/>
        <v>0.91898114812139364</v>
      </c>
      <c r="AA61" s="383">
        <f t="shared" si="27"/>
        <v>83.456631645174227</v>
      </c>
      <c r="AB61" s="384">
        <f t="shared" si="27"/>
        <v>72.266309761498462</v>
      </c>
    </row>
    <row r="62" spans="2:28" ht="13.5" thickBot="1" x14ac:dyDescent="0.25">
      <c r="B62" s="1003">
        <f>IF(AND($E$6&gt;0,$G$6&gt;0),(1/(29.54 + 5.000663 * ($I$6*0.88) - 0.007546 * ($I$6*0.88)^2)*IF($L$58,1000,1609.344)/1440),"-")</f>
        <v>2.4478281685539264E-3</v>
      </c>
      <c r="C62" s="1004"/>
      <c r="D62" s="411">
        <f>IF($R$14&lt;&gt;"-",IF($L$58,B62*0.1,B62*0.0625),"-")</f>
        <v>2.4478281685539266E-4</v>
      </c>
      <c r="E62" s="411">
        <f>IF($R$14&lt;&gt;"-",IF($L$58,B62*0.2,B62*0.125),"-")</f>
        <v>4.8956563371078531E-4</v>
      </c>
      <c r="F62" s="411">
        <f>IF($R$14&lt;&gt;"-",IF($L$58,B62*0.3,B62*0.1875),"-")</f>
        <v>7.3434845056617791E-4</v>
      </c>
      <c r="G62" s="411">
        <f>IF($R$14&lt;&gt;"-",IF($L$58,B62*0.4,B62*0.25),"-")</f>
        <v>9.7913126742157062E-4</v>
      </c>
      <c r="H62" s="411">
        <f>IF($R$14&lt;&gt;"-",IF($L$58,B62*0.6,B62*0.375),"-")</f>
        <v>1.4686969011323558E-3</v>
      </c>
      <c r="I62" s="411">
        <f>IF($R$14&lt;&gt;"-",IF($L$58,B62*0.8,B62*0.5),"-")</f>
        <v>1.9582625348431412E-3</v>
      </c>
      <c r="J62" s="411">
        <f>IF($R$14&lt;&gt;"-",IF($L$58,B62*1,B62*0.625),"-")</f>
        <v>2.4478281685539264E-3</v>
      </c>
      <c r="K62" s="411">
        <f>IF($R$14&lt;&gt;"-",IF($L$58,B62*1.2,B62*0.75),"-")</f>
        <v>2.9373938022647116E-3</v>
      </c>
      <c r="L62" s="412">
        <f>IF($R$14&lt;&gt;"-",IF($L$58,B62*1.6,B62*1),"-")</f>
        <v>3.9165250696862825E-3</v>
      </c>
      <c r="M62" s="413">
        <f>(SUM(M49:M61)/60)*M66</f>
        <v>3.6435185185185189E-2</v>
      </c>
      <c r="N62" s="367" t="s">
        <v>74</v>
      </c>
      <c r="O62" s="368">
        <f t="shared" si="24"/>
        <v>3.634527766215942E-2</v>
      </c>
      <c r="P62" s="369">
        <f t="shared" si="20"/>
        <v>3.8994703022620192E-3</v>
      </c>
      <c r="Q62" s="370">
        <f t="shared" ca="1" si="21"/>
        <v>3.6308690082646179E-2</v>
      </c>
      <c r="R62" s="371">
        <f t="shared" ca="1" si="22"/>
        <v>3.8955448354910755E-3</v>
      </c>
      <c r="S62" s="354">
        <f>15/1.609344</f>
        <v>9.3205678835600096</v>
      </c>
      <c r="T62" s="372">
        <v>2.8414351851851847E-2</v>
      </c>
      <c r="U62" s="373">
        <v>3.1886574074074074E-2</v>
      </c>
      <c r="V62" s="404" t="s">
        <v>149</v>
      </c>
      <c r="W62" s="375">
        <f t="shared" si="25"/>
        <v>15000</v>
      </c>
      <c r="X62" s="376">
        <f t="shared" si="23"/>
        <v>0.89706963369930437</v>
      </c>
      <c r="Y62" s="377">
        <f t="shared" si="26"/>
        <v>0.91241692052851031</v>
      </c>
      <c r="Z62" s="376">
        <f t="shared" si="26"/>
        <v>0.90539789536192106</v>
      </c>
      <c r="AA62" s="383">
        <f t="shared" si="27"/>
        <v>83.506348278675873</v>
      </c>
      <c r="AB62" s="384">
        <f t="shared" si="27"/>
        <v>72.938756012249129</v>
      </c>
    </row>
    <row r="63" spans="2:28" ht="13.5" thickTop="1" x14ac:dyDescent="0.2">
      <c r="B63" s="1005">
        <f>IF($L$58, R15,R14)</f>
        <v>2.1192890264081603E-3</v>
      </c>
      <c r="C63" s="1006"/>
      <c r="D63" s="414">
        <f>IF($R$14&lt;&gt;"-",IF($L$58,R15*0.1,R14*0.0625),"-")</f>
        <v>2.1192890264081605E-4</v>
      </c>
      <c r="E63" s="414">
        <f>IF($R$14&lt;&gt;"-",IF($L$58,R15*0.2,R14*0.125),"-")</f>
        <v>4.238578052816321E-4</v>
      </c>
      <c r="F63" s="414">
        <f>IF($R$14&lt;&gt;"-",IF($L$58,R15*0.3,R14*0.1875),"-")</f>
        <v>6.3578670792244804E-4</v>
      </c>
      <c r="G63" s="414">
        <f>IF($R$14&lt;&gt;"-",IF($L$58,R15*0.4,R14*0.25),"-")</f>
        <v>8.477156105632642E-4</v>
      </c>
      <c r="H63" s="414">
        <f>IF($R$14&lt;&gt;"-",IF($L$58,R15*0.6,R14*0.375),"-")</f>
        <v>1.2715734158448961E-3</v>
      </c>
      <c r="I63" s="414">
        <f>IF($R$14&lt;&gt;"-",IF($L$58,R15*0.8,R14*0.5),"-")</f>
        <v>1.6954312211265284E-3</v>
      </c>
      <c r="J63" s="414">
        <f>IF($R$14&lt;&gt;"-",IF($L$58,R15,R14*0.625),"-")</f>
        <v>2.1192890264081603E-3</v>
      </c>
      <c r="K63" s="414">
        <f>IF($R$14&lt;&gt;"-",IF($L$58,R15*1.2,R14*0.75),"-")</f>
        <v>2.5431468316897922E-3</v>
      </c>
      <c r="L63" s="415">
        <f>IF($R$14&lt;&gt;"-",IF($L$58,R15*1.6,R14),"-")</f>
        <v>3.3908624422530568E-3</v>
      </c>
      <c r="M63" s="416">
        <f>(SUM(M49:M61)/60)*M66</f>
        <v>3.6435185185185189E-2</v>
      </c>
      <c r="N63" s="367" t="s">
        <v>150</v>
      </c>
      <c r="O63" s="368">
        <f t="shared" si="24"/>
        <v>3.9159674635658559E-2</v>
      </c>
      <c r="P63" s="369">
        <f t="shared" si="20"/>
        <v>3.9159674635658561E-3</v>
      </c>
      <c r="Q63" s="370">
        <f t="shared" ca="1" si="21"/>
        <v>3.9120253896525327E-2</v>
      </c>
      <c r="R63" s="371">
        <f t="shared" ca="1" si="22"/>
        <v>3.9120253896525329E-3</v>
      </c>
      <c r="S63" s="354">
        <v>10</v>
      </c>
      <c r="T63" s="372">
        <v>3.0555555555555555E-2</v>
      </c>
      <c r="U63" s="373">
        <v>3.4270833333333334E-2</v>
      </c>
      <c r="V63" s="404" t="s">
        <v>138</v>
      </c>
      <c r="W63" s="375">
        <f t="shared" si="25"/>
        <v>16093.44</v>
      </c>
      <c r="X63" s="376">
        <f t="shared" si="23"/>
        <v>0.89216478445244485</v>
      </c>
      <c r="Y63" s="377">
        <f t="shared" si="26"/>
        <v>0.90802880889367932</v>
      </c>
      <c r="Z63" s="376">
        <f t="shared" si="26"/>
        <v>0.90085543039542837</v>
      </c>
      <c r="AA63" s="383">
        <f t="shared" si="27"/>
        <v>83.671183784319751</v>
      </c>
      <c r="AB63" s="384">
        <f t="shared" si="27"/>
        <v>73.148109904996048</v>
      </c>
    </row>
    <row r="64" spans="2:28" x14ac:dyDescent="0.2">
      <c r="B64" s="1036">
        <f>IF($L$58, P15,P14)</f>
        <v>2.2684512813233135E-3</v>
      </c>
      <c r="C64" s="1037"/>
      <c r="D64" s="409">
        <f>IF($P$14&lt;&gt;"-",IF($L$58,P15*0.1,P14*0.0625),"-")</f>
        <v>2.2684512813233137E-4</v>
      </c>
      <c r="E64" s="409">
        <f>IF($P$14&lt;&gt;"-",IF($L$58,P15*0.2,P14*0.125),"-")</f>
        <v>4.5369025626466273E-4</v>
      </c>
      <c r="F64" s="409">
        <f>IF($P$14&lt;&gt;"-",IF($L$58,P15*0.3,P14*0.1875),"-")</f>
        <v>6.8053538439699407E-4</v>
      </c>
      <c r="G64" s="409">
        <f>IF($P$14&lt;&gt;"-",IF($L$58,P15*0.4,P14*0.25),"-")</f>
        <v>9.0738051252932546E-4</v>
      </c>
      <c r="H64" s="409">
        <f>IF($P$14&lt;&gt;"-",IF($L$58,P15*0.6,P14*0.375),"-")</f>
        <v>1.3610707687939881E-3</v>
      </c>
      <c r="I64" s="409">
        <f>IF($P$14&lt;&gt;"-",IF($L$58,P15*0.8,P14*0.5),"-")</f>
        <v>1.8147610250586509E-3</v>
      </c>
      <c r="J64" s="409">
        <f>IF($P$14&lt;&gt;"-",IF($L$58,P15,P14*0.625),"-")</f>
        <v>2.2684512813233135E-3</v>
      </c>
      <c r="K64" s="409">
        <f>IF($P$14&lt;&gt;"-",IF($L$58,P15*1.2,P14*0.75),"-")</f>
        <v>2.7221415375879763E-3</v>
      </c>
      <c r="L64" s="410">
        <f>IF($P$14&lt;&gt;"-",IF($L$58,P15*1.6,P14),"-")</f>
        <v>3.6295220501173018E-3</v>
      </c>
      <c r="M64" s="417">
        <f>IF(COUNT(M49:M61)&gt;0,M62/M65,0)</f>
        <v>7.287037037037038E-3</v>
      </c>
      <c r="N64" s="367" t="s">
        <v>151</v>
      </c>
      <c r="O64" s="368">
        <f t="shared" si="24"/>
        <v>4.9304101845950847E-2</v>
      </c>
      <c r="P64" s="369">
        <f t="shared" si="20"/>
        <v>3.9673630240584963E-3</v>
      </c>
      <c r="Q64" s="370">
        <f t="shared" ca="1" si="21"/>
        <v>4.9254469050092585E-2</v>
      </c>
      <c r="R64" s="371">
        <f t="shared" ca="1" si="22"/>
        <v>3.9633692119476101E-3</v>
      </c>
      <c r="S64" s="354">
        <f>20/1.609344</f>
        <v>12.427423844746679</v>
      </c>
      <c r="T64" s="372">
        <v>3.8368055555555551E-2</v>
      </c>
      <c r="U64" s="373">
        <v>4.282407407407407E-2</v>
      </c>
      <c r="V64" s="374" t="s">
        <v>141</v>
      </c>
      <c r="W64" s="375">
        <f t="shared" si="25"/>
        <v>20000</v>
      </c>
      <c r="X64" s="376">
        <f t="shared" si="23"/>
        <v>0.87646718557266501</v>
      </c>
      <c r="Y64" s="377">
        <f t="shared" si="26"/>
        <v>0.89351836737590107</v>
      </c>
      <c r="Z64" s="376">
        <f t="shared" si="26"/>
        <v>0.88615216897563609</v>
      </c>
      <c r="AA64" s="383">
        <f t="shared" si="27"/>
        <v>83.94191316218766</v>
      </c>
      <c r="AB64" s="384">
        <f t="shared" si="27"/>
        <v>73.858730812110522</v>
      </c>
    </row>
    <row r="65" spans="2:28" ht="13.5" thickBot="1" x14ac:dyDescent="0.25">
      <c r="B65" s="1038">
        <f>IF($L$58,N15,N14)</f>
        <v>2.3647827909157254E-3</v>
      </c>
      <c r="C65" s="1039"/>
      <c r="D65" s="418">
        <f>IF($N$14&lt;&gt;"-",IF($L$58,N15*0.1,N14*0.0625),"-")</f>
        <v>2.3647827909157256E-4</v>
      </c>
      <c r="E65" s="418">
        <f>IF($N$14&lt;&gt;"-",IF($L$58,N15*0.2,N14*0.125),"-")</f>
        <v>4.7295655818314512E-4</v>
      </c>
      <c r="F65" s="418">
        <f>IF($N$14&lt;&gt;"-",IF($L$58,N15*0.3,N14*0.1875),"-")</f>
        <v>7.0943483727471765E-4</v>
      </c>
      <c r="G65" s="418">
        <f>IF($N$14&lt;&gt;"-",IF($L$58,N15*0.4,N14*0.25),"-")</f>
        <v>9.4591311636629024E-4</v>
      </c>
      <c r="H65" s="418">
        <f>IF($N$14&lt;&gt;"-",IF($L$58,N15*0.6,N14*0.375),"-")</f>
        <v>1.4188696745494353E-3</v>
      </c>
      <c r="I65" s="418">
        <f>IF($N$14&lt;&gt;"-",IF($L$58,N15*0.8,N14*0.5),"-")</f>
        <v>1.8918262327325805E-3</v>
      </c>
      <c r="J65" s="418">
        <f>IF($N$14&lt;&gt;"-",IF($L$58,N15,N14*0.625),"-")</f>
        <v>2.3647827909157254E-3</v>
      </c>
      <c r="K65" s="418">
        <f>IF($N$14&lt;&gt;"-",IF($L$58,N15*1.2,N14*0.75),"-")</f>
        <v>2.8377393490988706E-3</v>
      </c>
      <c r="L65" s="419">
        <f>IF($N$14&lt;&gt;"-",IF($L$58,N15*1.6,N14),"-")</f>
        <v>3.783652465465161E-3</v>
      </c>
      <c r="M65" s="420">
        <f>COUNT(M49:M61)*M66</f>
        <v>5</v>
      </c>
      <c r="N65" s="367" t="s">
        <v>73</v>
      </c>
      <c r="O65" s="368">
        <f t="shared" si="24"/>
        <v>5.2176640379271756E-2</v>
      </c>
      <c r="P65" s="369">
        <f t="shared" si="20"/>
        <v>3.9801001604236868E-3</v>
      </c>
      <c r="Q65" s="370">
        <f t="shared" ca="1" si="21"/>
        <v>5.2124115894623284E-2</v>
      </c>
      <c r="R65" s="371">
        <f t="shared" ca="1" si="22"/>
        <v>3.9760935262621927E-3</v>
      </c>
      <c r="S65" s="354">
        <f>K8</f>
        <v>13.109378728227153</v>
      </c>
      <c r="T65" s="372">
        <v>4.0543981481481479E-2</v>
      </c>
      <c r="U65" s="373">
        <v>4.5277777777777778E-2</v>
      </c>
      <c r="V65" s="374"/>
      <c r="W65" s="375">
        <f t="shared" si="25"/>
        <v>21097.5</v>
      </c>
      <c r="X65" s="376">
        <f t="shared" si="23"/>
        <v>0.87253025707172316</v>
      </c>
      <c r="Y65" s="377">
        <f t="shared" si="26"/>
        <v>0.88984520924202637</v>
      </c>
      <c r="Z65" s="376">
        <f t="shared" si="26"/>
        <v>0.88234809235297695</v>
      </c>
      <c r="AA65" s="383">
        <f t="shared" si="27"/>
        <v>84.106330289276514</v>
      </c>
      <c r="AB65" s="384">
        <f t="shared" si="27"/>
        <v>73.966933723571358</v>
      </c>
    </row>
    <row r="66" spans="2:28" ht="13.5" thickBot="1" x14ac:dyDescent="0.25">
      <c r="B66" s="1040" t="s">
        <v>152</v>
      </c>
      <c r="C66" s="1041"/>
      <c r="D66" s="1041"/>
      <c r="E66" s="1041"/>
      <c r="F66" s="1041"/>
      <c r="G66" s="1041"/>
      <c r="H66" s="1041"/>
      <c r="I66" s="1041"/>
      <c r="J66" s="1041"/>
      <c r="K66" s="1041"/>
      <c r="L66" s="1042"/>
      <c r="M66" s="421">
        <v>1</v>
      </c>
      <c r="N66" s="367" t="s">
        <v>153</v>
      </c>
      <c r="O66" s="368">
        <f t="shared" si="24"/>
        <v>6.2460817723498367E-2</v>
      </c>
      <c r="P66" s="369">
        <f t="shared" si="20"/>
        <v>4.0208376895362304E-3</v>
      </c>
      <c r="Q66" s="370">
        <f t="shared" ca="1" si="21"/>
        <v>6.2397940500323379E-2</v>
      </c>
      <c r="R66" s="371">
        <f t="shared" ca="1" si="22"/>
        <v>4.0167900462620976E-3</v>
      </c>
      <c r="S66" s="354">
        <f>25/1.609344</f>
        <v>15.534279805933348</v>
      </c>
      <c r="T66" s="372">
        <v>4.8668981481481487E-2</v>
      </c>
      <c r="U66" s="373">
        <v>5.3993055555555558E-2</v>
      </c>
      <c r="V66" s="374"/>
      <c r="W66" s="375">
        <f t="shared" si="25"/>
        <v>25000</v>
      </c>
      <c r="X66" s="376">
        <f t="shared" si="23"/>
        <v>0.86002551751093836</v>
      </c>
      <c r="Y66" s="377">
        <f t="shared" si="26"/>
        <v>0.8773661147741546</v>
      </c>
      <c r="Z66" s="376">
        <f t="shared" si="26"/>
        <v>0.87014611522163554</v>
      </c>
      <c r="AA66" s="383">
        <f t="shared" si="27"/>
        <v>83.942748053237494</v>
      </c>
      <c r="AB66" s="384">
        <f t="shared" si="27"/>
        <v>74.420185745735807</v>
      </c>
    </row>
    <row r="67" spans="2:28" ht="14.25" thickTop="1" thickBot="1" x14ac:dyDescent="0.25">
      <c r="B67" s="364"/>
      <c r="C67" s="365"/>
      <c r="D67" s="365"/>
      <c r="E67" s="365"/>
      <c r="F67" s="365"/>
      <c r="G67" s="365"/>
      <c r="H67" s="365"/>
      <c r="I67" s="365"/>
      <c r="J67" s="365"/>
      <c r="K67" s="365"/>
      <c r="L67" s="366"/>
      <c r="M67" s="422" t="s">
        <v>154</v>
      </c>
      <c r="N67" s="367" t="s">
        <v>155</v>
      </c>
      <c r="O67" s="368">
        <f t="shared" si="24"/>
        <v>7.5777415062129663E-2</v>
      </c>
      <c r="P67" s="369">
        <f t="shared" si="20"/>
        <v>4.0650642755249329E-3</v>
      </c>
      <c r="Q67" s="370">
        <f t="shared" ca="1" si="21"/>
        <v>7.570113246430045E-2</v>
      </c>
      <c r="R67" s="371">
        <f t="shared" ca="1" si="22"/>
        <v>4.0609721108209049E-3</v>
      </c>
      <c r="S67" s="354">
        <f>30/1.609344</f>
        <v>18.641135767120019</v>
      </c>
      <c r="T67" s="372">
        <v>5.9143518518518519E-2</v>
      </c>
      <c r="U67" s="373">
        <v>6.5509259259259267E-2</v>
      </c>
      <c r="V67" s="423"/>
      <c r="W67" s="375">
        <f t="shared" si="25"/>
        <v>30000</v>
      </c>
      <c r="X67" s="376">
        <f t="shared" si="23"/>
        <v>0.84698084545297592</v>
      </c>
      <c r="Y67" s="377">
        <f t="shared" si="26"/>
        <v>0.86380358136395219</v>
      </c>
      <c r="Z67" s="376">
        <f t="shared" si="26"/>
        <v>0.85675123322378022</v>
      </c>
      <c r="AA67" s="383">
        <f t="shared" si="27"/>
        <v>83.936711512887442</v>
      </c>
      <c r="AB67" s="384">
        <f t="shared" si="27"/>
        <v>74.560974111327553</v>
      </c>
    </row>
    <row r="68" spans="2:28" ht="13.5" thickBot="1" x14ac:dyDescent="0.25">
      <c r="B68" s="1043" t="s">
        <v>156</v>
      </c>
      <c r="C68" s="1044"/>
      <c r="D68" s="1044"/>
      <c r="E68" s="1044"/>
      <c r="F68" s="1045" t="s">
        <v>157</v>
      </c>
      <c r="G68" s="1045"/>
      <c r="H68" s="1045"/>
      <c r="I68" s="1045"/>
      <c r="J68" s="1045"/>
      <c r="K68" s="1046"/>
      <c r="L68" s="424" t="b">
        <v>0</v>
      </c>
      <c r="M68" s="425" t="s">
        <v>119</v>
      </c>
      <c r="N68" s="367" t="s">
        <v>65</v>
      </c>
      <c r="O68" s="368">
        <f t="shared" si="24"/>
        <v>0.10878472222222223</v>
      </c>
      <c r="P68" s="369">
        <f t="shared" si="20"/>
        <v>4.1491181419599484E-3</v>
      </c>
      <c r="Q68" s="370">
        <f t="shared" ca="1" si="21"/>
        <v>0.10867521226851852</v>
      </c>
      <c r="R68" s="371">
        <f t="shared" ca="1" si="22"/>
        <v>4.1449413630303749E-3</v>
      </c>
      <c r="S68" s="354">
        <f>J8</f>
        <v>26.218757456454306</v>
      </c>
      <c r="T68" s="372">
        <v>8.5381944444444455E-2</v>
      </c>
      <c r="U68" s="373">
        <v>9.4039351851851846E-2</v>
      </c>
      <c r="V68" s="374"/>
      <c r="W68" s="375">
        <f t="shared" si="25"/>
        <v>42195</v>
      </c>
      <c r="X68" s="376">
        <f t="shared" si="23"/>
        <v>0.82559494718934712</v>
      </c>
      <c r="Y68" s="377">
        <f t="shared" si="26"/>
        <v>0.83937037212683074</v>
      </c>
      <c r="Z68" s="376">
        <f t="shared" si="26"/>
        <v>0.83357274207491261</v>
      </c>
      <c r="AA68" s="383">
        <f t="shared" si="27"/>
        <v>83.631429237546513</v>
      </c>
      <c r="AB68" s="384">
        <f t="shared" si="27"/>
        <v>74.724020429459273</v>
      </c>
    </row>
    <row r="69" spans="2:28" ht="13.5" thickBot="1" x14ac:dyDescent="0.25">
      <c r="B69" s="997" t="s">
        <v>158</v>
      </c>
      <c r="C69" s="1047"/>
      <c r="D69" s="998"/>
      <c r="E69" s="426" t="s">
        <v>159</v>
      </c>
      <c r="F69" s="427" t="s">
        <v>160</v>
      </c>
      <c r="G69" s="427" t="s">
        <v>161</v>
      </c>
      <c r="H69" s="427" t="s">
        <v>162</v>
      </c>
      <c r="I69" s="427" t="s">
        <v>163</v>
      </c>
      <c r="J69" s="427" t="s">
        <v>164</v>
      </c>
      <c r="K69" s="427" t="s">
        <v>165</v>
      </c>
      <c r="L69" s="428" t="s">
        <v>166</v>
      </c>
      <c r="M69" s="429">
        <v>0.13320601851851852</v>
      </c>
      <c r="N69" s="367" t="s">
        <v>167</v>
      </c>
      <c r="O69" s="430">
        <f t="shared" si="24"/>
        <v>0.13022652774177065</v>
      </c>
      <c r="P69" s="431">
        <f t="shared" si="20"/>
        <v>4.1915856212410433E-3</v>
      </c>
      <c r="Q69" s="432">
        <f t="shared" ca="1" si="21"/>
        <v>0.13009543303717727</v>
      </c>
      <c r="R69" s="433">
        <f t="shared" ca="1" si="22"/>
        <v>4.1873660917156608E-3</v>
      </c>
      <c r="S69" s="354">
        <f>50/1.609344</f>
        <v>31.068559611866696</v>
      </c>
      <c r="T69" s="396">
        <v>0.10381944444444445</v>
      </c>
      <c r="U69" s="397">
        <v>0.11365740740740742</v>
      </c>
      <c r="V69" s="434"/>
      <c r="W69" s="435">
        <f t="shared" si="25"/>
        <v>50000</v>
      </c>
      <c r="X69" s="436">
        <f t="shared" si="23"/>
        <v>0.81725080611431278</v>
      </c>
      <c r="Y69" s="437">
        <f t="shared" si="26"/>
        <v>0.82804352188881181</v>
      </c>
      <c r="Z69" s="436">
        <f t="shared" si="26"/>
        <v>0.82339999924084262</v>
      </c>
      <c r="AA69" s="438">
        <f t="shared" si="27"/>
        <v>82.107800547242761</v>
      </c>
      <c r="AB69" s="439">
        <f t="shared" si="27"/>
        <v>73.823068676968091</v>
      </c>
    </row>
    <row r="70" spans="2:28" ht="13.5" thickBot="1" x14ac:dyDescent="0.25">
      <c r="B70" s="1022" t="s">
        <v>168</v>
      </c>
      <c r="C70" s="1023"/>
      <c r="D70" s="1024"/>
      <c r="E70" s="440" t="str">
        <f>IF($L$68,"1.6 k","Mile")</f>
        <v>Mile</v>
      </c>
      <c r="F70" s="440" t="s">
        <v>169</v>
      </c>
      <c r="G70" s="440" t="s">
        <v>170</v>
      </c>
      <c r="H70" s="440" t="s">
        <v>171</v>
      </c>
      <c r="I70" s="440" t="s">
        <v>172</v>
      </c>
      <c r="J70" s="440" t="s">
        <v>173</v>
      </c>
      <c r="K70" s="440" t="s">
        <v>174</v>
      </c>
      <c r="L70" s="441" t="s">
        <v>175</v>
      </c>
      <c r="M70" s="442">
        <v>0.13295138888888888</v>
      </c>
      <c r="N70" s="1025" t="s">
        <v>176</v>
      </c>
      <c r="O70" s="1026"/>
      <c r="P70" s="443" t="b">
        <v>0</v>
      </c>
      <c r="Q70" s="1027" t="s">
        <v>177</v>
      </c>
      <c r="R70" s="1028"/>
    </row>
    <row r="71" spans="2:28" ht="13.5" thickBot="1" x14ac:dyDescent="0.25">
      <c r="B71" s="1029" t="str">
        <f>IF($L$68,"Pace / km","Pace / mile")</f>
        <v>Pace / mile</v>
      </c>
      <c r="C71" s="1030"/>
      <c r="D71" s="1031"/>
      <c r="E71" s="444">
        <f>IF($L$68,$R$15,$R$14)</f>
        <v>3.4106650802185248E-3</v>
      </c>
      <c r="F71" s="445" t="str">
        <f>IF($L$68,TEXT($Q$15,"m:ss")&amp;" - "&amp;TEXT($O$15,"m:ss"),TEXT($Q$14,"m:ss")&amp;"-"&amp;TEXT($O$14,"m:ss"))</f>
        <v>5:06-5:24</v>
      </c>
      <c r="G71" s="445" t="str">
        <f>IF($L$68,TEXT($O$15,"m:ss")&amp;" - "&amp;TEXT($M$15,"m:ss"),TEXT($O$14,"m:ss")&amp;"-"&amp;TEXT($M$14,"m:ss"))</f>
        <v>5:24-5:32</v>
      </c>
      <c r="H71" s="445" t="str">
        <f>IF($L$68,TEXT($N$15,"m:ss")&amp;" - "&amp;TEXT($L$15,"m:ss"),TEXT($N$14,"m:ss")&amp;"-"&amp;TEXT($L$14,"m:ss"))</f>
        <v>5:29-5:37</v>
      </c>
      <c r="I71" s="445" t="str">
        <f>IF($L$68,TEXT($M$15,"m:ss")&amp;" - "&amp;TEXT($K$15,"m:ss"),TEXT($M$14,"m:ss")&amp;"-"&amp;TEXT($K$14,"m:ss"))</f>
        <v>5:32-5:44</v>
      </c>
      <c r="J71" s="445" t="str">
        <f>IF($L$68,TEXT($K$15,"m:ss")&amp;" - "&amp;TEXT(($J$15+$K$15)/2,"m:ss"),TEXT($K$14,"m:ss")&amp;"-"&amp;TEXT(($J$14+$K$14)/2,"m:ss"))</f>
        <v>5:44-5:51</v>
      </c>
      <c r="K71" s="445" t="str">
        <f>TEXT(($J$14+"0:00:30")*IF($L$68,0.621371192,1),"m:ss")&amp;" - "&amp;TEXT(($J$14+"0:01:00")*IF($L$68,0.621371192,1),"m:ss")</f>
        <v>6:28 - 6:58</v>
      </c>
      <c r="L71" s="446" t="str">
        <f>TEXT(($J$14+"0:00:30")*IF($L$68,0.621371192,1),"m:ss")&amp;" - "&amp;TEXT(($J$14+"0:01:30")*IF($L$68,0.621371192,1),"m:ss")</f>
        <v>6:28 - 7:28</v>
      </c>
      <c r="M71" s="447">
        <f>M69-M70</f>
        <v>2.5462962962963243E-4</v>
      </c>
      <c r="N71" s="448" t="s">
        <v>178</v>
      </c>
      <c r="O71" s="449" t="s">
        <v>179</v>
      </c>
      <c r="P71" s="450" t="s">
        <v>180</v>
      </c>
      <c r="Q71" s="1032" t="s">
        <v>181</v>
      </c>
      <c r="R71" s="1033"/>
    </row>
    <row r="72" spans="2:28" ht="14.25" thickTop="1" thickBot="1" x14ac:dyDescent="0.25">
      <c r="B72" s="1034"/>
      <c r="C72" s="1035"/>
      <c r="D72" s="1035"/>
      <c r="E72" s="1035"/>
      <c r="F72" s="1035"/>
      <c r="G72" s="451" t="str">
        <f>IF($H$72,"Heart Rate","% HRmax")</f>
        <v>% HRmax</v>
      </c>
      <c r="H72" s="452" t="b">
        <v>0</v>
      </c>
      <c r="I72" s="453" t="str">
        <f>IF($H$72,TEXT(0.9*$E$3,0)&amp;" - "&amp;TEXT(0.85*$E$3,0),"90 - 85%")</f>
        <v>90 - 85%</v>
      </c>
      <c r="J72" s="453" t="str">
        <f>IF($H$72,TEXT(0.87*$E$3,0)&amp;" - "&amp;TEXT(0.83*$E$3,0),"87 - 83%")</f>
        <v>87 - 83%</v>
      </c>
      <c r="K72" s="454" t="str">
        <f>IF($H$72,TEXT(0.75*$E$3,0),"75%")</f>
        <v>75%</v>
      </c>
      <c r="L72" s="455" t="str">
        <f>IF($H$72,TEXT(0.7*$E$3,0),"70%")</f>
        <v>70%</v>
      </c>
      <c r="N72" s="456"/>
      <c r="R72" s="457" t="str">
        <f>IF(ISNA(MATCH(D8,S50:S69,0)),"No","Yes")</f>
        <v>Yes</v>
      </c>
    </row>
    <row r="73" spans="2:28" ht="14.25" thickTop="1" thickBot="1" x14ac:dyDescent="0.25">
      <c r="B73" s="1055" t="s">
        <v>182</v>
      </c>
      <c r="C73" s="1056"/>
      <c r="D73" s="1056"/>
      <c r="E73" s="1056"/>
      <c r="F73" s="1056"/>
      <c r="G73" s="1056"/>
      <c r="H73" s="1056"/>
      <c r="I73" s="1056"/>
      <c r="J73" s="1056"/>
      <c r="K73" s="1056"/>
      <c r="L73" s="1057"/>
      <c r="M73" s="1058" t="str">
        <f>"Entry Time Grading - "&amp;E6</f>
        <v>Entry Time Grading - Marathon</v>
      </c>
      <c r="N73" s="1059"/>
      <c r="O73" s="1060"/>
      <c r="P73" s="1058" t="str">
        <f>IF(C4,"Male","Female")&amp;" Peak Potential - "&amp;$E$6</f>
        <v>Male Peak Potential - Marathon</v>
      </c>
      <c r="Q73" s="1059"/>
      <c r="R73" s="1060"/>
      <c r="T73" s="458"/>
      <c r="U73" s="458"/>
      <c r="V73" s="885"/>
    </row>
    <row r="74" spans="2:28" ht="13.5" thickBot="1" x14ac:dyDescent="0.25">
      <c r="B74" s="1061" t="s">
        <v>183</v>
      </c>
      <c r="C74" s="1062"/>
      <c r="D74" s="1062"/>
      <c r="E74" s="1062"/>
      <c r="F74" s="1045" t="s">
        <v>184</v>
      </c>
      <c r="G74" s="1045"/>
      <c r="H74" s="1045"/>
      <c r="I74" s="1045"/>
      <c r="J74" s="1045"/>
      <c r="K74" s="1045"/>
      <c r="L74" s="459" t="b">
        <v>0</v>
      </c>
      <c r="M74" s="1063" t="str">
        <f ca="1">IF($C$4," Male ","Female ")&amp;IF(ISNUMBER($E$5),$E$5,"")</f>
        <v xml:space="preserve"> Male 31</v>
      </c>
      <c r="N74" s="1064"/>
      <c r="O74" s="1065">
        <f>$G$6</f>
        <v>0.10878472222222223</v>
      </c>
      <c r="P74" s="460"/>
      <c r="Q74" s="461" t="s">
        <v>185</v>
      </c>
      <c r="R74" s="462">
        <f>IF(R72="No","No Std",LOOKUP($D$8,$S$50:$S$69,IF($C$4,$T$50:$T$69,$U$50:$U$69)))</f>
        <v>8.5381944444444455E-2</v>
      </c>
      <c r="T74" s="458"/>
      <c r="U74" s="458"/>
      <c r="V74" s="885"/>
      <c r="W74" s="885"/>
    </row>
    <row r="75" spans="2:28" ht="13.5" thickBot="1" x14ac:dyDescent="0.25">
      <c r="B75" s="997" t="s">
        <v>186</v>
      </c>
      <c r="C75" s="1047"/>
      <c r="D75" s="1047"/>
      <c r="E75" s="998"/>
      <c r="F75" s="890" t="s">
        <v>187</v>
      </c>
      <c r="G75" s="890" t="s">
        <v>188</v>
      </c>
      <c r="H75" s="890" t="s">
        <v>189</v>
      </c>
      <c r="I75" s="890" t="s">
        <v>190</v>
      </c>
      <c r="J75" s="890" t="s">
        <v>191</v>
      </c>
      <c r="K75" s="890" t="s">
        <v>192</v>
      </c>
      <c r="L75" s="891" t="s">
        <v>193</v>
      </c>
      <c r="M75" s="1048" t="str">
        <f>IF(O74=$G$6, "Current Entry Time","Manual Time")</f>
        <v>Current Entry Time</v>
      </c>
      <c r="N75" s="1049"/>
      <c r="O75" s="1066"/>
      <c r="P75" s="465"/>
      <c r="Q75" s="466" t="str">
        <f ca="1">IF($O$85="yes","Age "&amp;DATEDIF($E$2,NOW(),"y")&amp;" Std:","")</f>
        <v>Age 31 Std:</v>
      </c>
      <c r="R75" s="467">
        <f ca="1">IF(R72="No","No Std",IF($O$85="yes",$R$74/LOOKUP(DATEDIF($E$2,NOW(),"y"),$AD$135:$AD$230,IF($C$4,$AE$135:$AE$230,$AF$135:$AF$230)),"Birthdate?"))</f>
        <v>8.5467982213205757E-2</v>
      </c>
      <c r="T75" s="458"/>
      <c r="U75" s="458"/>
      <c r="V75" s="885"/>
      <c r="W75" s="885"/>
    </row>
    <row r="76" spans="2:28" ht="13.5" thickBot="1" x14ac:dyDescent="0.25">
      <c r="B76" s="1022" t="s">
        <v>194</v>
      </c>
      <c r="C76" s="1023"/>
      <c r="D76" s="1023"/>
      <c r="E76" s="1024"/>
      <c r="F76" s="468" t="str">
        <f>IF($E$3,"&lt; "&amp;TEXT(IF($D$78,$F$78,$C$78)*0.85,0),"-")</f>
        <v>&lt; 154</v>
      </c>
      <c r="G76" s="468" t="str">
        <f>IF($E$3,TEXT(IF($D$78,$F$78,$C$78)*0.85,0)&amp;" - "&amp;TEXT(IF($D$78,$F$78,$C$78)*0.89,0),"-")</f>
        <v>154 - 161</v>
      </c>
      <c r="H76" s="468" t="str">
        <f>IF($E$3,TEXT(IF($D$78,$F$78,$C$78)*0.9,0)&amp;" - "&amp;TEXT(IF($D$78,$F$78,$C$78)*0.94,0),"-")</f>
        <v>163 - 170</v>
      </c>
      <c r="I76" s="468" t="str">
        <f>IF($E$3,TEXT(IF($D$78,$F$78,$C$78)*0.95,0)&amp;" - "&amp;TEXT(IF($D$78,$F$78,$C$78)*0.99,0),"-")</f>
        <v>172 - 179</v>
      </c>
      <c r="J76" s="468" t="str">
        <f>IF($E$3,TEXT(IF($D$78,$F$78,$C$78)*1,0)&amp;" - "&amp;TEXT(IF($D$78,$F$78,$C$78)*1.02,0),"-")</f>
        <v>181 - 185</v>
      </c>
      <c r="K76" s="468" t="str">
        <f>IF($E$3,TEXT(IF($D$78,$F$78,$C$78)*1.03,0)&amp;" - "&amp;TEXT(IF($D$78,$F$78,$C$78)*1.06,0),"-")</f>
        <v>186 - 192</v>
      </c>
      <c r="L76" s="469" t="str">
        <f>IF($E$3,"&gt; "&amp;TEXT(IF($D$78,$F$78,$C$78)*1.06,0),"-")</f>
        <v>&gt; 192</v>
      </c>
      <c r="M76" s="1048"/>
      <c r="N76" s="1049"/>
      <c r="O76" s="470">
        <f>O74/IF(L80,F8/1000,D8)</f>
        <v>4.1491181419599484E-3</v>
      </c>
      <c r="P76" s="1050" t="s">
        <v>195</v>
      </c>
      <c r="Q76" s="1051"/>
      <c r="R76" s="471">
        <f ca="1">IF($O$85="Yes",$E$5,"Birthdate?")</f>
        <v>31</v>
      </c>
      <c r="T76" s="458"/>
      <c r="U76" s="458"/>
      <c r="V76" s="885"/>
      <c r="W76" s="885"/>
    </row>
    <row r="77" spans="2:28" ht="13.5" thickBot="1" x14ac:dyDescent="0.25">
      <c r="B77" s="1029" t="str">
        <f>IF($L$74,"Zone Pace / km","Zone Pace / mile")</f>
        <v>Zone Pace / mile</v>
      </c>
      <c r="C77" s="1030"/>
      <c r="D77" s="1030"/>
      <c r="E77" s="1031"/>
      <c r="F77" s="444" t="str">
        <f>"&lt; "&amp;TEXT(IF($J$78,$L$78/60,$I$78)*1.29*IF(L74,0.621371192,1),"m:ss")</f>
        <v>&lt; 7:19</v>
      </c>
      <c r="G77" s="444" t="str">
        <f>TEXT(IF($J$78,$L$78/60,$I$78)*1.29*IF(L74,0.621371192,1),"m:ss")&amp;" - "&amp;TEXT(IF($J$78,$L$78/60,$I$78)*1.14*IF(L74,0.621371192,1),"m:ss")</f>
        <v>7:19 - 6:28</v>
      </c>
      <c r="H77" s="444" t="str">
        <f>TEXT(IF($J$78,$L$78/60,$I$78)*1.13*IF(L74,0.621371192,1),"m:ss")&amp;" - "&amp;TEXT(IF($J$78,$L$78/60,$I$78)*1.06*IF(L74,0.621371192,1),"m:ss")</f>
        <v>6:25 - 6:01</v>
      </c>
      <c r="I77" s="444" t="str">
        <f>TEXT(IF($J$78,$L$78/60,$I$78)*1.05*IF(L74,0.621371192,1),"m:ss")&amp;" - "&amp;TEXT(IF($J$78,$L$78/60,$I$78)*0.99*IF(L74,0.621371192,1),"m:ss")</f>
        <v>5:57 - 5:37</v>
      </c>
      <c r="J77" s="444" t="str">
        <f>TEXT(IF($J$78,$L$78/60,$I$78)*1*IF(L74,0.621371192,1),"m:ss")&amp;" - "&amp;TEXT(IF($J$78,$L$78/60,$I$78)*0.97*IF(L74,0.621371192,1),"m:ss")</f>
        <v>5:40 - 5:30</v>
      </c>
      <c r="K77" s="444" t="str">
        <f>TEXT(IF($J$78,$L$78/60,$I$78)*0.96*IF(L74,0.621371192,1),"m:ss")&amp;" - "&amp;TEXT(IF($J$78,$L$78/60,$I$78)*0.9*IF(L74,0.621371192,1),"m:ss")</f>
        <v>5:27 - 5:06</v>
      </c>
      <c r="L77" s="472" t="str">
        <f>"&gt; "&amp;TEXT(IF($J$78,$L$78/60,$I$78)*0.9*IF(L74,0.621371192,1),"m:ss")</f>
        <v>&gt; 5:06</v>
      </c>
      <c r="M77" s="1052" t="s">
        <v>196</v>
      </c>
      <c r="N77" s="1053"/>
      <c r="O77" s="473" t="s">
        <v>101</v>
      </c>
      <c r="P77" s="1050" t="s">
        <v>197</v>
      </c>
      <c r="Q77" s="1054"/>
      <c r="R77" s="474">
        <f>IF(AND($C$2&gt;0,$C$3&gt;0),IF($B$4,$C$3 / ($C$2/100)^2,$C$3 / $C$2^2*703),"Wght / Hght?")</f>
        <v>21.61575084308669</v>
      </c>
      <c r="T77" s="458"/>
      <c r="U77" s="458"/>
      <c r="V77" s="885"/>
      <c r="W77" s="885"/>
    </row>
    <row r="78" spans="2:28" ht="13.5" thickBot="1" x14ac:dyDescent="0.25">
      <c r="B78" s="475" t="s">
        <v>198</v>
      </c>
      <c r="C78" s="476">
        <f>IF($E$3&lt;&gt;"",$E$3*0.9,"")</f>
        <v>180.9</v>
      </c>
      <c r="D78" s="1086" t="b">
        <v>0</v>
      </c>
      <c r="E78" s="1087"/>
      <c r="F78" s="477">
        <v>157</v>
      </c>
      <c r="G78" s="478"/>
      <c r="H78" s="479" t="s">
        <v>199</v>
      </c>
      <c r="I78" s="480">
        <f>+L6</f>
        <v>3.9393975760932502E-3</v>
      </c>
      <c r="J78" s="1086" t="b">
        <v>0</v>
      </c>
      <c r="K78" s="1087"/>
      <c r="L78" s="481">
        <v>0.30208333333333331</v>
      </c>
      <c r="M78" s="1088" t="s">
        <v>200</v>
      </c>
      <c r="N78" s="1089"/>
      <c r="O78" s="1090"/>
      <c r="P78" s="1091" t="str">
        <f>"current age, wght "&amp;ROUND($C$3,1)</f>
        <v>current age, wght 155</v>
      </c>
      <c r="Q78" s="1092"/>
      <c r="R78" s="482">
        <f ca="1">IF(R72="no","-",IF(AND($C$2&gt;0,$C$3&gt;0,$O$85="yes"),MAX($R$75*(C3/MIN(D98,F100))^$I$93,$R$75),"""?"))</f>
        <v>9.7262667801660888E-2</v>
      </c>
      <c r="T78" s="458"/>
      <c r="U78" s="458"/>
      <c r="V78" s="885"/>
      <c r="W78" s="885"/>
    </row>
    <row r="79" spans="2:28" ht="13.5" thickBot="1" x14ac:dyDescent="0.25">
      <c r="B79" s="483"/>
      <c r="M79" s="484"/>
      <c r="N79" s="24"/>
      <c r="O79" s="485"/>
      <c r="P79" s="1052" t="s">
        <v>201</v>
      </c>
      <c r="Q79" s="1053"/>
      <c r="R79" s="486">
        <f>IF(AND($C$2&gt;0,$P$80&gt;0),IF($B$4,$P$80 / ($C$2/100)^2,$P$80 / $C$2^2*703),"")</f>
        <v>18.498158078143003</v>
      </c>
      <c r="T79" s="458"/>
      <c r="U79" s="458"/>
      <c r="V79" s="885"/>
      <c r="W79" s="885"/>
    </row>
    <row r="80" spans="2:28" ht="13.5" thickBot="1" x14ac:dyDescent="0.25">
      <c r="B80" s="487"/>
      <c r="C80" s="995" t="str">
        <f>"Projected Impact of Temperature on "&amp;E6&amp;" Time "&amp;IF($D$85=4,IF($C$4,"- Male","- Female"),"")</f>
        <v xml:space="preserve">Projected Impact of Temperature on Marathon Time </v>
      </c>
      <c r="D80" s="995"/>
      <c r="E80" s="995"/>
      <c r="F80" s="995"/>
      <c r="G80" s="995"/>
      <c r="H80" s="995"/>
      <c r="I80" s="995"/>
      <c r="J80" s="1093" t="str">
        <f>IF($D$85=1,HYPERLINK($AE$232,"J.Daniels"),IF($D$85=2,HYPERLINK($AE$236,"M.Hadley"),IF($D$85=3,HYPERLINK($AE$240,"Tinman"),IF($D$85=4,HYPERLINK($AE$244,"El Helou, et al")))))</f>
        <v>J.Daniels</v>
      </c>
      <c r="K80" s="1093"/>
      <c r="L80" s="403" t="b">
        <v>0</v>
      </c>
      <c r="M80" s="484"/>
      <c r="N80" s="24"/>
      <c r="O80" s="485"/>
      <c r="P80" s="488">
        <f>D98</f>
        <v>132.64468687328431</v>
      </c>
      <c r="Q80" s="489" t="str">
        <f>IF($B$4," kg"," lbs")</f>
        <v xml:space="preserve"> lbs</v>
      </c>
      <c r="R80" s="490">
        <f ca="1">IF(R72="no","-",IF(AND($C$3&gt;0,$P$80&gt;0,$O$85="yes"),$R$78*(IF(P80&gt;=MIN(D98,F100,C3),P80,MIN(F100,D98,C3))/C3)^$I$93,"?"))</f>
        <v>8.5467982213205757E-2</v>
      </c>
      <c r="T80" s="458"/>
      <c r="U80" s="458"/>
      <c r="V80" s="885"/>
      <c r="W80" s="885"/>
    </row>
    <row r="81" spans="2:23" ht="14.25" thickTop="1" thickBot="1" x14ac:dyDescent="0.25">
      <c r="B81" s="1067" t="str">
        <f>IF($D$85=1,W233,IF($D$85=2,W237,IF($D$85=3,W241,IF($D$85=4,W245))))</f>
        <v>Temperature  °F</v>
      </c>
      <c r="C81" s="1068"/>
      <c r="D81" s="491">
        <f>IF($D$85=1,Y233,IF($D$85=2,Y237,IF($D$85=3,Y241,IF($D$85=4,Y245))))</f>
        <v>55</v>
      </c>
      <c r="E81" s="491">
        <f t="shared" ref="E81:K82" si="29">IF($D$85=1,Z233,IF($D$85=2,Z237,IF($D$85=3,Z241,IF($D$85=4,IF($C$4,Z245,Z249)))))</f>
        <v>60</v>
      </c>
      <c r="F81" s="491">
        <f t="shared" si="29"/>
        <v>65</v>
      </c>
      <c r="G81" s="491">
        <f t="shared" si="29"/>
        <v>70</v>
      </c>
      <c r="H81" s="491">
        <f t="shared" si="29"/>
        <v>75</v>
      </c>
      <c r="I81" s="491">
        <f t="shared" si="29"/>
        <v>80</v>
      </c>
      <c r="J81" s="491">
        <f t="shared" si="29"/>
        <v>85</v>
      </c>
      <c r="K81" s="491">
        <f t="shared" si="29"/>
        <v>90</v>
      </c>
      <c r="L81" s="491">
        <f>IF($D$85=1,AG233,IF($D$85=2,AG237,IF($D$85=3,AG241,IF($D$85=4,AG245))))</f>
        <v>95</v>
      </c>
      <c r="M81" s="1069" t="s">
        <v>202</v>
      </c>
      <c r="N81" s="1070"/>
      <c r="O81" s="1071"/>
      <c r="P81" s="162"/>
      <c r="R81" s="492"/>
      <c r="T81" s="458"/>
      <c r="U81" s="458"/>
      <c r="V81" s="885"/>
      <c r="W81" s="885"/>
    </row>
    <row r="82" spans="2:23" ht="14.25" thickTop="1" thickBot="1" x14ac:dyDescent="0.25">
      <c r="B82" s="1072" t="s">
        <v>203</v>
      </c>
      <c r="C82" s="1073"/>
      <c r="D82" s="493">
        <f>IF($D$85=1,Y234,IF($D$85=2,Y238,IF($D$85=3,Y242,IF($D$85=4,Y246))))</f>
        <v>0.10878472222222223</v>
      </c>
      <c r="E82" s="494">
        <f t="shared" si="29"/>
        <v>0.10895145330243056</v>
      </c>
      <c r="F82" s="494">
        <f t="shared" si="29"/>
        <v>0.10979110818090278</v>
      </c>
      <c r="G82" s="494">
        <f t="shared" si="29"/>
        <v>0.11063076305937501</v>
      </c>
      <c r="H82" s="494">
        <f t="shared" si="29"/>
        <v>0.11147041793784723</v>
      </c>
      <c r="I82" s="494">
        <f t="shared" si="29"/>
        <v>0.11231007281631945</v>
      </c>
      <c r="J82" s="494">
        <f t="shared" si="29"/>
        <v>0.11314972769479167</v>
      </c>
      <c r="K82" s="494">
        <f t="shared" si="29"/>
        <v>0.11398938257326389</v>
      </c>
      <c r="L82" s="494">
        <f>IF($D$85=1,AG234,IF($D$85=2,AG238,IF($D$85=3,AG242,IF($D$85=4,AG246))))</f>
        <v>0.11482903745173612</v>
      </c>
      <c r="M82" s="1074" t="s">
        <v>204</v>
      </c>
      <c r="N82" s="1075"/>
      <c r="O82" s="495">
        <v>25</v>
      </c>
      <c r="P82" s="1076" t="s">
        <v>205</v>
      </c>
      <c r="Q82" s="1077"/>
      <c r="R82" s="1078"/>
    </row>
    <row r="83" spans="2:23" ht="13.5" thickTop="1" x14ac:dyDescent="0.2">
      <c r="B83" s="1079" t="str">
        <f>IF($L$80,"Adj Pace / km","Adj Pace / mile")</f>
        <v>Adj Pace / mile</v>
      </c>
      <c r="C83" s="1080"/>
      <c r="D83" s="496">
        <f>IF($D$82&lt;&gt;"-",D82/IF($L$80,$F$8/1000,$D$8),"-")</f>
        <v>4.1491181419599484E-3</v>
      </c>
      <c r="E83" s="497">
        <f>IF($E$82&lt;&gt;"-",E82/IF($L$80,$F$8/1000,$D$8),"-")</f>
        <v>4.1554773708625857E-3</v>
      </c>
      <c r="F83" s="497">
        <f>IF($F$82&lt;&gt;"-",F82/IF($L$80,$F$8/1000,$D$8),"-")</f>
        <v>4.1875023392413035E-3</v>
      </c>
      <c r="G83" s="497">
        <f>IF($G$82&lt;&gt;"-",G82/IF($L$80,$F$8/1000,$D$8),"-")</f>
        <v>4.2195273076200222E-3</v>
      </c>
      <c r="H83" s="497">
        <f>IF($H$82&lt;&gt;"-",H82/IF($L$80,$F$8/1000,$D$8),"-")</f>
        <v>4.2515522759987399E-3</v>
      </c>
      <c r="I83" s="497">
        <f>IF($I$82&lt;&gt;"-",I82/IF($L$80,$F$8/1000,$D$8),"-")</f>
        <v>4.2835772443774577E-3</v>
      </c>
      <c r="J83" s="497">
        <f>IF($J$82&lt;&gt;"-",J82/IF($L$80,$F$8/1000,$D$8),"-")</f>
        <v>4.3156022127561755E-3</v>
      </c>
      <c r="K83" s="497">
        <f>IF($K$82&lt;&gt;"-",K82/IF($L$80,$F$8/1000,$D$8),"-")</f>
        <v>4.3476271811348933E-3</v>
      </c>
      <c r="L83" s="498">
        <f>IF($L$82&lt;&gt;"-",L82/IF($L$80,$F$8/1000,$D$8),"-")</f>
        <v>4.3796521495136111E-3</v>
      </c>
      <c r="M83" s="1081" t="s">
        <v>206</v>
      </c>
      <c r="N83" s="1082"/>
      <c r="O83" s="499">
        <f ca="1">ABS(IF($O$85="yes",$O$74-$O$84,0))</f>
        <v>1.0950995370370697E-4</v>
      </c>
      <c r="P83" s="1083" t="s">
        <v>207</v>
      </c>
      <c r="Q83" s="1084"/>
      <c r="R83" s="1085"/>
      <c r="T83" s="500"/>
    </row>
    <row r="84" spans="2:23" ht="13.5" thickBot="1" x14ac:dyDescent="0.25">
      <c r="B84" s="1101" t="str">
        <f>IF($L$80,"Drop in Seconds / km","Drop in Seconds / mile")</f>
        <v>Drop in Seconds / mile</v>
      </c>
      <c r="C84" s="1102"/>
      <c r="D84" s="501"/>
      <c r="E84" s="502">
        <f>IF($D$85=4,MROUND(E83,"0:0:1")-MROUND($G83,"0:0:1"),MROUND(E83,"0:0:1")-MROUND($D$83,"0:0:1"))</f>
        <v>1.157407407407357E-5</v>
      </c>
      <c r="F84" s="502">
        <f>IF($D$85=4,MROUND(F83,"0:0:1")-MROUND($G83,"0:0:1"),MROUND(F83,"0:0:1")-MROUND($D$83,"0:0:1"))</f>
        <v>4.6296296296296016E-5</v>
      </c>
      <c r="G84" s="502">
        <f>IF($D$85=4,"",MROUND(G83,"0:0:1")-MROUND($D$83,"0:0:1"))</f>
        <v>8.1018518518518462E-5</v>
      </c>
      <c r="H84" s="502">
        <f>IF($D$85=4,MROUND(H83,"0:0:1")-MROUND($G83,"0:0:1"),MROUND(H83,"0:0:1")-MROUND($D$83,"0:0:1"))</f>
        <v>1.0416666666666647E-4</v>
      </c>
      <c r="I84" s="502">
        <f>IF($D$85=4,MROUND(I83,"0:0:1")-MROUND($G83,"0:0:1"),MROUND(I83,"0:0:1")-MROUND($D$83,"0:0:1"))</f>
        <v>1.3888888888888892E-4</v>
      </c>
      <c r="J84" s="502">
        <f>IF($D$85=4,MROUND(J83,"0:0:1")-MROUND($G83,"0:0:1"),MROUND(J83,"0:0:1")-MROUND($D$83,"0:0:1"))</f>
        <v>1.7361111111111049E-4</v>
      </c>
      <c r="K84" s="502">
        <f>IF($D$85=4,MROUND(K83,"0:0:1")-MROUND($G83,"0:0:1"),MROUND(K83,"0:0:1")-MROUND($D$83,"0:0:1"))</f>
        <v>2.0833333333333294E-4</v>
      </c>
      <c r="L84" s="502">
        <f>IF($D$85&gt;2,"-",MROUND(L83,"0:0:1")-MROUND($D$83,"0:0:1"))</f>
        <v>2.3148148148148095E-4</v>
      </c>
      <c r="M84" s="1103" t="str">
        <f>IF(M100,"Age Grade Equivalent","No Age Grading")</f>
        <v>Age Grade Equivalent</v>
      </c>
      <c r="N84" s="1104"/>
      <c r="O84" s="503">
        <f ca="1">IF(AND($O$85="yes",$M$100),($O$74*LOOKUP($E$5,$AD$135:$AD$230,IF($C$4,$AE$135:$AE$230,$AF$135:$AF$230))/LOOKUP($O$82,$AD$135:$AD$230,IF($Q$49,$AE$135:$AE$230,$AF$135:$AF$230))),O74)</f>
        <v>0.10867521226851852</v>
      </c>
      <c r="P84" s="504" t="str">
        <f>IF(R86,"Kilometers","Miles")</f>
        <v>Miles</v>
      </c>
      <c r="Q84" s="894" t="s">
        <v>99</v>
      </c>
      <c r="R84" s="506" t="s">
        <v>122</v>
      </c>
    </row>
    <row r="85" spans="2:23" ht="13.5" thickBot="1" x14ac:dyDescent="0.25">
      <c r="B85" s="507"/>
      <c r="C85" s="508"/>
      <c r="D85" s="509">
        <v>1</v>
      </c>
      <c r="E85" s="508"/>
      <c r="F85" s="509"/>
      <c r="G85" s="508"/>
      <c r="H85" s="509"/>
      <c r="I85" s="508"/>
      <c r="J85" s="509">
        <v>3</v>
      </c>
      <c r="K85" s="508"/>
      <c r="L85" s="510" t="s">
        <v>208</v>
      </c>
      <c r="M85" s="1105" t="s">
        <v>209</v>
      </c>
      <c r="N85" s="1106"/>
      <c r="O85" s="511" t="str">
        <f ca="1">IF(AND(DATEDIF($E$2,NOW(),"y")&gt;=5,DATEDIF($E$2,NOW(),"y")&lt;=100),"Yes","No")</f>
        <v>Yes</v>
      </c>
      <c r="P85" s="512">
        <v>5</v>
      </c>
      <c r="Q85" s="513">
        <v>1.480324074074074E-2</v>
      </c>
      <c r="R85" s="514">
        <f>0.8+0.1894393 * EXP(-0.012778*Q85*1440)+0.2989558* EXP(-0.1932605*Q85*1440)</f>
        <v>0.94912767115464203</v>
      </c>
    </row>
    <row r="86" spans="2:23" ht="13.5" thickBot="1" x14ac:dyDescent="0.25">
      <c r="B86" s="515"/>
      <c r="C86" s="883"/>
      <c r="L86" s="516"/>
      <c r="M86" s="517"/>
      <c r="N86" s="518"/>
      <c r="O86" s="519"/>
      <c r="P86" s="1107">
        <f>ROUND((-4.6 + 0.182258 * ((P85*IF(R86,1000,1))/Q85/1440*(IF(R86,1,1609.344))) + 0.000104 *((P85*IF(R86,1000,1))/Q85/1440*(IF(R86,1,1609.344)))^2)/R85,1)</f>
        <v>83.3</v>
      </c>
      <c r="Q86" s="1108"/>
      <c r="R86" s="520" t="b">
        <v>0</v>
      </c>
    </row>
    <row r="87" spans="2:23" ht="14.25" thickTop="1" thickBot="1" x14ac:dyDescent="0.25">
      <c r="B87" s="1109" t="str">
        <f>"Projected Impact of Weight Change on "&amp;$E$6&amp;" Time (Daniels)"</f>
        <v>Projected Impact of Weight Change on Marathon Time (Daniels)</v>
      </c>
      <c r="C87" s="1110"/>
      <c r="D87" s="1110"/>
      <c r="E87" s="1110"/>
      <c r="F87" s="1110"/>
      <c r="G87" s="1110"/>
      <c r="H87" s="1110"/>
      <c r="I87" s="1110"/>
      <c r="J87" s="1110"/>
      <c r="K87" s="1110"/>
      <c r="L87" s="1111"/>
      <c r="M87" s="1069" t="s">
        <v>210</v>
      </c>
      <c r="N87" s="1070"/>
      <c r="O87" s="1071"/>
      <c r="P87" s="1112" t="s">
        <v>211</v>
      </c>
      <c r="Q87" s="1113"/>
      <c r="R87" s="1114"/>
    </row>
    <row r="88" spans="2:23" ht="13.5" thickBot="1" x14ac:dyDescent="0.25">
      <c r="B88" s="1128" t="str">
        <f>IF($C$4,"Male","Female")</f>
        <v>Male</v>
      </c>
      <c r="C88" s="1129"/>
      <c r="D88" s="521" t="s">
        <v>212</v>
      </c>
      <c r="E88" s="522">
        <f ca="1">$E$5</f>
        <v>31</v>
      </c>
      <c r="F88" s="1130" t="str">
        <f>IF($B$4,"Height (cm):","Height (in):")</f>
        <v>Height (in):</v>
      </c>
      <c r="G88" s="1131" t="str">
        <f>IF($B$4,"Height (cm):","Height (in):")</f>
        <v>Height (in):</v>
      </c>
      <c r="H88" s="523">
        <f>$C$2</f>
        <v>71</v>
      </c>
      <c r="I88" s="1132" t="str">
        <f>"Weight"&amp;IF($B$4," (kg):"," (lb):")</f>
        <v>Weight (lb):</v>
      </c>
      <c r="J88" s="1133" t="str">
        <f>"Weight"&amp;IF($B$4," (kg):"," (lb):")</f>
        <v>Weight (lb):</v>
      </c>
      <c r="K88" s="523">
        <f>$C$3</f>
        <v>155</v>
      </c>
      <c r="L88" s="524" t="b">
        <v>0</v>
      </c>
      <c r="M88" s="1134">
        <f>IF($C$3&gt;0,$C$3,"Current Weight?")</f>
        <v>155</v>
      </c>
      <c r="N88" s="1135"/>
      <c r="O88" s="1136">
        <f ca="1">IF(AND($N$89&gt;0,$N$90&gt;0,$N$90&lt;&gt;"",$M$101),ABS($O$84-$O$91),0)</f>
        <v>1.3178642833236262E-2</v>
      </c>
      <c r="P88" s="1094" t="s">
        <v>213</v>
      </c>
      <c r="Q88" s="1095"/>
      <c r="R88" s="1096"/>
    </row>
    <row r="89" spans="2:23" ht="14.25" thickTop="1" thickBot="1" x14ac:dyDescent="0.25">
      <c r="B89" s="1097" t="str">
        <f>"Projected Weight "&amp;IF(B4,"(kg)","(lb)")</f>
        <v>Projected Weight (lb)</v>
      </c>
      <c r="C89" s="1098"/>
      <c r="D89" s="525">
        <f>$C$3+($C$3*$L$93*2)</f>
        <v>168.95</v>
      </c>
      <c r="E89" s="526">
        <f>$C$3+($C$3*$L$93*1)</f>
        <v>161.97499999999999</v>
      </c>
      <c r="F89" s="527">
        <f>$C$3-($C$3*$L$93*0)</f>
        <v>155</v>
      </c>
      <c r="G89" s="528">
        <f>$C$3-($C$3*$L$93*1)</f>
        <v>148.02500000000001</v>
      </c>
      <c r="H89" s="525">
        <f>$C$3-($C$3*$L$93*2)</f>
        <v>141.05000000000001</v>
      </c>
      <c r="I89" s="525">
        <f>$C$3-($C$3*$L$93*3)</f>
        <v>134.07499999999999</v>
      </c>
      <c r="J89" s="525">
        <f>$C$3-($C$3*$L$93*4)</f>
        <v>127.1</v>
      </c>
      <c r="K89" s="525">
        <f>$C$3-($C$3*$L$93*5)</f>
        <v>120.125</v>
      </c>
      <c r="L89" s="525">
        <f>$C$3-($C$3*$L$93*6)</f>
        <v>113.15</v>
      </c>
      <c r="M89" s="899" t="s">
        <v>214</v>
      </c>
      <c r="N89" s="530">
        <f>D98</f>
        <v>132.64468687328431</v>
      </c>
      <c r="O89" s="1137"/>
      <c r="P89" s="531" t="s">
        <v>215</v>
      </c>
      <c r="Q89" s="894" t="s">
        <v>99</v>
      </c>
      <c r="R89" s="895" t="s">
        <v>101</v>
      </c>
    </row>
    <row r="90" spans="2:23" ht="13.5" thickBot="1" x14ac:dyDescent="0.25">
      <c r="B90" s="1099" t="s">
        <v>216</v>
      </c>
      <c r="C90" s="1100"/>
      <c r="D90" s="533">
        <f t="shared" ref="D90:L90" si="30">IF(AND(D89&gt;0,$I$6&lt;&gt;"-"),$C$3*$I$6/D89,"-")</f>
        <v>57.826904212555156</v>
      </c>
      <c r="E90" s="534">
        <f t="shared" si="30"/>
        <v>60.317057982473798</v>
      </c>
      <c r="F90" s="535">
        <f t="shared" si="30"/>
        <v>63.031325591685118</v>
      </c>
      <c r="G90" s="536">
        <f t="shared" si="30"/>
        <v>66.00138805412054</v>
      </c>
      <c r="H90" s="533">
        <f t="shared" si="30"/>
        <v>69.265192957895721</v>
      </c>
      <c r="I90" s="533">
        <f t="shared" si="30"/>
        <v>72.868584499057945</v>
      </c>
      <c r="J90" s="533">
        <f t="shared" si="30"/>
        <v>76.867470233762347</v>
      </c>
      <c r="K90" s="533">
        <f t="shared" si="30"/>
        <v>81.330742698948541</v>
      </c>
      <c r="L90" s="537">
        <f t="shared" si="30"/>
        <v>86.344281632445359</v>
      </c>
      <c r="M90" s="538">
        <f>IF(AND($C$2&gt;0,$N$89&gt;0),IF($B$4,$N$89 / ($C$2/100)^2,$N$89 / $C$2^2*703),"")</f>
        <v>18.498158078143003</v>
      </c>
      <c r="N90" s="539">
        <f>IF(AND($C$2&gt;0,$N$89&gt;0),$C$3*$I$6/IF(N89&gt;=MIN(D98,F100),$N$89,MIN(F100,D98)),"")</f>
        <v>73.654329449654867</v>
      </c>
      <c r="O90" s="1138"/>
      <c r="P90" s="512">
        <v>26.218800000000002</v>
      </c>
      <c r="Q90" s="513">
        <v>0.17318287037037036</v>
      </c>
      <c r="R90" s="540">
        <f>Q90/P90</f>
        <v>6.6052935439596915E-3</v>
      </c>
    </row>
    <row r="91" spans="2:23" ht="13.5" thickBot="1" x14ac:dyDescent="0.25">
      <c r="B91" s="1115" t="s">
        <v>217</v>
      </c>
      <c r="C91" s="1116"/>
      <c r="D91" s="541">
        <f t="shared" ref="D91:L91" si="31">IF(D90&lt;&gt;"-",$G$6*($I$6/D90)^$I$93,"-")</f>
        <v>0.11685085659607714</v>
      </c>
      <c r="E91" s="542">
        <f t="shared" si="31"/>
        <v>0.11283255648098932</v>
      </c>
      <c r="F91" s="543">
        <f t="shared" si="31"/>
        <v>0.10878472222222223</v>
      </c>
      <c r="G91" s="544">
        <f t="shared" si="31"/>
        <v>0.10470579184775043</v>
      </c>
      <c r="H91" s="541">
        <f t="shared" si="31"/>
        <v>0.1005940428640484</v>
      </c>
      <c r="I91" s="541">
        <f t="shared" si="31"/>
        <v>9.6447566949890762E-2</v>
      </c>
      <c r="J91" s="541">
        <f t="shared" si="31"/>
        <v>9.2264239125150652E-2</v>
      </c>
      <c r="K91" s="541">
        <f t="shared" si="31"/>
        <v>8.8041679815715632E-2</v>
      </c>
      <c r="L91" s="542">
        <f t="shared" si="31"/>
        <v>8.3777207665371958E-2</v>
      </c>
      <c r="M91" s="1117" t="str">
        <f>IF(M101,"Weight Adjusted Time","No Weight Grading")</f>
        <v>Weight Adjusted Time</v>
      </c>
      <c r="N91" s="1118"/>
      <c r="O91" s="545">
        <f ca="1">IF(AND($N$89&gt;0,$N$90&gt;0,$N$90&lt;&gt;"",$M$101),$O$84*(IF(N89&gt;=MIN(D98,F100,C3),$N$89,MIN(F100,D98,C3))/C3)^$I$93,O84)</f>
        <v>9.5496569435282258E-2</v>
      </c>
      <c r="P91" s="546" t="s">
        <v>218</v>
      </c>
      <c r="Q91" s="892" t="s">
        <v>99</v>
      </c>
      <c r="R91" s="893" t="s">
        <v>101</v>
      </c>
    </row>
    <row r="92" spans="2:23" ht="13.5" thickBot="1" x14ac:dyDescent="0.25">
      <c r="B92" s="1119" t="str">
        <f>IF($L$88,"Est Pace / km","Est Pace / mile")</f>
        <v>Est Pace / mile</v>
      </c>
      <c r="C92" s="1120"/>
      <c r="D92" s="549">
        <f t="shared" ref="D92:L92" si="32">IF(D91&lt;&gt;"-",D91/IF($L$88,$F$8/1000,$D$8),"-")</f>
        <v>4.4567656110382076E-3</v>
      </c>
      <c r="E92" s="550">
        <f t="shared" si="32"/>
        <v>4.3035051019632963E-3</v>
      </c>
      <c r="F92" s="551">
        <f t="shared" si="32"/>
        <v>4.1491181419599484E-3</v>
      </c>
      <c r="G92" s="552">
        <f t="shared" si="32"/>
        <v>3.9935451564267347E-3</v>
      </c>
      <c r="H92" s="549">
        <f t="shared" si="32"/>
        <v>3.8367204483706389E-3</v>
      </c>
      <c r="I92" s="549">
        <f t="shared" si="32"/>
        <v>3.6785712332125845E-3</v>
      </c>
      <c r="J92" s="549">
        <f t="shared" si="32"/>
        <v>3.5190164628658956E-3</v>
      </c>
      <c r="K92" s="549">
        <f t="shared" si="32"/>
        <v>3.3579653788681852E-3</v>
      </c>
      <c r="L92" s="550">
        <f t="shared" si="32"/>
        <v>3.1953157125967622E-3</v>
      </c>
      <c r="M92" s="553"/>
      <c r="N92" s="554"/>
      <c r="O92" s="555"/>
      <c r="P92" s="556">
        <v>42.195</v>
      </c>
      <c r="Q92" s="557">
        <v>0.17140046296296296</v>
      </c>
      <c r="R92" s="558">
        <f>Q92/P92</f>
        <v>4.062103636994027E-3</v>
      </c>
    </row>
    <row r="93" spans="2:23" ht="13.5" thickBot="1" x14ac:dyDescent="0.25">
      <c r="B93" s="1121" t="s">
        <v>219</v>
      </c>
      <c r="C93" s="1122"/>
      <c r="D93" s="1122"/>
      <c r="E93" s="1122"/>
      <c r="F93" s="1123"/>
      <c r="G93" s="1124"/>
      <c r="H93" s="559" t="s">
        <v>220</v>
      </c>
      <c r="I93" s="560">
        <v>0.83</v>
      </c>
      <c r="J93" s="1125" t="s">
        <v>221</v>
      </c>
      <c r="K93" s="1125"/>
      <c r="L93" s="561">
        <v>4.4999999999999998E-2</v>
      </c>
      <c r="M93" s="562"/>
      <c r="N93" s="1126" t="s">
        <v>222</v>
      </c>
      <c r="O93" s="1127"/>
      <c r="P93" s="1094" t="s">
        <v>223</v>
      </c>
      <c r="Q93" s="1095"/>
      <c r="R93" s="1096"/>
    </row>
    <row r="94" spans="2:23" ht="14.25" thickTop="1" thickBot="1" x14ac:dyDescent="0.25">
      <c r="B94" s="483"/>
      <c r="C94" s="1149" t="s">
        <v>224</v>
      </c>
      <c r="D94" s="1149"/>
      <c r="E94" s="1149"/>
      <c r="F94" s="1149"/>
      <c r="G94" s="1149"/>
      <c r="H94" s="1149"/>
      <c r="I94" s="1149"/>
      <c r="J94" s="1149"/>
      <c r="K94" s="1149"/>
      <c r="M94" s="1069" t="str">
        <f>IF($D$85=1,W233,IF($D$85=2,W237,IF($D$85=3,W241,IF($D$85=4,W245))))</f>
        <v>Temperature  °F</v>
      </c>
      <c r="N94" s="1070"/>
      <c r="O94" s="563"/>
      <c r="P94" s="531" t="s">
        <v>215</v>
      </c>
      <c r="Q94" s="894" t="s">
        <v>225</v>
      </c>
      <c r="R94" s="895" t="s">
        <v>99</v>
      </c>
    </row>
    <row r="95" spans="2:23" ht="13.5" thickBot="1" x14ac:dyDescent="0.25">
      <c r="B95" s="994" t="s">
        <v>226</v>
      </c>
      <c r="C95" s="995"/>
      <c r="D95" s="995"/>
      <c r="E95" s="995"/>
      <c r="F95" s="995"/>
      <c r="G95" s="896" t="str">
        <f>IF($C$4,"Male","Female")</f>
        <v>Male</v>
      </c>
      <c r="H95" s="897" t="str">
        <f ca="1">IF(ISNUMBER($E$5),"Age  "&amp;$E$5,"Birthdate?")</f>
        <v>Age  31</v>
      </c>
      <c r="I95" s="897" t="str">
        <f>"Hgt  "&amp;$C$2</f>
        <v>Hgt  71</v>
      </c>
      <c r="J95" s="566" t="str">
        <f>"Wgt  "&amp;$C$3</f>
        <v>Wgt  155</v>
      </c>
      <c r="K95" s="1150" t="str">
        <f>IF(AND(C2&gt;0,C3&gt;0),"Current BMI = " &amp;ROUND(IF($B$4,$C$3 / ($C$2/100)^2,$C$3 / $C$2^2*703),2),"Wght / Hght?")</f>
        <v>Current BMI = 21.62</v>
      </c>
      <c r="L95" s="1151"/>
      <c r="M95" s="567" t="str">
        <f>IF($D$85=1,"J.Daniels",IF($D$85=2,"M.Hadley",IF($D$85=3,"Tinman","El Helou")))</f>
        <v>J.Daniels</v>
      </c>
      <c r="N95" s="568">
        <v>80</v>
      </c>
      <c r="O95" s="569">
        <f ca="1">IF($D$85=1,AG253,IF($D$85=2,AG256,IF($D$85=3,AG259,IF($C$4,AG262,AG265))))</f>
        <v>3.0947258118212795E-3</v>
      </c>
      <c r="P95" s="570">
        <v>26.2</v>
      </c>
      <c r="Q95" s="571">
        <v>0.3576388888888889</v>
      </c>
      <c r="R95" s="572">
        <f>(Q95*P95)/60</f>
        <v>0.15616898148148148</v>
      </c>
    </row>
    <row r="96" spans="2:23" ht="13.5" thickBot="1" x14ac:dyDescent="0.25">
      <c r="B96" s="573" t="s">
        <v>227</v>
      </c>
      <c r="C96" s="574" t="s">
        <v>228</v>
      </c>
      <c r="D96" s="575">
        <v>18.5</v>
      </c>
      <c r="E96" s="575">
        <v>19</v>
      </c>
      <c r="F96" s="575">
        <v>20</v>
      </c>
      <c r="G96" s="575">
        <v>21</v>
      </c>
      <c r="H96" s="575">
        <v>22</v>
      </c>
      <c r="I96" s="575">
        <v>23</v>
      </c>
      <c r="J96" s="575">
        <v>24</v>
      </c>
      <c r="K96" s="575">
        <v>25</v>
      </c>
      <c r="L96" s="576" t="s">
        <v>229</v>
      </c>
      <c r="M96" s="1152" t="str">
        <f>IF(M102,"Temp Adjusted Time","No Temp Grading")</f>
        <v>Temp Adjusted Time</v>
      </c>
      <c r="N96" s="1153"/>
      <c r="O96" s="545">
        <f ca="1">IF($M$97,$O$91+$O$95,$O$91-$O$95)</f>
        <v>9.8591295247103541E-2</v>
      </c>
      <c r="P96" s="546" t="s">
        <v>218</v>
      </c>
      <c r="Q96" s="892" t="s">
        <v>230</v>
      </c>
      <c r="R96" s="893" t="s">
        <v>99</v>
      </c>
    </row>
    <row r="97" spans="2:21" ht="13.5" thickBot="1" x14ac:dyDescent="0.25">
      <c r="B97" s="577" t="str">
        <f>"for "&amp;IF($B$4,ROUND($C$2,0)&amp;" cm",INT($C$2/12)&amp;" ft "&amp;ROUND((($C$2/12)-INT($C$2/12))*12,1)&amp;" in")</f>
        <v>for 5 ft 11 in</v>
      </c>
      <c r="C97" s="578" t="s">
        <v>231</v>
      </c>
      <c r="D97" s="579" t="str">
        <f>IF($B$4,ROUND(D96*($C$2/100)^2,1)&amp;" kg",ROUND(D96/703*$C$2^2,0)&amp;" lb")</f>
        <v>133 lb</v>
      </c>
      <c r="E97" s="579" t="str">
        <f t="shared" ref="E97:K97" si="33">IF($B$4,ROUND(E96*($C$2/100)^2,1)&amp;" kg",ROUND(E96/703*$C$2^2,0)&amp;" lb")</f>
        <v>136 lb</v>
      </c>
      <c r="F97" s="579" t="str">
        <f t="shared" si="33"/>
        <v>143 lb</v>
      </c>
      <c r="G97" s="579" t="str">
        <f t="shared" si="33"/>
        <v>151 lb</v>
      </c>
      <c r="H97" s="579" t="str">
        <f t="shared" si="33"/>
        <v>158 lb</v>
      </c>
      <c r="I97" s="579" t="str">
        <f t="shared" si="33"/>
        <v>165 lb</v>
      </c>
      <c r="J97" s="579" t="str">
        <f t="shared" si="33"/>
        <v>172 lb</v>
      </c>
      <c r="K97" s="579" t="str">
        <f t="shared" si="33"/>
        <v>179 lb</v>
      </c>
      <c r="L97" s="580" t="s">
        <v>232</v>
      </c>
      <c r="M97" s="581" t="b">
        <v>1</v>
      </c>
      <c r="N97" s="582"/>
      <c r="O97" s="583"/>
      <c r="P97" s="584">
        <v>42.195</v>
      </c>
      <c r="Q97" s="585">
        <v>0.19722222222222222</v>
      </c>
      <c r="R97" s="586">
        <f>(Q97*P97)/60</f>
        <v>0.13869652777777777</v>
      </c>
    </row>
    <row r="98" spans="2:21" ht="13.5" thickBot="1" x14ac:dyDescent="0.25">
      <c r="B98" s="483"/>
      <c r="D98" s="587">
        <v>132.64468687328431</v>
      </c>
      <c r="E98" s="587">
        <v>136.22967841040008</v>
      </c>
      <c r="F98" s="587">
        <v>143.39966148463168</v>
      </c>
      <c r="G98" s="587">
        <v>150.56964455886327</v>
      </c>
      <c r="H98" s="587">
        <v>157.73962763309487</v>
      </c>
      <c r="I98" s="587">
        <v>164.90961070732644</v>
      </c>
      <c r="J98" s="587">
        <v>172.079593781558</v>
      </c>
      <c r="K98" s="587">
        <v>179.2495768557896</v>
      </c>
      <c r="M98" s="588"/>
      <c r="N98" s="589"/>
      <c r="O98" s="590"/>
      <c r="P98" s="1094" t="s">
        <v>233</v>
      </c>
      <c r="Q98" s="1095"/>
      <c r="R98" s="1096"/>
    </row>
    <row r="99" spans="2:21" ht="14.25" thickTop="1" thickBot="1" x14ac:dyDescent="0.25">
      <c r="B99" s="1139" t="s">
        <v>234</v>
      </c>
      <c r="C99" s="1140"/>
      <c r="D99" s="1140"/>
      <c r="E99" s="1140"/>
      <c r="F99" s="591"/>
      <c r="G99" s="1141" t="s">
        <v>235</v>
      </c>
      <c r="H99" s="1026"/>
      <c r="I99" s="1142" t="s">
        <v>236</v>
      </c>
      <c r="J99" s="1026"/>
      <c r="K99" s="1142" t="s">
        <v>237</v>
      </c>
      <c r="L99" s="1143"/>
      <c r="M99" s="1144" t="s">
        <v>238</v>
      </c>
      <c r="N99" s="1145"/>
      <c r="O99" s="1146"/>
      <c r="P99" s="531" t="s">
        <v>62</v>
      </c>
      <c r="Q99" s="1147" t="s">
        <v>239</v>
      </c>
      <c r="R99" s="1148"/>
      <c r="U99" s="592"/>
    </row>
    <row r="100" spans="2:21" ht="13.5" thickBot="1" x14ac:dyDescent="0.25">
      <c r="B100" s="119"/>
      <c r="C100" s="593"/>
      <c r="D100" s="593"/>
      <c r="E100" s="593"/>
      <c r="F100" s="594">
        <v>144.92499999999998</v>
      </c>
      <c r="G100" s="1154" t="s">
        <v>240</v>
      </c>
      <c r="H100" s="1155"/>
      <c r="I100" s="1156" t="s">
        <v>241</v>
      </c>
      <c r="J100" s="1157"/>
      <c r="K100" s="1156" t="s">
        <v>242</v>
      </c>
      <c r="L100" s="1158"/>
      <c r="M100" s="1159" t="b">
        <v>1</v>
      </c>
      <c r="N100" s="1160" t="b">
        <v>1</v>
      </c>
      <c r="O100" s="569">
        <f ca="1">$O$83</f>
        <v>1.0950995370370697E-4</v>
      </c>
      <c r="P100" s="595">
        <v>0.7</v>
      </c>
      <c r="Q100" s="1161">
        <f>IF($C$8=4,(P100/(1+$C$9)-0.37182)/0.6463,IF($C$8=3,1.303*P100/(1+$C$9)-0.345,IF($C$8=2,1.3*P100/(1+$C$9)-0.293,(P100/(1+$C$9)-0.1578)/0.855)))</f>
        <v>0.6341520467836258</v>
      </c>
      <c r="R100" s="1162"/>
    </row>
    <row r="101" spans="2:21" x14ac:dyDescent="0.2">
      <c r="B101" s="1163" t="str">
        <f>"Based on a height of "&amp;IF($B$4,ROUND($C$2,3)&amp;" cm",INT($C$2/12)&amp;" ft "&amp;ROUND((($C$2/12)-INT($C$2/12))*12,1)&amp;" in")</f>
        <v>Based on a height of 5 ft 11 in</v>
      </c>
      <c r="C101" s="1164"/>
      <c r="D101" s="1165"/>
      <c r="E101" s="1166" t="str">
        <f>"Male       "&amp;IF(B4,"(kg)    ","(lb)    ")</f>
        <v xml:space="preserve">Male       (lb)    </v>
      </c>
      <c r="F101" s="1167"/>
      <c r="G101" s="1168">
        <f>IF($B$4,49.8952+(MAX($C$2,152.4)-152.4)/2.54*2.49476,110+(MAX($C$2,60)-60)*5.5)</f>
        <v>170.5</v>
      </c>
      <c r="H101" s="1169"/>
      <c r="I101" s="1170">
        <f>G101*0.88</f>
        <v>150.04</v>
      </c>
      <c r="J101" s="1171"/>
      <c r="K101" s="1170">
        <f>G101*0.85</f>
        <v>144.92499999999998</v>
      </c>
      <c r="L101" s="1172"/>
      <c r="M101" s="1173" t="b">
        <v>1</v>
      </c>
      <c r="N101" s="1174" t="b">
        <v>1</v>
      </c>
      <c r="O101" s="569">
        <f ca="1">$O$88</f>
        <v>1.3178642833236262E-2</v>
      </c>
      <c r="P101" s="546" t="s">
        <v>243</v>
      </c>
      <c r="Q101" s="1175" t="s">
        <v>239</v>
      </c>
      <c r="R101" s="1176"/>
      <c r="U101" s="592"/>
    </row>
    <row r="102" spans="2:21" ht="13.5" thickBot="1" x14ac:dyDescent="0.25">
      <c r="B102" s="1177" t="str">
        <f>IF($B$4,"(Minimum height is 152.4 cm)","(Minimum height is 5 ft, 0 inches)")</f>
        <v>(Minimum height is 5 ft, 0 inches)</v>
      </c>
      <c r="C102" s="1178"/>
      <c r="D102" s="1179"/>
      <c r="E102" s="1180" t="str">
        <f>"Female     "&amp;IF(B4,"(kg)    ","(lb)    ")</f>
        <v xml:space="preserve">Female     (lb)    </v>
      </c>
      <c r="F102" s="1181"/>
      <c r="G102" s="1182">
        <f>IF($B$4,45.3592+(MAX($C$2,152.4)-152.4)/2.54*2.26796,100+(MAX($C$2,60)-60)*5)</f>
        <v>155</v>
      </c>
      <c r="H102" s="1183"/>
      <c r="I102" s="1183">
        <f>G102*0.88</f>
        <v>136.4</v>
      </c>
      <c r="J102" s="1183"/>
      <c r="K102" s="1183">
        <f>G102*0.85</f>
        <v>131.75</v>
      </c>
      <c r="L102" s="1184"/>
      <c r="M102" s="1185" t="b">
        <v>1</v>
      </c>
      <c r="N102" s="1186" t="b">
        <v>1</v>
      </c>
      <c r="O102" s="569">
        <f ca="1">$O$95</f>
        <v>3.0947258118212795E-3</v>
      </c>
      <c r="P102" s="596">
        <v>0.57499999999999996</v>
      </c>
      <c r="Q102" s="1187">
        <f>IF($C$8=4,((P102/$E$3*($E$3-$E$4)+E$4/$E$3)/(1+$C$9)-0.37182)/0.6463,IF($C$8=3,1.303*(P102/$E$3*($E$3-$E$4)+E$4/$E$3)/(1+$C$9) - 0.345,IF($C$8=2,(1.3*(P102/$E$3*($E$3-$E$4)+E$4/$E$3)/(1+$C$9)-0.293),((P102/$E$3*($E$3-$E$4)+E$4/$E$3)/(1+$C$9)-0.1578)/0.855)))</f>
        <v>0.62149602862878595</v>
      </c>
      <c r="R102" s="1188"/>
    </row>
    <row r="103" spans="2:21" ht="13.5" thickBot="1" x14ac:dyDescent="0.25">
      <c r="B103" s="483"/>
      <c r="I103" s="597"/>
      <c r="J103" s="597"/>
      <c r="M103" s="1205" t="s">
        <v>244</v>
      </c>
      <c r="N103" s="1206"/>
      <c r="O103" s="598">
        <f ca="1">$O$74+IF(O84&lt;O74,-$O$100,$O$100)+IF($N$89&lt;$M$88,-$O$101,$O$101)+IF($M$97,$O$102,-$O$102)</f>
        <v>9.8591295247103541E-2</v>
      </c>
      <c r="P103" s="1207" t="str">
        <f>"HR Profile "&amp;IF(AND(C8&gt;=1,C8&lt;=4),C8,1)</f>
        <v>HR Profile 1</v>
      </c>
      <c r="Q103" s="1208"/>
      <c r="R103" s="1209"/>
    </row>
    <row r="104" spans="2:21" ht="13.5" thickBot="1" x14ac:dyDescent="0.25">
      <c r="B104" s="1109" t="s">
        <v>245</v>
      </c>
      <c r="C104" s="1110"/>
      <c r="D104" s="1110"/>
      <c r="E104" s="1110"/>
      <c r="F104" s="599" t="str">
        <f>E6</f>
        <v>Marathon</v>
      </c>
      <c r="G104" s="1210">
        <f>$F$8</f>
        <v>42195</v>
      </c>
      <c r="H104" s="1210"/>
      <c r="I104" s="1211">
        <f>$G$6*1440</f>
        <v>156.65</v>
      </c>
      <c r="J104" s="1211"/>
      <c r="K104" s="1212">
        <f>G104/I104</f>
        <v>269.35844238748803</v>
      </c>
      <c r="L104" s="1213"/>
      <c r="M104" s="1214" t="str">
        <f>E6&amp;IF($L$80," Pace / km"," Pace / mile")</f>
        <v>Marathon Pace / mile</v>
      </c>
      <c r="N104" s="1215"/>
      <c r="O104" s="600">
        <f ca="1">O103/IF(L80,F8/1000,D8)</f>
        <v>3.7603343869689445E-3</v>
      </c>
      <c r="P104" s="1216" t="s">
        <v>246</v>
      </c>
      <c r="Q104" s="1217"/>
      <c r="R104" s="1218"/>
    </row>
    <row r="105" spans="2:21" ht="14.25" thickTop="1" thickBot="1" x14ac:dyDescent="0.25">
      <c r="B105" s="601" t="b">
        <v>0</v>
      </c>
      <c r="C105" s="602"/>
      <c r="D105" s="603"/>
      <c r="E105" s="604"/>
      <c r="F105" s="890" t="s">
        <v>123</v>
      </c>
      <c r="G105" s="890" t="s">
        <v>99</v>
      </c>
      <c r="H105" s="890" t="s">
        <v>101</v>
      </c>
      <c r="I105" s="890" t="s">
        <v>247</v>
      </c>
      <c r="J105" s="890" t="s">
        <v>122</v>
      </c>
      <c r="K105" s="1189" t="s">
        <v>248</v>
      </c>
      <c r="L105" s="1190"/>
      <c r="M105" s="1191" t="str">
        <f>IF($L$80,"Change in Pace / Km","Change in Pace / Mile")</f>
        <v>Change in Pace / Mile</v>
      </c>
      <c r="N105" s="1192"/>
      <c r="O105" s="605">
        <f ca="1">ABS((O76-O104))</f>
        <v>3.8878375499100393E-4</v>
      </c>
      <c r="P105" s="606">
        <v>3.1</v>
      </c>
      <c r="Q105" s="1193">
        <f>P105*1.609344</f>
        <v>4.9889664000000007</v>
      </c>
      <c r="R105" s="1194"/>
    </row>
    <row r="106" spans="2:21" x14ac:dyDescent="0.2">
      <c r="B106" s="1195" t="str">
        <f>"Entry Weight &amp; VDOT"</f>
        <v>Entry Weight &amp; VDOT</v>
      </c>
      <c r="C106" s="1196"/>
      <c r="D106" s="1197"/>
      <c r="E106" s="607" t="str">
        <f>IF($C$3,TEXT($C$3,0)&amp;IF(B4," kg"," lbs"),"Weight?")</f>
        <v>155 lbs</v>
      </c>
      <c r="F106" s="608">
        <f>$I$6</f>
        <v>63.031325591685118</v>
      </c>
      <c r="G106" s="609">
        <f>$G$6</f>
        <v>0.10878472222222223</v>
      </c>
      <c r="H106" s="610">
        <f>(G106/($G$104/1000))*IF($B$105,1,1.609)</f>
        <v>4.1482312609445564E-3</v>
      </c>
      <c r="I106" s="611">
        <f>-4.6 + 0.182258 * ($G$104/$I$104) + 0.000104 *($G$104/I104)^2</f>
        <v>52.038343923141817</v>
      </c>
      <c r="J106" s="612">
        <f>0.8+0.1894393*EXP(-0.012778*G106*1440)+0.2989558*EXP(-0.1932605*G106*1440)</f>
        <v>0.82559494718934712</v>
      </c>
      <c r="K106" s="613">
        <f>1/(29.54+5.000663*F106-0.007546*F106^2)*IF(B105,0.62,1)</f>
        <v>3.1770383788051293E-3</v>
      </c>
      <c r="L106" s="614" t="str">
        <f>TEXT(11.033/(K106*1440),"0.00")&amp;IF($B$105, "  km","  mi")</f>
        <v>2.41  mi</v>
      </c>
      <c r="M106" s="615"/>
      <c r="N106" s="615"/>
      <c r="P106" s="616">
        <v>0.41666666666666669</v>
      </c>
      <c r="Q106" s="1198">
        <f>P106/1.609344/60</f>
        <v>4.3150777238703747E-3</v>
      </c>
      <c r="R106" s="1199"/>
    </row>
    <row r="107" spans="2:21" ht="13.5" thickBot="1" x14ac:dyDescent="0.25">
      <c r="B107" s="1200" t="s">
        <v>249</v>
      </c>
      <c r="C107" s="1201"/>
      <c r="D107" s="1202"/>
      <c r="E107" s="617">
        <v>150</v>
      </c>
      <c r="F107" s="618">
        <f>IF(E106="Weight?",E106,IF(E107,$C$3*F106/E107,"-"))</f>
        <v>65.132369778074619</v>
      </c>
      <c r="G107" s="619">
        <f>IF(AND(E107,F107&lt;&gt;"Weight?"),G106*(F106/F107)^$I$93,"-")</f>
        <v>0.10586401052250745</v>
      </c>
      <c r="H107" s="620">
        <f>IF(F107="Weight?","-",(G107/($G$104/1000))*IF($B$105,1,1.609))</f>
        <v>4.0368572800264122E-3</v>
      </c>
      <c r="I107" s="621">
        <f>IF(AND(E107,F107&lt;&gt;"Weight?"),-4.6 + 0.182258 * ($G$104/(G107*1440)) + 0.000104 *($G$104/(G107*1440))^2,"-")</f>
        <v>53.814876483764706</v>
      </c>
      <c r="J107" s="622">
        <f>IF(AND(E107,F107&lt;&gt;"Weight?"),0.8+0.1894393*EXP(-0.012778*G107*1440)+0.2989558*EXP(-0.1932605*G107*1440),"-")</f>
        <v>0.82700810446925777</v>
      </c>
      <c r="K107" s="623">
        <f>IF(AND(E107,F107&lt;&gt;"Weight?"),1/(29.54+5.000663*F107-0.007546*F107^2)*IF(B105,0.62,1),"-")</f>
        <v>3.0937416338054653E-3</v>
      </c>
      <c r="L107" s="624" t="str">
        <f>IF(F107="Weight?","-",TEXT(11.033/(K107*1440),"0.00")&amp;IF($B$105, "  km","  mi"))</f>
        <v>2.48  mi</v>
      </c>
      <c r="O107" s="625"/>
      <c r="P107" s="626">
        <v>130</v>
      </c>
      <c r="Q107" s="1203">
        <f>P107*0.45359237</f>
        <v>58.967008100000001</v>
      </c>
      <c r="R107" s="1204"/>
    </row>
    <row r="108" spans="2:21" ht="13.5" thickBot="1" x14ac:dyDescent="0.25">
      <c r="B108" s="627" t="s">
        <v>74</v>
      </c>
      <c r="C108" s="1230" t="s">
        <v>250</v>
      </c>
      <c r="D108" s="1231"/>
      <c r="E108" s="628">
        <v>3.7002314814814814E-2</v>
      </c>
      <c r="F108" s="629">
        <f>IF(E108,(-4.6 + 0.182258 * (HLOOKUP(B108,$J$7:$P$9,3,0)/(E108*1440)) + 0.000104 *(HLOOKUP(B108,$J$7:$P$9,3,0)/(E108*1440))^2)/J108,"-")</f>
        <v>61.335075803577517</v>
      </c>
      <c r="G108" s="630">
        <f>IF(E108,E108,"-")</f>
        <v>3.7002314814814814E-2</v>
      </c>
      <c r="H108" s="631">
        <f>(G108/(HLOOKUP(B108,$J$7:$P$9,3,0)/1000))*IF($B$105,1,1.609)</f>
        <v>3.9691149691358021E-3</v>
      </c>
      <c r="I108" s="632">
        <f>IF(E108,-4.6 + 0.182258 * (HLOOKUP(B108,$J$7:$P$9,3,0)/(G108*1440)) + 0.000104 *(HLOOKUP(B108,$J$7:$P$9,3,0)/(G108*1440))^2,"-")</f>
        <v>54.950172926624504</v>
      </c>
      <c r="J108" s="633">
        <f>IF(E108,0.8+0.1894393*EXP(-0.012778*G108*1440)+0.2989558*EXP(-0.1932605*G108*1440),"-")</f>
        <v>0.89590128008644931</v>
      </c>
      <c r="K108" s="634">
        <f>IF(E108,1/(29.54+5.000663*F108-0.007546*F108^2),"-")*IF(B105,0.62,1)</f>
        <v>3.248144716786435E-3</v>
      </c>
      <c r="L108" s="614" t="str">
        <f>TEXT(11.033/(K108*1440),"0.00")&amp;IF($B$105, "  km","  mi")</f>
        <v>2.36  mi</v>
      </c>
      <c r="O108" s="625"/>
      <c r="P108" s="635">
        <v>74</v>
      </c>
      <c r="Q108" s="1232">
        <f>P108*2.54</f>
        <v>187.96</v>
      </c>
      <c r="R108" s="1233"/>
    </row>
    <row r="109" spans="2:21" ht="13.5" thickBot="1" x14ac:dyDescent="0.25">
      <c r="B109" s="636" t="s">
        <v>76</v>
      </c>
      <c r="C109" s="1234" t="s">
        <v>251</v>
      </c>
      <c r="D109" s="1235"/>
      <c r="E109" s="637">
        <v>2.3773148148148151E-2</v>
      </c>
      <c r="F109" s="638">
        <f>IF(E109,(-4.6 + 0.182258 * (HLOOKUP(B109,$J$7:$P$9,3,0)/(E109*1440)) + 0.000104 *(HLOOKUP(B109,$J$7:$P$9,3,0)/(E109*1440))^2)/J109,"-")</f>
        <v>62.331222039098861</v>
      </c>
      <c r="G109" s="619">
        <f>IF(E109,E109,"-")</f>
        <v>2.3773148148148151E-2</v>
      </c>
      <c r="H109" s="639">
        <f>(G109/(HLOOKUP(B109,$J$7:$P$9,3,0)/1000))*IF($B$105,1,1.609)</f>
        <v>3.8250995370370374E-3</v>
      </c>
      <c r="I109" s="640">
        <f>IF(E109,-4.6 + 0.182258 * (HLOOKUP(B109,$J$7:$P$9,3,0)/(G109*1440)) + 0.000104 *(HLOOKUP(B109,$J$7:$P$9,3,0)/(G109*1440))^2,"-")</f>
        <v>57.514239581921039</v>
      </c>
      <c r="J109" s="641">
        <f>IF(E109,0.8+0.1894393*EXP(-0.012778*G109*1440)+0.2989558*EXP(-0.1932605*G109*1440),"-")</f>
        <v>0.92271958900218187</v>
      </c>
      <c r="K109" s="642">
        <f>IF(E109,1/(29.54+5.000663*F109-0.007546*F109^2),"-")*IF(B105,0.62,1)</f>
        <v>3.2059517015835285E-3</v>
      </c>
      <c r="L109" s="643" t="str">
        <f>TEXT(11.033/(K109*1440),"0.00")&amp;IF($B$105, "  km","  mi")</f>
        <v>2.39  mi</v>
      </c>
      <c r="O109" s="625"/>
      <c r="P109" s="1216" t="s">
        <v>252</v>
      </c>
      <c r="Q109" s="1217"/>
      <c r="R109" s="1218"/>
    </row>
    <row r="110" spans="2:21" ht="13.5" thickBot="1" x14ac:dyDescent="0.25">
      <c r="B110" s="644" t="b">
        <v>1</v>
      </c>
      <c r="C110" s="1236" t="str">
        <f>"Elite "&amp;E6</f>
        <v>Elite Marathon</v>
      </c>
      <c r="D110" s="1237"/>
      <c r="E110" s="645" t="str">
        <f>TEXT(IF($B$110,135,105)/IF($B$4,2.20462,1),0)&amp;IF(B4," kg"," lbs")</f>
        <v>135 lbs</v>
      </c>
      <c r="F110" s="646">
        <f>IF(E6="Custom","-",(-4.6 + 0.182258 * (HLOOKUP(E6,$J$7:$P$9,3,0)/(G110*1440)) + 0.000104 *(HLOOKUP(E6,$J$7:$P$9,3,0)/(G110*1440))^2)/J110)</f>
        <v>83.631429237546513</v>
      </c>
      <c r="G110" s="647">
        <f>IF(E6="Custom","not",IF($B$110,VLOOKUP($E$6,$N$50:$AB69,7,0),VLOOKUP($E$6,$N$50:$AB69,8,0)))</f>
        <v>8.5381944444444455E-2</v>
      </c>
      <c r="H110" s="648">
        <f>IF(E6="Custom","avail",(G110/($G$104/1000))*IF($B$105,1,1.609))</f>
        <v>3.2558253018393438E-3</v>
      </c>
      <c r="I110" s="649">
        <f>IF(E6="Custom","for",-4.6 + 0.182258 * ($G$104/(G110*1440)) + 0.000104 *($G$104/(G110*1440))^2)</f>
        <v>70.197743880618134</v>
      </c>
      <c r="J110" s="650">
        <f>IF(E6="Custom","custom",0.8+0.1894393*EXP(-0.012778*G110*1440)+0.2989558*EXP(-0.1932605*G110*1440))</f>
        <v>0.83937037212683074</v>
      </c>
      <c r="K110" s="651">
        <f>IF(E6="Custom","distance",1/(29.54+5.000663*F110-0.007546*F110^2)*IF(B105,0.62,1))</f>
        <v>2.531810680731026E-3</v>
      </c>
      <c r="L110" s="652" t="str">
        <f>IF(E6="Custom","-",TEXT(11.033/(K110*1440),"0.00")&amp;IF($B$105, "  km","  mi"))</f>
        <v>3.03  mi</v>
      </c>
      <c r="O110" s="625"/>
      <c r="P110" s="653">
        <v>1.3</v>
      </c>
      <c r="Q110" s="1238">
        <f>P110*0.621371192</f>
        <v>0.80778254960000007</v>
      </c>
      <c r="R110" s="1239"/>
    </row>
    <row r="111" spans="2:21" ht="14.25" thickTop="1" thickBot="1" x14ac:dyDescent="0.25">
      <c r="B111" s="654"/>
      <c r="C111" s="655"/>
      <c r="D111" s="655"/>
      <c r="E111" s="656"/>
      <c r="F111" s="657"/>
      <c r="G111" s="658"/>
      <c r="H111" s="659"/>
      <c r="I111" s="660"/>
      <c r="J111" s="661"/>
      <c r="K111" s="659"/>
      <c r="L111" s="662"/>
      <c r="O111" s="625"/>
      <c r="P111" s="663">
        <v>0.2590277777777778</v>
      </c>
      <c r="Q111" s="1219">
        <f>P111/0.62137117223/60</f>
        <v>6.947746890374965E-3</v>
      </c>
      <c r="R111" s="1220"/>
    </row>
    <row r="112" spans="2:21" ht="13.5" thickBot="1" x14ac:dyDescent="0.25">
      <c r="B112" s="664"/>
      <c r="C112" s="1221" t="s">
        <v>253</v>
      </c>
      <c r="D112" s="1221"/>
      <c r="E112" s="1221"/>
      <c r="F112" s="1221"/>
      <c r="G112" s="1221"/>
      <c r="H112" s="1221"/>
      <c r="I112" s="1222" t="s">
        <v>254</v>
      </c>
      <c r="J112" s="1222"/>
      <c r="K112" s="1222"/>
      <c r="L112" s="665"/>
      <c r="N112" s="625"/>
      <c r="O112" s="625"/>
      <c r="P112" s="666">
        <v>62</v>
      </c>
      <c r="Q112" s="1223">
        <f>P112*2.20462262</f>
        <v>136.68660244</v>
      </c>
      <c r="R112" s="1224"/>
    </row>
    <row r="113" spans="2:34" ht="13.5" thickBot="1" x14ac:dyDescent="0.25">
      <c r="B113" s="667" t="s">
        <v>53</v>
      </c>
      <c r="C113" s="668">
        <v>201</v>
      </c>
      <c r="D113" s="669" t="s">
        <v>255</v>
      </c>
      <c r="E113" s="668">
        <v>53</v>
      </c>
      <c r="F113" s="669" t="s">
        <v>256</v>
      </c>
      <c r="G113" s="668">
        <v>155</v>
      </c>
      <c r="H113" s="670" t="s">
        <v>17</v>
      </c>
      <c r="I113" s="671">
        <v>0.31597222222222221</v>
      </c>
      <c r="J113" s="1225" t="str">
        <f>"vVO2max  =  "&amp;TEXT(I113*(G113-E113)/(C113-E113),"h:mm")</f>
        <v>vVO2max  =  5:13</v>
      </c>
      <c r="K113" s="1226"/>
      <c r="L113" s="1227"/>
      <c r="N113" s="625"/>
      <c r="O113" s="625"/>
      <c r="P113" s="672">
        <v>188</v>
      </c>
      <c r="Q113" s="1228">
        <f>P113*0.393700787</f>
        <v>74.015747955999998</v>
      </c>
      <c r="R113" s="1229"/>
    </row>
    <row r="114" spans="2:34" ht="13.5" thickBot="1" x14ac:dyDescent="0.25">
      <c r="B114" s="673"/>
      <c r="C114" s="674"/>
      <c r="D114" s="674"/>
      <c r="E114" s="674"/>
      <c r="F114" s="674"/>
      <c r="G114" s="674"/>
      <c r="H114" s="674"/>
      <c r="I114" s="674"/>
      <c r="J114" s="674"/>
      <c r="K114" s="674"/>
      <c r="L114" s="675"/>
      <c r="N114" s="625"/>
      <c r="O114" s="625"/>
      <c r="P114" s="1247" t="s">
        <v>257</v>
      </c>
      <c r="Q114" s="1217"/>
      <c r="R114" s="1218"/>
    </row>
    <row r="115" spans="2:34" ht="14.25" thickTop="1" thickBot="1" x14ac:dyDescent="0.25">
      <c r="B115" s="1076" t="s">
        <v>258</v>
      </c>
      <c r="C115" s="1077"/>
      <c r="D115" s="1077"/>
      <c r="E115" s="1077"/>
      <c r="F115" s="1077"/>
      <c r="G115" s="1077"/>
      <c r="H115" s="1077"/>
      <c r="I115" s="1077"/>
      <c r="J115" s="1077"/>
      <c r="K115" s="1248"/>
      <c r="L115" s="1078"/>
      <c r="N115" s="625"/>
      <c r="O115" s="625"/>
      <c r="P115" s="616">
        <v>0.41666666666666669</v>
      </c>
      <c r="Q115" s="676">
        <f>P115*1440</f>
        <v>600</v>
      </c>
      <c r="R115" s="677">
        <f>60/P115/24</f>
        <v>6</v>
      </c>
    </row>
    <row r="116" spans="2:34" ht="13.5" thickBot="1" x14ac:dyDescent="0.25">
      <c r="B116" s="1249" t="s">
        <v>158</v>
      </c>
      <c r="C116" s="1250"/>
      <c r="D116" s="889" t="s">
        <v>62</v>
      </c>
      <c r="E116" s="679" t="s">
        <v>259</v>
      </c>
      <c r="F116" s="679" t="s">
        <v>260</v>
      </c>
      <c r="G116" s="679" t="s">
        <v>261</v>
      </c>
      <c r="H116" s="679" t="s">
        <v>262</v>
      </c>
      <c r="I116" s="679" t="s">
        <v>263</v>
      </c>
      <c r="J116" s="679" t="s">
        <v>264</v>
      </c>
      <c r="K116" s="680" t="s">
        <v>265</v>
      </c>
      <c r="L116" s="681" t="s">
        <v>266</v>
      </c>
      <c r="N116" s="625"/>
      <c r="P116" s="682">
        <v>6</v>
      </c>
      <c r="Q116" s="683">
        <f>60/P116/1440</f>
        <v>6.9444444444444441E-3</v>
      </c>
      <c r="R116" s="684">
        <f>60/P116*60</f>
        <v>600</v>
      </c>
    </row>
    <row r="117" spans="2:34" ht="14.25" thickTop="1" thickBot="1" x14ac:dyDescent="0.25">
      <c r="B117" s="1240" t="s">
        <v>267</v>
      </c>
      <c r="C117" s="1241"/>
      <c r="D117" s="685" t="s">
        <v>268</v>
      </c>
      <c r="E117" s="686">
        <v>1</v>
      </c>
      <c r="F117" s="686">
        <v>1</v>
      </c>
      <c r="G117" s="686">
        <v>1</v>
      </c>
      <c r="H117" s="686">
        <v>1</v>
      </c>
      <c r="I117" s="686"/>
      <c r="J117" s="686">
        <v>1</v>
      </c>
      <c r="K117" s="687"/>
      <c r="L117" s="688">
        <f>IF(SUM(E117:K117)&gt;0,SUM(E117:K117)/L126,"---")</f>
        <v>0.13440860215053763</v>
      </c>
      <c r="M117" s="689" t="s">
        <v>69</v>
      </c>
      <c r="P117" s="690">
        <v>600</v>
      </c>
      <c r="Q117" s="691">
        <f>P117/1440/60</f>
        <v>6.9444444444444449E-3</v>
      </c>
      <c r="R117" s="692">
        <f>60/P117*60</f>
        <v>6</v>
      </c>
    </row>
    <row r="118" spans="2:34" x14ac:dyDescent="0.2">
      <c r="B118" s="1242" t="s">
        <v>269</v>
      </c>
      <c r="C118" s="1243"/>
      <c r="D118" s="693" t="s">
        <v>270</v>
      </c>
      <c r="E118" s="694">
        <v>5.2</v>
      </c>
      <c r="F118" s="694">
        <v>3.7</v>
      </c>
      <c r="G118" s="694">
        <v>3</v>
      </c>
      <c r="H118" s="694">
        <v>5.2</v>
      </c>
      <c r="I118" s="694"/>
      <c r="J118" s="695">
        <v>5.2</v>
      </c>
      <c r="K118" s="696"/>
      <c r="L118" s="697">
        <f>IF(SUM(E118:K118)&gt;0,SUM(E118:K118)/L126,"---")</f>
        <v>0.59946236559139787</v>
      </c>
      <c r="M118" s="698" t="s">
        <v>271</v>
      </c>
      <c r="P118" s="699">
        <v>0.2590277777777778</v>
      </c>
      <c r="Q118" s="700">
        <f>P118*1440</f>
        <v>373.00000000000006</v>
      </c>
      <c r="R118" s="701">
        <f>60/P118/24</f>
        <v>9.6514745308310985</v>
      </c>
    </row>
    <row r="119" spans="2:34" ht="16.5" thickBot="1" x14ac:dyDescent="0.25">
      <c r="B119" s="1244" t="s">
        <v>272</v>
      </c>
      <c r="C119" s="1246"/>
      <c r="D119" s="702" t="s">
        <v>273</v>
      </c>
      <c r="E119" s="703" t="str">
        <f t="shared" ref="E119:K119" si="34">IF(MAX($E$126:$K$126)=E126,"*","")</f>
        <v/>
      </c>
      <c r="F119" s="704" t="str">
        <f t="shared" si="34"/>
        <v/>
      </c>
      <c r="G119" s="704" t="str">
        <f t="shared" si="34"/>
        <v/>
      </c>
      <c r="H119" s="704" t="str">
        <f t="shared" si="34"/>
        <v/>
      </c>
      <c r="I119" s="704" t="str">
        <f t="shared" si="34"/>
        <v/>
      </c>
      <c r="J119" s="704" t="str">
        <f t="shared" si="34"/>
        <v>*</v>
      </c>
      <c r="K119" s="705" t="str">
        <f t="shared" si="34"/>
        <v/>
      </c>
      <c r="L119" s="706">
        <f>IF(L126&gt;0,MAX(E126:K126)/L126,"---")</f>
        <v>0.32258064516129031</v>
      </c>
      <c r="M119" s="707">
        <f>IF(L126&gt;0,SUM(E117:K118)/L126,0)</f>
        <v>0.73387096774193539</v>
      </c>
      <c r="P119" s="708">
        <v>9.65</v>
      </c>
      <c r="Q119" s="709">
        <f>60/P119/1440</f>
        <v>4.3177892918825561E-3</v>
      </c>
      <c r="R119" s="684">
        <f>60/P119*60</f>
        <v>373.05699481865287</v>
      </c>
    </row>
    <row r="120" spans="2:34" ht="13.5" thickBot="1" x14ac:dyDescent="0.25">
      <c r="B120" s="1240" t="s">
        <v>274</v>
      </c>
      <c r="C120" s="1241"/>
      <c r="D120" s="710" t="s">
        <v>275</v>
      </c>
      <c r="E120" s="686"/>
      <c r="F120" s="686">
        <v>1.5</v>
      </c>
      <c r="G120" s="686"/>
      <c r="H120" s="686"/>
      <c r="I120" s="686"/>
      <c r="J120" s="686">
        <v>5.8</v>
      </c>
      <c r="K120" s="687"/>
      <c r="L120" s="688">
        <f>IF(SUM(E120:K120)&gt;0,SUM(E120:K120)/L126,"---")</f>
        <v>0.19623655913978494</v>
      </c>
      <c r="M120" s="711" t="s">
        <v>276</v>
      </c>
      <c r="P120" s="690">
        <v>373</v>
      </c>
      <c r="Q120" s="712">
        <f>P120/1440/60</f>
        <v>4.31712962962963E-3</v>
      </c>
      <c r="R120" s="713">
        <f>60/P120*60</f>
        <v>9.6514745308310985</v>
      </c>
    </row>
    <row r="121" spans="2:34" x14ac:dyDescent="0.2">
      <c r="B121" s="1242" t="s">
        <v>277</v>
      </c>
      <c r="C121" s="1243"/>
      <c r="D121" s="714" t="s">
        <v>278</v>
      </c>
      <c r="E121" s="695"/>
      <c r="F121" s="695"/>
      <c r="G121" s="695">
        <v>2.6</v>
      </c>
      <c r="H121" s="695"/>
      <c r="I121" s="695"/>
      <c r="J121" s="695"/>
      <c r="K121" s="696"/>
      <c r="L121" s="697">
        <f>IF(SUM(E121:K121)&gt;0,SUM(E121:K121)/L126,"---")</f>
        <v>6.9892473118279563E-2</v>
      </c>
      <c r="M121" s="698" t="s">
        <v>279</v>
      </c>
      <c r="P121" s="1216" t="s">
        <v>280</v>
      </c>
      <c r="Q121" s="1217"/>
      <c r="R121" s="1218"/>
    </row>
    <row r="122" spans="2:34" ht="13.5" thickBot="1" x14ac:dyDescent="0.25">
      <c r="B122" s="1244" t="s">
        <v>281</v>
      </c>
      <c r="C122" s="1245"/>
      <c r="D122" s="888"/>
      <c r="E122" s="694"/>
      <c r="F122" s="694"/>
      <c r="G122" s="694"/>
      <c r="H122" s="694"/>
      <c r="I122" s="694"/>
      <c r="J122" s="694"/>
      <c r="K122" s="716"/>
      <c r="L122" s="706" t="str">
        <f>IF(SUM(E122:K122)&gt;0,SUM(E122:K122)/L126,"---")</f>
        <v>---</v>
      </c>
      <c r="M122" s="707">
        <f>SUM(L120:L122)</f>
        <v>0.2661290322580645</v>
      </c>
      <c r="P122" s="717">
        <v>0.5</v>
      </c>
      <c r="Q122" s="718">
        <v>0.41666666666666669</v>
      </c>
      <c r="R122" s="719">
        <f>Q122/P122</f>
        <v>0.83333333333333337</v>
      </c>
    </row>
    <row r="123" spans="2:34" x14ac:dyDescent="0.2">
      <c r="B123" s="1240" t="s">
        <v>282</v>
      </c>
      <c r="C123" s="1241"/>
      <c r="D123" s="710" t="s">
        <v>283</v>
      </c>
      <c r="E123" s="686"/>
      <c r="F123" s="686"/>
      <c r="G123" s="686"/>
      <c r="H123" s="686"/>
      <c r="I123" s="686"/>
      <c r="J123" s="686"/>
      <c r="K123" s="687"/>
      <c r="L123" s="688" t="str">
        <f>IF(SUM(E123:K123)&gt;0,SUM(E123:K123)/L126,"---")</f>
        <v>---</v>
      </c>
      <c r="M123" s="711" t="s">
        <v>284</v>
      </c>
      <c r="P123" s="720">
        <v>0.5</v>
      </c>
      <c r="Q123" s="721">
        <v>10</v>
      </c>
      <c r="R123" s="722">
        <f>Q123*P123</f>
        <v>5</v>
      </c>
      <c r="AH123" s="723"/>
    </row>
    <row r="124" spans="2:34" ht="13.5" thickBot="1" x14ac:dyDescent="0.25">
      <c r="B124" s="1244" t="s">
        <v>285</v>
      </c>
      <c r="C124" s="1246"/>
      <c r="D124" s="724" t="s">
        <v>168</v>
      </c>
      <c r="E124" s="694"/>
      <c r="F124" s="694"/>
      <c r="G124" s="694"/>
      <c r="H124" s="694"/>
      <c r="I124" s="694"/>
      <c r="J124" s="694"/>
      <c r="K124" s="716"/>
      <c r="L124" s="706" t="str">
        <f>IF(SUM(E124:K124)&gt;0,SUM(E124:K124)/L126,"---")</f>
        <v>---</v>
      </c>
      <c r="M124" s="698" t="s">
        <v>286</v>
      </c>
      <c r="P124" s="725">
        <v>0.5</v>
      </c>
      <c r="Q124" s="726">
        <v>10</v>
      </c>
      <c r="R124" s="727">
        <f>Q124*P124</f>
        <v>5</v>
      </c>
      <c r="S124" s="883"/>
      <c r="T124" s="883"/>
      <c r="U124" s="883"/>
    </row>
    <row r="125" spans="2:34" ht="14.25" thickTop="1" thickBot="1" x14ac:dyDescent="0.25">
      <c r="B125" s="1244" t="s">
        <v>287</v>
      </c>
      <c r="C125" s="1260"/>
      <c r="D125" s="887"/>
      <c r="E125" s="695"/>
      <c r="F125" s="695"/>
      <c r="G125" s="695"/>
      <c r="H125" s="695"/>
      <c r="I125" s="695"/>
      <c r="J125" s="729"/>
      <c r="K125" s="730"/>
      <c r="L125" s="706" t="str">
        <f>IF(SUM(E125:K125)&gt;0,SUM(E125:K125)/L126,"---")</f>
        <v>---</v>
      </c>
      <c r="M125" s="731">
        <f>SUM(L123:L125)</f>
        <v>0</v>
      </c>
      <c r="Q125" s="732" t="s">
        <v>215</v>
      </c>
      <c r="R125" s="733" t="s">
        <v>127</v>
      </c>
      <c r="S125" s="883"/>
      <c r="T125" s="883"/>
      <c r="U125" s="883"/>
    </row>
    <row r="126" spans="2:34" ht="14.25" thickTop="1" thickBot="1" x14ac:dyDescent="0.25">
      <c r="B126" s="734"/>
      <c r="C126" s="735" t="s">
        <v>288</v>
      </c>
      <c r="D126" s="736"/>
      <c r="E126" s="737">
        <f t="shared" ref="E126:K126" si="35">E117+E118+E120+E121+E122+E123+E124+E125</f>
        <v>6.2</v>
      </c>
      <c r="F126" s="737">
        <f t="shared" si="35"/>
        <v>6.2</v>
      </c>
      <c r="G126" s="737">
        <f t="shared" si="35"/>
        <v>6.6</v>
      </c>
      <c r="H126" s="737">
        <f t="shared" si="35"/>
        <v>6.2</v>
      </c>
      <c r="I126" s="737">
        <f t="shared" si="35"/>
        <v>0</v>
      </c>
      <c r="J126" s="738">
        <f t="shared" si="35"/>
        <v>12</v>
      </c>
      <c r="K126" s="739">
        <f t="shared" si="35"/>
        <v>0</v>
      </c>
      <c r="L126" s="740">
        <f>SUM(E126:K126)</f>
        <v>37.200000000000003</v>
      </c>
      <c r="M126" s="483"/>
      <c r="P126" s="741" t="s">
        <v>73</v>
      </c>
      <c r="Q126" s="742">
        <v>13.109375</v>
      </c>
      <c r="R126" s="743">
        <v>21097.493999999999</v>
      </c>
      <c r="S126" s="883"/>
      <c r="T126" s="883"/>
      <c r="U126" s="883"/>
    </row>
    <row r="127" spans="2:34" ht="14.25" thickTop="1" thickBot="1" x14ac:dyDescent="0.25">
      <c r="B127" s="744"/>
      <c r="C127" s="745"/>
      <c r="D127" s="746"/>
      <c r="E127" s="747"/>
      <c r="F127" s="746"/>
      <c r="G127" s="748" t="s">
        <v>289</v>
      </c>
      <c r="H127" s="746"/>
      <c r="I127" s="746"/>
      <c r="J127" s="746"/>
      <c r="K127" s="746"/>
      <c r="L127" s="749"/>
      <c r="M127" s="746"/>
      <c r="N127" s="746"/>
      <c r="O127" s="746"/>
      <c r="P127" s="750" t="s">
        <v>65</v>
      </c>
      <c r="Q127" s="751">
        <v>26.21875</v>
      </c>
      <c r="R127" s="752">
        <v>42194.987999999998</v>
      </c>
      <c r="T127" s="883"/>
      <c r="U127" s="883"/>
    </row>
    <row r="128" spans="2:34" ht="13.5" thickTop="1" x14ac:dyDescent="0.2">
      <c r="E128" s="4"/>
      <c r="G128" s="753"/>
      <c r="T128" s="883"/>
      <c r="U128" s="883"/>
    </row>
    <row r="129" spans="5:33" x14ac:dyDescent="0.2">
      <c r="E129" s="4"/>
      <c r="G129" s="753"/>
      <c r="T129" s="883"/>
      <c r="U129" s="883"/>
    </row>
    <row r="130" spans="5:33" x14ac:dyDescent="0.2">
      <c r="S130" s="883"/>
      <c r="T130" s="883"/>
      <c r="U130" s="883"/>
    </row>
    <row r="131" spans="5:33" x14ac:dyDescent="0.2">
      <c r="S131" s="883"/>
      <c r="T131" s="883"/>
      <c r="U131" s="883"/>
      <c r="W131" s="1261" t="s">
        <v>290</v>
      </c>
      <c r="X131" s="1262"/>
      <c r="Y131" s="1262"/>
      <c r="Z131" s="1262"/>
      <c r="AA131" s="1262"/>
      <c r="AB131" s="1262"/>
      <c r="AC131" s="1262"/>
      <c r="AD131" s="1262"/>
      <c r="AE131" s="1262"/>
      <c r="AF131" s="1262"/>
      <c r="AG131" s="1263"/>
    </row>
    <row r="132" spans="5:33" ht="13.5" thickBot="1" x14ac:dyDescent="0.25">
      <c r="S132" s="883"/>
      <c r="T132" s="883"/>
      <c r="U132" s="883"/>
      <c r="W132" s="754"/>
      <c r="X132" s="885"/>
      <c r="AD132" s="723"/>
      <c r="AE132" s="885"/>
      <c r="AF132" s="885"/>
      <c r="AG132" s="885"/>
    </row>
    <row r="133" spans="5:33" ht="14.25" thickTop="1" thickBot="1" x14ac:dyDescent="0.25">
      <c r="S133" s="883"/>
      <c r="T133" s="883"/>
      <c r="U133" s="883"/>
      <c r="W133" s="885"/>
      <c r="X133" s="885"/>
      <c r="AD133" s="1264" t="s">
        <v>291</v>
      </c>
      <c r="AE133" s="1265"/>
      <c r="AF133" s="1266"/>
    </row>
    <row r="134" spans="5:33" ht="14.25" thickTop="1" thickBot="1" x14ac:dyDescent="0.25">
      <c r="S134" s="883"/>
      <c r="T134" s="883"/>
      <c r="U134" s="883"/>
      <c r="Z134" s="755" t="s">
        <v>292</v>
      </c>
      <c r="AA134" s="756" t="s">
        <v>293</v>
      </c>
      <c r="AB134" s="756" t="s">
        <v>294</v>
      </c>
      <c r="AC134" s="757" t="s">
        <v>78</v>
      </c>
      <c r="AD134" s="758" t="s">
        <v>295</v>
      </c>
      <c r="AE134" s="759" t="s">
        <v>296</v>
      </c>
      <c r="AF134" s="759" t="s">
        <v>297</v>
      </c>
      <c r="AG134" s="760" t="s">
        <v>298</v>
      </c>
    </row>
    <row r="135" spans="5:33" x14ac:dyDescent="0.2">
      <c r="Z135" s="761">
        <v>0.5</v>
      </c>
      <c r="AA135" s="762">
        <v>0.56000000000000005</v>
      </c>
      <c r="AB135" s="763">
        <v>0.1</v>
      </c>
      <c r="AC135" s="764" t="s">
        <v>77</v>
      </c>
      <c r="AD135" s="765">
        <v>5</v>
      </c>
      <c r="AE135" s="766">
        <v>0.60563999999999996</v>
      </c>
      <c r="AF135" s="766">
        <v>0.66959999999999986</v>
      </c>
      <c r="AG135" s="767">
        <v>0.96112336382737162</v>
      </c>
    </row>
    <row r="136" spans="5:33" x14ac:dyDescent="0.2">
      <c r="Z136" s="768">
        <v>0.59</v>
      </c>
      <c r="AA136" s="769">
        <v>0.65</v>
      </c>
      <c r="AB136" s="770">
        <v>0.1</v>
      </c>
      <c r="AC136" s="764" t="s">
        <v>76</v>
      </c>
      <c r="AD136" s="771">
        <f t="shared" ref="AD136:AD199" si="36">+AD135+1</f>
        <v>6</v>
      </c>
      <c r="AE136" s="772">
        <v>0.65963999999999989</v>
      </c>
      <c r="AF136" s="772">
        <v>0.70604666666666671</v>
      </c>
      <c r="AG136" s="773">
        <v>1.0442340767273608</v>
      </c>
    </row>
    <row r="137" spans="5:33" x14ac:dyDescent="0.2">
      <c r="Z137" s="768">
        <v>0.59499999999999997</v>
      </c>
      <c r="AA137" s="769">
        <v>0.65500000000000003</v>
      </c>
      <c r="AB137" s="770">
        <f>(AB135+AB138)/2</f>
        <v>0.10500000000000001</v>
      </c>
      <c r="AC137" s="764" t="s">
        <v>75</v>
      </c>
      <c r="AD137" s="771">
        <f t="shared" si="36"/>
        <v>7</v>
      </c>
      <c r="AE137" s="772">
        <v>0.70964000000000005</v>
      </c>
      <c r="AF137" s="772">
        <v>0.74047999999999992</v>
      </c>
      <c r="AG137" s="773">
        <v>1.0698634535696265</v>
      </c>
    </row>
    <row r="138" spans="5:33" x14ac:dyDescent="0.2">
      <c r="S138" s="883"/>
      <c r="T138" s="883"/>
      <c r="U138" s="883"/>
      <c r="Z138" s="768">
        <v>0.6</v>
      </c>
      <c r="AA138" s="769">
        <v>0.66</v>
      </c>
      <c r="AB138" s="774">
        <v>0.11</v>
      </c>
      <c r="AC138" s="764" t="s">
        <v>74</v>
      </c>
      <c r="AD138" s="771">
        <f t="shared" si="36"/>
        <v>8</v>
      </c>
      <c r="AE138" s="772">
        <v>0.75563999999999998</v>
      </c>
      <c r="AF138" s="772">
        <v>0.77283999999999997</v>
      </c>
      <c r="AG138" s="773">
        <v>1.0905153464137425</v>
      </c>
    </row>
    <row r="139" spans="5:33" x14ac:dyDescent="0.2">
      <c r="S139" s="883"/>
      <c r="T139" s="883"/>
      <c r="U139" s="883"/>
      <c r="Z139" s="768">
        <v>0.60499999999999998</v>
      </c>
      <c r="AA139" s="769">
        <v>0.66500000000000004</v>
      </c>
      <c r="AB139" s="774">
        <f>(AB138+AB140)/2</f>
        <v>0.11599999999999999</v>
      </c>
      <c r="AC139" s="764" t="s">
        <v>73</v>
      </c>
      <c r="AD139" s="771">
        <f t="shared" si="36"/>
        <v>9</v>
      </c>
      <c r="AE139" s="772">
        <v>0.79763999999999979</v>
      </c>
      <c r="AF139" s="772">
        <v>0.80318666666666683</v>
      </c>
      <c r="AG139" s="773">
        <v>1.1067837684547033</v>
      </c>
    </row>
    <row r="140" spans="5:33" x14ac:dyDescent="0.2">
      <c r="S140" s="883"/>
      <c r="T140" s="883"/>
      <c r="U140" s="883"/>
      <c r="Z140" s="768">
        <v>0.61</v>
      </c>
      <c r="AA140" s="769">
        <v>0.67</v>
      </c>
      <c r="AB140" s="774">
        <v>0.122</v>
      </c>
      <c r="AC140" s="764" t="s">
        <v>65</v>
      </c>
      <c r="AD140" s="771">
        <f t="shared" si="36"/>
        <v>10</v>
      </c>
      <c r="AE140" s="772">
        <v>0.83563999999999994</v>
      </c>
      <c r="AF140" s="772">
        <v>0.83158000000000021</v>
      </c>
      <c r="AG140" s="773">
        <v>1.1193704644085498</v>
      </c>
    </row>
    <row r="141" spans="5:33" x14ac:dyDescent="0.2">
      <c r="S141" s="883"/>
      <c r="T141" s="883"/>
      <c r="U141" s="883"/>
      <c r="Z141" s="768">
        <v>0.61499999999999999</v>
      </c>
      <c r="AA141" s="769">
        <v>0.67500000000000004</v>
      </c>
      <c r="AB141" s="774">
        <f>(AB140+AB142)/2</f>
        <v>0.1285</v>
      </c>
      <c r="AC141" s="764" t="s">
        <v>54</v>
      </c>
      <c r="AD141" s="771">
        <f t="shared" si="36"/>
        <v>11</v>
      </c>
      <c r="AE141" s="772">
        <v>0.86964000000000008</v>
      </c>
      <c r="AF141" s="772">
        <v>0.85783999999999994</v>
      </c>
      <c r="AG141" s="773">
        <v>1.1286846691527839</v>
      </c>
    </row>
    <row r="142" spans="5:33" x14ac:dyDescent="0.2">
      <c r="S142" s="883"/>
      <c r="T142" s="883"/>
      <c r="U142" s="883"/>
      <c r="Z142" s="768">
        <v>0.62</v>
      </c>
      <c r="AA142" s="769">
        <v>0.68</v>
      </c>
      <c r="AB142" s="770">
        <v>0.13500000000000001</v>
      </c>
      <c r="AC142" s="775"/>
      <c r="AD142" s="771">
        <f t="shared" si="36"/>
        <v>12</v>
      </c>
      <c r="AE142" s="772">
        <v>0.89963999999999966</v>
      </c>
      <c r="AF142" s="772">
        <v>0.88214666666666686</v>
      </c>
      <c r="AG142" s="773">
        <v>1.135000484637007</v>
      </c>
    </row>
    <row r="143" spans="5:33" x14ac:dyDescent="0.2">
      <c r="S143" s="883"/>
      <c r="T143" s="883"/>
      <c r="U143" s="883"/>
      <c r="Z143" s="768">
        <v>0.625</v>
      </c>
      <c r="AA143" s="769">
        <v>0.68500000000000005</v>
      </c>
      <c r="AB143" s="770">
        <f>(AB142+AB144)/2</f>
        <v>0.14250000000000002</v>
      </c>
      <c r="AC143" s="775"/>
      <c r="AD143" s="771">
        <f t="shared" si="36"/>
        <v>13</v>
      </c>
      <c r="AE143" s="772">
        <v>0.9256399999999998</v>
      </c>
      <c r="AF143" s="772">
        <v>0.90444000000000002</v>
      </c>
      <c r="AG143" s="773">
        <v>1.1386201807048688</v>
      </c>
    </row>
    <row r="144" spans="5:33" x14ac:dyDescent="0.2">
      <c r="S144" s="883"/>
      <c r="T144" s="883"/>
      <c r="U144" s="883"/>
      <c r="Z144" s="768">
        <v>0.63</v>
      </c>
      <c r="AA144" s="769">
        <v>0.69</v>
      </c>
      <c r="AB144" s="770">
        <v>0.15</v>
      </c>
      <c r="AC144" s="775"/>
      <c r="AD144" s="771">
        <f t="shared" si="36"/>
        <v>14</v>
      </c>
      <c r="AE144" s="772">
        <v>0.9476399999999997</v>
      </c>
      <c r="AF144" s="772">
        <v>0.92465999999999982</v>
      </c>
      <c r="AG144" s="773">
        <v>1.1399138300696301</v>
      </c>
    </row>
    <row r="145" spans="19:33" x14ac:dyDescent="0.2">
      <c r="S145" s="883"/>
      <c r="T145" s="883"/>
      <c r="U145" s="883"/>
      <c r="Z145" s="768">
        <v>0.63500000000000001</v>
      </c>
      <c r="AA145" s="769">
        <v>0.69499999999999995</v>
      </c>
      <c r="AB145" s="770">
        <f>(AB144+AB146)/2</f>
        <v>0.1585</v>
      </c>
      <c r="AC145" s="775"/>
      <c r="AD145" s="771">
        <f t="shared" si="36"/>
        <v>15</v>
      </c>
      <c r="AE145" s="772">
        <v>0.96564000000000016</v>
      </c>
      <c r="AF145" s="772">
        <v>0.94286666666666674</v>
      </c>
      <c r="AG145" s="773">
        <v>1.1389721181856014</v>
      </c>
    </row>
    <row r="146" spans="19:33" x14ac:dyDescent="0.2">
      <c r="S146" s="883"/>
      <c r="T146" s="883"/>
      <c r="U146" s="883"/>
      <c r="Z146" s="768">
        <v>0.64</v>
      </c>
      <c r="AA146" s="769">
        <v>0.7</v>
      </c>
      <c r="AB146" s="770">
        <v>0.16700000000000001</v>
      </c>
      <c r="AC146" s="775"/>
      <c r="AD146" s="771">
        <f t="shared" si="36"/>
        <v>16</v>
      </c>
      <c r="AE146" s="772">
        <v>0.97963999999999973</v>
      </c>
      <c r="AF146" s="772">
        <v>0.96006666666666685</v>
      </c>
      <c r="AG146" s="773">
        <v>1.1345731655830449</v>
      </c>
    </row>
    <row r="147" spans="19:33" x14ac:dyDescent="0.2">
      <c r="S147" s="883"/>
      <c r="T147" s="883"/>
      <c r="U147" s="883"/>
      <c r="Z147" s="768">
        <v>0.64500000000000002</v>
      </c>
      <c r="AA147" s="769">
        <v>0.70499999999999996</v>
      </c>
      <c r="AB147" s="770">
        <f>(AB146+AB148)/2</f>
        <v>0.17499999999999999</v>
      </c>
      <c r="AC147" s="775"/>
      <c r="AD147" s="771">
        <f t="shared" si="36"/>
        <v>17</v>
      </c>
      <c r="AE147" s="772">
        <v>0.99164000000000008</v>
      </c>
      <c r="AF147" s="772">
        <v>0.97726666666666684</v>
      </c>
      <c r="AG147" s="773">
        <v>1.127948717948718</v>
      </c>
    </row>
    <row r="148" spans="19:33" x14ac:dyDescent="0.2">
      <c r="S148" s="883"/>
      <c r="T148" s="883"/>
      <c r="U148" s="883"/>
      <c r="Z148" s="768">
        <v>0.65</v>
      </c>
      <c r="AA148" s="769">
        <v>0.71</v>
      </c>
      <c r="AB148" s="770">
        <v>0.183</v>
      </c>
      <c r="AC148" s="775"/>
      <c r="AD148" s="771">
        <f t="shared" si="36"/>
        <v>18</v>
      </c>
      <c r="AE148" s="772">
        <v>0.99931999999999988</v>
      </c>
      <c r="AF148" s="772">
        <v>0.98997333333333326</v>
      </c>
      <c r="AG148" s="773">
        <v>1.1223755894829777</v>
      </c>
    </row>
    <row r="149" spans="19:33" x14ac:dyDescent="0.2">
      <c r="S149" s="883"/>
      <c r="T149" s="883"/>
      <c r="U149" s="883"/>
      <c r="Z149" s="768">
        <v>0.65500000000000003</v>
      </c>
      <c r="AA149" s="769">
        <v>0.71499999999999997</v>
      </c>
      <c r="AB149" s="770">
        <f>(AB148+AB150)/2</f>
        <v>0.1915</v>
      </c>
      <c r="AC149" s="775"/>
      <c r="AD149" s="771">
        <f t="shared" si="36"/>
        <v>19</v>
      </c>
      <c r="AE149" s="772">
        <v>1</v>
      </c>
      <c r="AF149" s="772">
        <v>0.99627999999999994</v>
      </c>
      <c r="AG149" s="773">
        <v>1.1163427143041849</v>
      </c>
    </row>
    <row r="150" spans="19:33" x14ac:dyDescent="0.2">
      <c r="S150" s="883"/>
      <c r="T150" s="883"/>
      <c r="U150" s="883"/>
      <c r="Z150" s="768">
        <v>0.66</v>
      </c>
      <c r="AA150" s="769">
        <v>0.72</v>
      </c>
      <c r="AB150" s="770">
        <v>0.2</v>
      </c>
      <c r="AC150" s="775"/>
      <c r="AD150" s="771">
        <f t="shared" si="36"/>
        <v>20</v>
      </c>
      <c r="AE150" s="772">
        <v>1</v>
      </c>
      <c r="AF150" s="772">
        <v>0.99898666666666669</v>
      </c>
      <c r="AG150" s="773">
        <v>1.1133474119725899</v>
      </c>
    </row>
    <row r="151" spans="19:33" x14ac:dyDescent="0.2">
      <c r="S151" s="883"/>
      <c r="T151" s="883"/>
      <c r="U151" s="883"/>
      <c r="Z151" s="768">
        <v>0.66500000000000004</v>
      </c>
      <c r="AA151" s="769">
        <v>0.72499999999999998</v>
      </c>
      <c r="AB151" s="770">
        <f>(AB150+AB152)/2</f>
        <v>0.20850000000000002</v>
      </c>
      <c r="AC151" s="775"/>
      <c r="AD151" s="771">
        <f t="shared" si="36"/>
        <v>21</v>
      </c>
      <c r="AE151" s="772">
        <v>1</v>
      </c>
      <c r="AF151" s="772">
        <v>0.99974666666666678</v>
      </c>
      <c r="AG151" s="773">
        <v>1.1125070034047322</v>
      </c>
    </row>
    <row r="152" spans="19:33" x14ac:dyDescent="0.2">
      <c r="S152" s="883"/>
      <c r="T152" s="883"/>
      <c r="U152" s="883"/>
      <c r="Z152" s="768">
        <v>0.67</v>
      </c>
      <c r="AA152" s="769">
        <v>0.73</v>
      </c>
      <c r="AB152" s="770">
        <v>0.217</v>
      </c>
      <c r="AC152" s="775"/>
      <c r="AD152" s="771">
        <f t="shared" si="36"/>
        <v>22</v>
      </c>
      <c r="AE152" s="772">
        <v>1</v>
      </c>
      <c r="AF152" s="772">
        <v>1</v>
      </c>
      <c r="AG152" s="773">
        <v>1.1122484161530837</v>
      </c>
    </row>
    <row r="153" spans="19:33" x14ac:dyDescent="0.2">
      <c r="S153" s="883"/>
      <c r="T153" s="883"/>
      <c r="U153" s="883"/>
      <c r="Z153" s="768">
        <v>0.67500000000000004</v>
      </c>
      <c r="AA153" s="769">
        <v>0.73499999999999999</v>
      </c>
      <c r="AB153" s="770">
        <f>(AB152+AB154)/2</f>
        <v>0.22500000000000001</v>
      </c>
      <c r="AC153" s="775"/>
      <c r="AD153" s="771">
        <f t="shared" si="36"/>
        <v>23</v>
      </c>
      <c r="AE153" s="772">
        <v>1</v>
      </c>
      <c r="AF153" s="772">
        <v>1</v>
      </c>
      <c r="AG153" s="773">
        <v>1.1122484161530837</v>
      </c>
    </row>
    <row r="154" spans="19:33" x14ac:dyDescent="0.2">
      <c r="S154" s="883"/>
      <c r="T154" s="883"/>
      <c r="U154" s="883"/>
      <c r="Z154" s="768">
        <v>0.68</v>
      </c>
      <c r="AA154" s="769">
        <v>0.74</v>
      </c>
      <c r="AB154" s="770">
        <v>0.23300000000000001</v>
      </c>
      <c r="AC154" s="775"/>
      <c r="AD154" s="771">
        <f t="shared" si="36"/>
        <v>24</v>
      </c>
      <c r="AE154" s="772">
        <v>1</v>
      </c>
      <c r="AF154" s="772">
        <v>1</v>
      </c>
      <c r="AG154" s="773">
        <v>1.1122484161530837</v>
      </c>
    </row>
    <row r="155" spans="19:33" x14ac:dyDescent="0.2">
      <c r="S155" s="883"/>
      <c r="T155" s="883"/>
      <c r="U155" s="883"/>
      <c r="Z155" s="768">
        <v>0.68500000000000005</v>
      </c>
      <c r="AA155" s="769">
        <v>0.745</v>
      </c>
      <c r="AB155" s="770">
        <f>(AB154+AB156)/2</f>
        <v>0.24149999999999999</v>
      </c>
      <c r="AC155" s="775"/>
      <c r="AD155" s="771">
        <f t="shared" si="36"/>
        <v>25</v>
      </c>
      <c r="AE155" s="772">
        <v>1</v>
      </c>
      <c r="AF155" s="772">
        <v>1</v>
      </c>
      <c r="AG155" s="773">
        <v>1.1122484161530837</v>
      </c>
    </row>
    <row r="156" spans="19:33" x14ac:dyDescent="0.2">
      <c r="S156" s="883"/>
      <c r="T156" s="883"/>
      <c r="U156" s="883"/>
      <c r="Z156" s="768">
        <v>0.69</v>
      </c>
      <c r="AA156" s="769">
        <v>0.75</v>
      </c>
      <c r="AB156" s="770">
        <v>0.25</v>
      </c>
      <c r="AC156" s="775"/>
      <c r="AD156" s="771">
        <f t="shared" si="36"/>
        <v>26</v>
      </c>
      <c r="AE156" s="772">
        <v>1</v>
      </c>
      <c r="AF156" s="772">
        <v>1</v>
      </c>
      <c r="AG156" s="773">
        <v>1.1122484161530837</v>
      </c>
    </row>
    <row r="157" spans="19:33" x14ac:dyDescent="0.2">
      <c r="S157" s="883"/>
      <c r="T157" s="883"/>
      <c r="U157" s="883"/>
      <c r="Z157" s="768">
        <v>0.7</v>
      </c>
      <c r="AA157" s="769">
        <v>0.755</v>
      </c>
      <c r="AB157" s="770">
        <f>(AB156+AB158)/2</f>
        <v>0.26649999999999996</v>
      </c>
      <c r="AC157" s="775"/>
      <c r="AD157" s="771">
        <f t="shared" si="36"/>
        <v>27</v>
      </c>
      <c r="AE157" s="772">
        <v>1</v>
      </c>
      <c r="AF157" s="772">
        <v>1</v>
      </c>
      <c r="AG157" s="773">
        <v>1.1122484161530837</v>
      </c>
    </row>
    <row r="158" spans="19:33" x14ac:dyDescent="0.2">
      <c r="S158" s="883"/>
      <c r="T158" s="883"/>
      <c r="U158" s="883"/>
      <c r="Z158" s="768">
        <v>0.71</v>
      </c>
      <c r="AA158" s="769">
        <v>0.76</v>
      </c>
      <c r="AB158" s="770">
        <v>0.28299999999999997</v>
      </c>
      <c r="AC158" s="775"/>
      <c r="AD158" s="771">
        <f t="shared" si="36"/>
        <v>28</v>
      </c>
      <c r="AE158" s="772">
        <v>0.99998000000000009</v>
      </c>
      <c r="AF158" s="772">
        <v>1</v>
      </c>
      <c r="AG158" s="773">
        <v>1.1122484161530837</v>
      </c>
    </row>
    <row r="159" spans="19:33" x14ac:dyDescent="0.2">
      <c r="S159" s="883"/>
      <c r="T159" s="883"/>
      <c r="U159" s="883"/>
      <c r="Z159" s="768">
        <v>0.71499999999999997</v>
      </c>
      <c r="AA159" s="769">
        <v>0.76500000000000001</v>
      </c>
      <c r="AB159" s="770">
        <f>(AB158+AB160)/2</f>
        <v>0.29149999999999998</v>
      </c>
      <c r="AC159" s="775"/>
      <c r="AD159" s="771">
        <f t="shared" si="36"/>
        <v>29</v>
      </c>
      <c r="AE159" s="772">
        <v>0.99986000000000008</v>
      </c>
      <c r="AF159" s="772">
        <v>1</v>
      </c>
      <c r="AG159" s="773">
        <v>1.1122244488977955</v>
      </c>
    </row>
    <row r="160" spans="19:33" x14ac:dyDescent="0.2">
      <c r="S160" s="883"/>
      <c r="T160" s="883"/>
      <c r="U160" s="883"/>
      <c r="Z160" s="768">
        <v>0.72</v>
      </c>
      <c r="AA160" s="769">
        <v>0.77</v>
      </c>
      <c r="AB160" s="770">
        <v>0.3</v>
      </c>
      <c r="AC160" s="775"/>
      <c r="AD160" s="771">
        <f t="shared" si="36"/>
        <v>30</v>
      </c>
      <c r="AE160" s="772">
        <v>0.99954666666666669</v>
      </c>
      <c r="AF160" s="772">
        <v>0.99990000000000012</v>
      </c>
      <c r="AG160" s="773">
        <v>1.1121883954926424</v>
      </c>
    </row>
    <row r="161" spans="19:33" x14ac:dyDescent="0.2">
      <c r="S161" s="883"/>
      <c r="T161" s="883"/>
      <c r="U161" s="883"/>
      <c r="Z161" s="768">
        <v>0.72499999999999998</v>
      </c>
      <c r="AA161" s="769">
        <v>0.77500000000000002</v>
      </c>
      <c r="AB161" s="770">
        <f>(AB160+AB162)/2</f>
        <v>0.3085</v>
      </c>
      <c r="AC161" s="775"/>
      <c r="AD161" s="771">
        <f t="shared" si="36"/>
        <v>31</v>
      </c>
      <c r="AE161" s="772">
        <v>0.99899333333333329</v>
      </c>
      <c r="AF161" s="772">
        <v>0.99950000000000039</v>
      </c>
      <c r="AG161" s="773">
        <v>1.1124060231360806</v>
      </c>
    </row>
    <row r="162" spans="19:33" x14ac:dyDescent="0.2">
      <c r="S162" s="883"/>
      <c r="T162" s="883"/>
      <c r="U162" s="883"/>
      <c r="Z162" s="768">
        <v>0.73</v>
      </c>
      <c r="AA162" s="769">
        <v>0.78</v>
      </c>
      <c r="AB162" s="770">
        <v>0.317</v>
      </c>
      <c r="AC162" s="775"/>
      <c r="AD162" s="771">
        <f t="shared" si="36"/>
        <v>32</v>
      </c>
      <c r="AE162" s="772">
        <v>0.99795333333333347</v>
      </c>
      <c r="AF162" s="772">
        <v>0.99846666666666695</v>
      </c>
      <c r="AG162" s="773">
        <v>1.1130369253956292</v>
      </c>
    </row>
    <row r="163" spans="19:33" x14ac:dyDescent="0.2">
      <c r="S163" s="883"/>
      <c r="T163" s="883"/>
      <c r="U163" s="883"/>
      <c r="Z163" s="768">
        <v>0.73499999999999999</v>
      </c>
      <c r="AA163" s="769">
        <v>0.78500000000000003</v>
      </c>
      <c r="AB163" s="770">
        <f>(AB162+AB164)/2</f>
        <v>0.32500000000000001</v>
      </c>
      <c r="AC163" s="775"/>
      <c r="AD163" s="771">
        <f t="shared" si="36"/>
        <v>33</v>
      </c>
      <c r="AE163" s="772">
        <v>0.9962000000000002</v>
      </c>
      <c r="AF163" s="772">
        <v>0.99690000000000012</v>
      </c>
      <c r="AG163" s="773">
        <v>1.1134335419220267</v>
      </c>
    </row>
    <row r="164" spans="19:33" x14ac:dyDescent="0.2">
      <c r="S164" s="883"/>
      <c r="T164" s="883"/>
      <c r="U164" s="883"/>
      <c r="Z164" s="768">
        <v>0.74</v>
      </c>
      <c r="AA164" s="769">
        <v>0.79</v>
      </c>
      <c r="AB164" s="770">
        <v>0.33300000000000002</v>
      </c>
      <c r="AC164" s="775"/>
      <c r="AD164" s="771">
        <f t="shared" si="36"/>
        <v>34</v>
      </c>
      <c r="AE164" s="772">
        <v>0.99377999999999955</v>
      </c>
      <c r="AF164" s="772">
        <v>0.99474000000000007</v>
      </c>
      <c r="AG164" s="773">
        <v>1.1138178228021978</v>
      </c>
    </row>
    <row r="165" spans="19:33" x14ac:dyDescent="0.2">
      <c r="S165" s="883"/>
      <c r="T165" s="883"/>
      <c r="U165" s="883"/>
      <c r="Z165" s="768">
        <v>0.745</v>
      </c>
      <c r="AA165" s="769">
        <v>0.79500000000000004</v>
      </c>
      <c r="AB165" s="770">
        <f>(AB164+AB166)/2</f>
        <v>0.34150000000000003</v>
      </c>
      <c r="AC165" s="775"/>
      <c r="AD165" s="771">
        <f t="shared" si="36"/>
        <v>35</v>
      </c>
      <c r="AE165" s="772">
        <v>0.99062666666666632</v>
      </c>
      <c r="AF165" s="772">
        <v>0.99204000000000003</v>
      </c>
      <c r="AG165" s="773">
        <v>1.113938952866133</v>
      </c>
    </row>
    <row r="166" spans="19:33" x14ac:dyDescent="0.2">
      <c r="S166" s="883"/>
      <c r="T166" s="883"/>
      <c r="U166" s="883"/>
      <c r="Z166" s="768">
        <v>0.75</v>
      </c>
      <c r="AA166" s="769">
        <v>0.8</v>
      </c>
      <c r="AB166" s="770">
        <v>0.35</v>
      </c>
      <c r="AC166" s="775"/>
      <c r="AD166" s="771">
        <f t="shared" si="36"/>
        <v>36</v>
      </c>
      <c r="AE166" s="772">
        <v>0.98680000000000023</v>
      </c>
      <c r="AF166" s="772">
        <v>0.98875333333333326</v>
      </c>
      <c r="AG166" s="773">
        <v>1.1140766342379245</v>
      </c>
    </row>
    <row r="167" spans="19:33" x14ac:dyDescent="0.2">
      <c r="S167" s="883"/>
      <c r="T167" s="883"/>
      <c r="U167" s="883"/>
      <c r="Z167" s="768">
        <v>0.755</v>
      </c>
      <c r="AA167" s="769">
        <v>0.80500000000000005</v>
      </c>
      <c r="AB167" s="770">
        <f>(AB166+AB168)/2</f>
        <v>0.35849999999999999</v>
      </c>
      <c r="AC167" s="492"/>
      <c r="AD167" s="771">
        <f t="shared" si="36"/>
        <v>37</v>
      </c>
      <c r="AE167" s="772">
        <v>0.98223999999999967</v>
      </c>
      <c r="AF167" s="772">
        <v>0.98488000000000009</v>
      </c>
      <c r="AG167" s="773">
        <v>1.1138116382332319</v>
      </c>
    </row>
    <row r="168" spans="19:33" x14ac:dyDescent="0.2">
      <c r="S168" s="883"/>
      <c r="T168" s="883"/>
      <c r="U168" s="883"/>
      <c r="Z168" s="768">
        <v>0.76</v>
      </c>
      <c r="AA168" s="769">
        <v>0.81</v>
      </c>
      <c r="AB168" s="770">
        <v>0.36699999999999999</v>
      </c>
      <c r="AC168" s="492"/>
      <c r="AD168" s="771">
        <f t="shared" si="36"/>
        <v>38</v>
      </c>
      <c r="AE168" s="772">
        <v>0.9770066666666668</v>
      </c>
      <c r="AF168" s="772">
        <v>0.98044666666666669</v>
      </c>
      <c r="AG168" s="773">
        <v>1.1135095137420719</v>
      </c>
    </row>
    <row r="169" spans="19:33" x14ac:dyDescent="0.2">
      <c r="Z169" s="768">
        <v>0.76500000000000001</v>
      </c>
      <c r="AA169" s="769">
        <v>0.81499999999999995</v>
      </c>
      <c r="AB169" s="770">
        <f>(AB168+AB170)/2</f>
        <v>0.3795</v>
      </c>
      <c r="AC169" s="492"/>
      <c r="AD169" s="771">
        <f t="shared" si="36"/>
        <v>39</v>
      </c>
      <c r="AE169" s="772">
        <v>0.97109333333333347</v>
      </c>
      <c r="AF169" s="772">
        <v>0.97545999999999999</v>
      </c>
      <c r="AG169" s="773">
        <v>1.1129493378179525</v>
      </c>
    </row>
    <row r="170" spans="19:33" x14ac:dyDescent="0.2">
      <c r="Z170" s="768">
        <v>0.77</v>
      </c>
      <c r="AA170" s="769">
        <v>0.82</v>
      </c>
      <c r="AB170" s="770">
        <v>0.39200000000000002</v>
      </c>
      <c r="AC170" s="492"/>
      <c r="AD170" s="771">
        <f t="shared" si="36"/>
        <v>40</v>
      </c>
      <c r="AE170" s="772">
        <v>0.96466666666666667</v>
      </c>
      <c r="AF170" s="772">
        <v>0.96988666666666645</v>
      </c>
      <c r="AG170" s="773">
        <v>1.1124689269077312</v>
      </c>
    </row>
    <row r="171" spans="19:33" x14ac:dyDescent="0.2">
      <c r="Z171" s="768">
        <v>0.77500000000000002</v>
      </c>
      <c r="AA171" s="769">
        <v>0.82499999999999996</v>
      </c>
      <c r="AB171" s="770">
        <f>(AB170+AB172)/2</f>
        <v>0.40449999999999997</v>
      </c>
      <c r="AC171" s="492"/>
      <c r="AD171" s="771">
        <f t="shared" si="36"/>
        <v>41</v>
      </c>
      <c r="AE171" s="772">
        <v>0.9577266666666665</v>
      </c>
      <c r="AF171" s="772">
        <v>0.96372666666666673</v>
      </c>
      <c r="AG171" s="773">
        <v>1.1118831801870943</v>
      </c>
    </row>
    <row r="172" spans="19:33" x14ac:dyDescent="0.2">
      <c r="S172" s="883"/>
      <c r="T172" s="883"/>
      <c r="U172" s="883"/>
      <c r="Z172" s="768">
        <v>0.78</v>
      </c>
      <c r="AA172" s="769">
        <v>0.83</v>
      </c>
      <c r="AB172" s="770">
        <v>0.41699999999999998</v>
      </c>
      <c r="AC172" s="492"/>
      <c r="AD172" s="771">
        <f t="shared" si="36"/>
        <v>42</v>
      </c>
      <c r="AE172" s="772">
        <v>0.95040666666666629</v>
      </c>
      <c r="AF172" s="772">
        <v>0.95702000000000009</v>
      </c>
      <c r="AG172" s="773">
        <v>1.1112963649088139</v>
      </c>
    </row>
    <row r="173" spans="19:33" x14ac:dyDescent="0.2">
      <c r="S173" s="883"/>
      <c r="T173" s="883"/>
      <c r="U173" s="883"/>
      <c r="Z173" s="768">
        <v>0.78500000000000003</v>
      </c>
      <c r="AA173" s="769">
        <v>0.83499999999999996</v>
      </c>
      <c r="AB173" s="770">
        <f>(AB172+AB174)/2</f>
        <v>0.42949999999999999</v>
      </c>
      <c r="AC173" s="492"/>
      <c r="AD173" s="771">
        <f t="shared" si="36"/>
        <v>43</v>
      </c>
      <c r="AE173" s="772">
        <v>0.94293999999999978</v>
      </c>
      <c r="AF173" s="772">
        <v>0.94970666666666659</v>
      </c>
      <c r="AG173" s="773">
        <v>1.1110543939888924</v>
      </c>
    </row>
    <row r="174" spans="19:33" x14ac:dyDescent="0.2">
      <c r="S174" s="883"/>
      <c r="T174" s="883"/>
      <c r="U174" s="883"/>
      <c r="Z174" s="768">
        <v>0.79</v>
      </c>
      <c r="AA174" s="769">
        <v>0.84</v>
      </c>
      <c r="AB174" s="770">
        <v>0.442</v>
      </c>
      <c r="AC174" s="492"/>
      <c r="AD174" s="771">
        <f t="shared" si="36"/>
        <v>44</v>
      </c>
      <c r="AE174" s="772">
        <v>0.93546666666666667</v>
      </c>
      <c r="AF174" s="772">
        <v>0.94183999999999979</v>
      </c>
      <c r="AG174" s="773">
        <v>1.1114531645569621</v>
      </c>
    </row>
    <row r="175" spans="19:33" x14ac:dyDescent="0.2">
      <c r="S175" s="883"/>
      <c r="T175" s="883"/>
      <c r="U175" s="883"/>
      <c r="Z175" s="768">
        <v>0.79500000000000004</v>
      </c>
      <c r="AA175" s="769">
        <v>0.84499999999999997</v>
      </c>
      <c r="AB175" s="770">
        <f>(AB174+AB176)/2</f>
        <v>0.45450000000000002</v>
      </c>
      <c r="AC175" s="492"/>
      <c r="AD175" s="771">
        <f t="shared" si="36"/>
        <v>45</v>
      </c>
      <c r="AE175" s="772">
        <v>0.92799333333333356</v>
      </c>
      <c r="AF175" s="772">
        <v>0.93343333333333312</v>
      </c>
      <c r="AG175" s="773">
        <v>1.112543938937431</v>
      </c>
    </row>
    <row r="176" spans="19:33" x14ac:dyDescent="0.2">
      <c r="S176" s="883"/>
      <c r="T176" s="883"/>
      <c r="U176" s="883"/>
      <c r="Z176" s="768">
        <v>0.8</v>
      </c>
      <c r="AA176" s="769">
        <v>0.85</v>
      </c>
      <c r="AB176" s="770">
        <v>0.46700000000000003</v>
      </c>
      <c r="AC176" s="492"/>
      <c r="AD176" s="771">
        <f t="shared" si="36"/>
        <v>46</v>
      </c>
      <c r="AE176" s="772">
        <v>0.92052666666666694</v>
      </c>
      <c r="AF176" s="772">
        <v>0.92440666666666649</v>
      </c>
      <c r="AG176" s="773">
        <v>1.1144758337649918</v>
      </c>
    </row>
    <row r="177" spans="19:33" x14ac:dyDescent="0.2">
      <c r="S177" s="883"/>
      <c r="T177" s="883"/>
      <c r="U177" s="883"/>
      <c r="Z177" s="768">
        <v>0.80500000000000005</v>
      </c>
      <c r="AA177" s="769">
        <v>0.85499999999999998</v>
      </c>
      <c r="AB177" s="770">
        <f>(AB176+AB178)/2</f>
        <v>0.47950000000000004</v>
      </c>
      <c r="AC177" s="492"/>
      <c r="AD177" s="771">
        <f t="shared" si="36"/>
        <v>47</v>
      </c>
      <c r="AE177" s="772">
        <v>0.91305999999999987</v>
      </c>
      <c r="AF177" s="772">
        <v>0.91483333333333339</v>
      </c>
      <c r="AG177" s="773">
        <v>1.1170845434967303</v>
      </c>
    </row>
    <row r="178" spans="19:33" x14ac:dyDescent="0.2">
      <c r="S178" s="883"/>
      <c r="T178" s="883"/>
      <c r="U178" s="883"/>
      <c r="Z178" s="768">
        <v>0.81</v>
      </c>
      <c r="AA178" s="769">
        <v>0.86</v>
      </c>
      <c r="AB178" s="770">
        <v>0.49199999999999999</v>
      </c>
      <c r="AC178" s="492"/>
      <c r="AD178" s="771">
        <f t="shared" si="36"/>
        <v>48</v>
      </c>
      <c r="AE178" s="772">
        <v>0.90558666666666654</v>
      </c>
      <c r="AF178" s="772">
        <v>0.90470666666666666</v>
      </c>
      <c r="AG178" s="773">
        <v>1.1204569055036344</v>
      </c>
    </row>
    <row r="179" spans="19:33" x14ac:dyDescent="0.2">
      <c r="S179" s="883"/>
      <c r="T179" s="883"/>
      <c r="U179" s="883"/>
      <c r="Z179" s="768">
        <v>0.81499999999999995</v>
      </c>
      <c r="AA179" s="769">
        <v>0.86499999999999999</v>
      </c>
      <c r="AB179" s="770">
        <f>(AB178+AB180)/2</f>
        <v>0.50449999999999995</v>
      </c>
      <c r="AC179" s="492"/>
      <c r="AD179" s="771">
        <f t="shared" si="36"/>
        <v>49</v>
      </c>
      <c r="AE179" s="772">
        <v>0.89810000000000001</v>
      </c>
      <c r="AF179" s="772">
        <v>0.89427999999999985</v>
      </c>
      <c r="AG179" s="773">
        <v>1.1242835771599542</v>
      </c>
    </row>
    <row r="180" spans="19:33" x14ac:dyDescent="0.2">
      <c r="S180" s="883"/>
      <c r="T180" s="883"/>
      <c r="U180" s="883"/>
      <c r="Z180" s="768">
        <v>0.82</v>
      </c>
      <c r="AA180" s="769">
        <v>0.87</v>
      </c>
      <c r="AB180" s="770">
        <v>0.51700000000000002</v>
      </c>
      <c r="AC180" s="492"/>
      <c r="AD180" s="771">
        <f t="shared" si="36"/>
        <v>50</v>
      </c>
      <c r="AE180" s="772">
        <v>0.89062666666666701</v>
      </c>
      <c r="AF180" s="772">
        <v>0.88383333333333325</v>
      </c>
      <c r="AG180" s="773">
        <v>1.128171048829818</v>
      </c>
    </row>
    <row r="181" spans="19:33" x14ac:dyDescent="0.2">
      <c r="S181" s="883"/>
      <c r="T181" s="883"/>
      <c r="U181" s="883"/>
      <c r="Z181" s="768">
        <v>0.82499999999999996</v>
      </c>
      <c r="AA181" s="769">
        <v>0.875</v>
      </c>
      <c r="AB181" s="770">
        <f>(AB180+AB182)/2</f>
        <v>0.53350000000000009</v>
      </c>
      <c r="AC181" s="492"/>
      <c r="AD181" s="771">
        <f t="shared" si="36"/>
        <v>51</v>
      </c>
      <c r="AE181" s="772">
        <v>0.88318000000000041</v>
      </c>
      <c r="AF181" s="772">
        <v>0.87341333333333349</v>
      </c>
      <c r="AG181" s="773">
        <v>1.1322498710921833</v>
      </c>
    </row>
    <row r="182" spans="19:33" x14ac:dyDescent="0.2">
      <c r="S182" s="883"/>
      <c r="T182" s="883"/>
      <c r="U182" s="883"/>
      <c r="Z182" s="768">
        <v>0.83</v>
      </c>
      <c r="AA182" s="769">
        <v>0.88</v>
      </c>
      <c r="AB182" s="770">
        <v>0.55000000000000004</v>
      </c>
      <c r="AC182" s="492"/>
      <c r="AD182" s="771">
        <f t="shared" si="36"/>
        <v>52</v>
      </c>
      <c r="AE182" s="772">
        <v>0.87570666666666641</v>
      </c>
      <c r="AF182" s="772">
        <v>0.86297333333333315</v>
      </c>
      <c r="AG182" s="773">
        <v>1.1364118293006173</v>
      </c>
    </row>
    <row r="183" spans="19:33" x14ac:dyDescent="0.2">
      <c r="S183" s="883"/>
      <c r="T183" s="883"/>
      <c r="U183" s="883"/>
      <c r="Z183" s="768">
        <v>0.83499999999999996</v>
      </c>
      <c r="AA183" s="769">
        <v>0.88500000000000001</v>
      </c>
      <c r="AB183" s="770">
        <f>(AB182+AB184)/2</f>
        <v>0.5665</v>
      </c>
      <c r="AC183" s="492"/>
      <c r="AD183" s="771">
        <f t="shared" si="36"/>
        <v>53</v>
      </c>
      <c r="AE183" s="772">
        <v>0.86822666666666659</v>
      </c>
      <c r="AF183" s="772">
        <v>0.85254000000000008</v>
      </c>
      <c r="AG183" s="773">
        <v>1.1405836539363798</v>
      </c>
    </row>
    <row r="184" spans="19:33" x14ac:dyDescent="0.2">
      <c r="S184" s="883"/>
      <c r="T184" s="883"/>
      <c r="U184" s="883"/>
      <c r="Z184" s="768">
        <v>0.84</v>
      </c>
      <c r="AA184" s="769">
        <v>0.89</v>
      </c>
      <c r="AB184" s="770">
        <v>0.58299999999999996</v>
      </c>
      <c r="AC184" s="492"/>
      <c r="AD184" s="771">
        <f t="shared" si="36"/>
        <v>54</v>
      </c>
      <c r="AE184" s="772">
        <v>0.86075333333333337</v>
      </c>
      <c r="AF184" s="772">
        <v>0.84210000000000007</v>
      </c>
      <c r="AG184" s="773">
        <v>1.1449485648380675</v>
      </c>
    </row>
    <row r="185" spans="19:33" x14ac:dyDescent="0.2">
      <c r="S185" s="883"/>
      <c r="T185" s="883"/>
      <c r="U185" s="883"/>
      <c r="Z185" s="768">
        <v>0.85</v>
      </c>
      <c r="AA185" s="769">
        <v>0.89500000000000002</v>
      </c>
      <c r="AB185" s="770">
        <f>(AB184+AB186)/2</f>
        <v>0.6</v>
      </c>
      <c r="AC185" s="492"/>
      <c r="AD185" s="771">
        <f t="shared" si="36"/>
        <v>55</v>
      </c>
      <c r="AE185" s="772">
        <v>0.85327333333333366</v>
      </c>
      <c r="AF185" s="772">
        <v>0.83167333333333338</v>
      </c>
      <c r="AG185" s="773">
        <v>1.149373156342183</v>
      </c>
    </row>
    <row r="186" spans="19:33" x14ac:dyDescent="0.2">
      <c r="S186" s="883"/>
      <c r="T186" s="883"/>
      <c r="U186" s="883"/>
      <c r="Z186" s="768">
        <v>0.86</v>
      </c>
      <c r="AA186" s="769">
        <v>0.9</v>
      </c>
      <c r="AB186" s="770">
        <v>0.61699999999999999</v>
      </c>
      <c r="AC186" s="492"/>
      <c r="AD186" s="771">
        <f t="shared" si="36"/>
        <v>56</v>
      </c>
      <c r="AE186" s="772">
        <v>0.84582666666666695</v>
      </c>
      <c r="AF186" s="772">
        <v>0.82123333333333326</v>
      </c>
      <c r="AG186" s="773">
        <v>1.1540007674456849</v>
      </c>
    </row>
    <row r="187" spans="19:33" x14ac:dyDescent="0.2">
      <c r="S187" s="883"/>
      <c r="T187" s="883"/>
      <c r="U187" s="883"/>
      <c r="Z187" s="768">
        <v>0.86499999999999999</v>
      </c>
      <c r="AA187" s="769">
        <v>0.90500000000000003</v>
      </c>
      <c r="AB187" s="770">
        <f>(AB186+AB188)/2</f>
        <v>0.63349999999999995</v>
      </c>
      <c r="AC187" s="492"/>
      <c r="AD187" s="771">
        <f t="shared" si="36"/>
        <v>57</v>
      </c>
      <c r="AE187" s="772">
        <v>0.83835333333333328</v>
      </c>
      <c r="AF187" s="772">
        <v>0.81081333333333327</v>
      </c>
      <c r="AG187" s="773">
        <v>1.1587505658669082</v>
      </c>
    </row>
    <row r="188" spans="19:33" x14ac:dyDescent="0.2">
      <c r="S188" s="883"/>
      <c r="T188" s="883"/>
      <c r="U188" s="883"/>
      <c r="Z188" s="768">
        <v>0.87</v>
      </c>
      <c r="AA188" s="769">
        <v>0.91</v>
      </c>
      <c r="AB188" s="770">
        <v>0.65</v>
      </c>
      <c r="AC188" s="492"/>
      <c r="AD188" s="771">
        <f t="shared" si="36"/>
        <v>58</v>
      </c>
      <c r="AE188" s="772">
        <v>0.83087999999999995</v>
      </c>
      <c r="AF188" s="772">
        <v>0.80037333333333338</v>
      </c>
      <c r="AG188" s="773">
        <v>1.163505876020454</v>
      </c>
    </row>
    <row r="189" spans="19:33" x14ac:dyDescent="0.2">
      <c r="S189" s="883"/>
      <c r="T189" s="883"/>
      <c r="U189" s="883"/>
      <c r="Z189" s="768">
        <v>0.875</v>
      </c>
      <c r="AA189" s="769">
        <v>0.91500000000000004</v>
      </c>
      <c r="AB189" s="770">
        <f>(AB188+AB190)/2</f>
        <v>0.66650000000000009</v>
      </c>
      <c r="AC189" s="492"/>
      <c r="AD189" s="771">
        <f t="shared" si="36"/>
        <v>59</v>
      </c>
      <c r="AE189" s="772">
        <v>0.82340666666666673</v>
      </c>
      <c r="AF189" s="772">
        <v>0.78993999999999986</v>
      </c>
      <c r="AG189" s="773">
        <v>1.1684532380495263</v>
      </c>
    </row>
    <row r="190" spans="19:33" x14ac:dyDescent="0.2">
      <c r="S190" s="883"/>
      <c r="T190" s="883"/>
      <c r="U190" s="883"/>
      <c r="Z190" s="768">
        <v>0.88</v>
      </c>
      <c r="AA190" s="769">
        <v>0.92</v>
      </c>
      <c r="AB190" s="770">
        <v>0.68300000000000005</v>
      </c>
      <c r="AC190" s="492"/>
      <c r="AD190" s="771">
        <f t="shared" si="36"/>
        <v>60</v>
      </c>
      <c r="AE190" s="772">
        <v>0.8159200000000002</v>
      </c>
      <c r="AF190" s="772">
        <v>0.77950666666666668</v>
      </c>
      <c r="AG190" s="773">
        <v>1.1734643561566638</v>
      </c>
    </row>
    <row r="191" spans="19:33" x14ac:dyDescent="0.2">
      <c r="S191" s="883"/>
      <c r="T191" s="883"/>
      <c r="U191" s="883"/>
      <c r="Z191" s="768">
        <v>0.89</v>
      </c>
      <c r="AA191" s="769">
        <v>0.92500000000000004</v>
      </c>
      <c r="AB191" s="770">
        <f>(AB190+AB192)/2</f>
        <v>0.70300000000000007</v>
      </c>
      <c r="AC191" s="492"/>
      <c r="AD191" s="771">
        <f t="shared" si="36"/>
        <v>61</v>
      </c>
      <c r="AE191" s="772">
        <v>0.80848000000000042</v>
      </c>
      <c r="AF191" s="772">
        <v>0.76907999999999987</v>
      </c>
      <c r="AG191" s="773">
        <v>1.1788362557794643</v>
      </c>
    </row>
    <row r="192" spans="19:33" x14ac:dyDescent="0.2">
      <c r="S192" s="883"/>
      <c r="T192" s="883"/>
      <c r="U192" s="883"/>
      <c r="Z192" s="768">
        <v>0.9</v>
      </c>
      <c r="AA192" s="769">
        <v>0.93</v>
      </c>
      <c r="AB192" s="770">
        <v>0.72299999999999998</v>
      </c>
      <c r="AC192" s="492"/>
      <c r="AD192" s="771">
        <f t="shared" si="36"/>
        <v>62</v>
      </c>
      <c r="AE192" s="772">
        <v>0.80101333333333313</v>
      </c>
      <c r="AF192" s="772">
        <v>0.75864666666666669</v>
      </c>
      <c r="AG192" s="773">
        <v>1.1842077975943592</v>
      </c>
    </row>
    <row r="193" spans="19:34" x14ac:dyDescent="0.2">
      <c r="S193" s="883"/>
      <c r="T193" s="883"/>
      <c r="U193" s="883"/>
      <c r="Z193" s="768">
        <v>0.90500000000000003</v>
      </c>
      <c r="AA193" s="769">
        <v>0.93500000000000005</v>
      </c>
      <c r="AB193" s="770">
        <f>(AB192+AB194)/2</f>
        <v>0.74299999999999999</v>
      </c>
      <c r="AC193" s="492"/>
      <c r="AD193" s="771">
        <f t="shared" si="36"/>
        <v>63</v>
      </c>
      <c r="AE193" s="772">
        <v>0.79351999999999989</v>
      </c>
      <c r="AF193" s="772">
        <v>0.74820666666666658</v>
      </c>
      <c r="AG193" s="773">
        <v>1.1897572832152272</v>
      </c>
    </row>
    <row r="194" spans="19:34" x14ac:dyDescent="0.2">
      <c r="S194" s="883"/>
      <c r="T194" s="883"/>
      <c r="U194" s="883"/>
      <c r="Z194" s="768">
        <v>0.91</v>
      </c>
      <c r="AA194" s="769">
        <v>0.94</v>
      </c>
      <c r="AB194" s="770">
        <v>0.76300000000000001</v>
      </c>
      <c r="AC194" s="492"/>
      <c r="AD194" s="771">
        <f t="shared" si="36"/>
        <v>64</v>
      </c>
      <c r="AE194" s="772">
        <v>0.78606000000000009</v>
      </c>
      <c r="AF194" s="772">
        <v>0.73778000000000021</v>
      </c>
      <c r="AG194" s="773">
        <v>1.1953993761866015</v>
      </c>
    </row>
    <row r="195" spans="19:34" x14ac:dyDescent="0.2">
      <c r="S195" s="883"/>
      <c r="T195" s="883"/>
      <c r="U195" s="883"/>
      <c r="Z195" s="768">
        <v>0.91500000000000004</v>
      </c>
      <c r="AA195" s="769">
        <v>0.94499999999999995</v>
      </c>
      <c r="AB195" s="770">
        <f>(AB194+AB196)/2</f>
        <v>0.78150000000000008</v>
      </c>
      <c r="AC195" s="492"/>
      <c r="AD195" s="771">
        <f t="shared" si="36"/>
        <v>65</v>
      </c>
      <c r="AE195" s="772">
        <v>0.77857333333333356</v>
      </c>
      <c r="AF195" s="772">
        <v>0.7273400000000001</v>
      </c>
      <c r="AG195" s="773">
        <v>1.2012690525750354</v>
      </c>
    </row>
    <row r="196" spans="19:34" x14ac:dyDescent="0.2">
      <c r="S196" s="883"/>
      <c r="T196" s="883"/>
      <c r="U196" s="883"/>
      <c r="Z196" s="768">
        <v>0.92</v>
      </c>
      <c r="AA196" s="769">
        <v>0.95</v>
      </c>
      <c r="AB196" s="770">
        <v>0.8</v>
      </c>
      <c r="AC196" s="492"/>
      <c r="AD196" s="771">
        <f t="shared" si="36"/>
        <v>66</v>
      </c>
      <c r="AE196" s="772">
        <v>0.77111999999999981</v>
      </c>
      <c r="AF196" s="772">
        <v>0.71691333333333318</v>
      </c>
      <c r="AG196" s="773">
        <v>1.2073533567142596</v>
      </c>
    </row>
    <row r="197" spans="19:34" x14ac:dyDescent="0.2">
      <c r="S197" s="883"/>
      <c r="T197" s="883"/>
      <c r="U197" s="883"/>
      <c r="Z197" s="768">
        <v>0.92500000000000004</v>
      </c>
      <c r="AA197" s="769">
        <v>0.95499999999999996</v>
      </c>
      <c r="AB197" s="770">
        <f>(AB196+AB198)/2</f>
        <v>0.82000000000000006</v>
      </c>
      <c r="AC197" s="492"/>
      <c r="AD197" s="771">
        <f t="shared" si="36"/>
        <v>67</v>
      </c>
      <c r="AE197" s="772">
        <v>0.76363999999999999</v>
      </c>
      <c r="AF197" s="772">
        <v>0.70647333333333351</v>
      </c>
      <c r="AG197" s="773">
        <v>1.2135534089226061</v>
      </c>
    </row>
    <row r="198" spans="19:34" x14ac:dyDescent="0.2">
      <c r="S198" s="883"/>
      <c r="T198" s="883"/>
      <c r="U198" s="883"/>
      <c r="Z198" s="768">
        <v>0.93</v>
      </c>
      <c r="AA198" s="769">
        <v>0.96</v>
      </c>
      <c r="AB198" s="770">
        <v>0.84</v>
      </c>
      <c r="AC198" s="492"/>
      <c r="AD198" s="771">
        <f t="shared" si="36"/>
        <v>68</v>
      </c>
      <c r="AE198" s="772">
        <v>0.75614666666666663</v>
      </c>
      <c r="AF198" s="772">
        <v>0.69604666666666648</v>
      </c>
      <c r="AG198" s="773">
        <v>1.2199305996774352</v>
      </c>
    </row>
    <row r="199" spans="19:34" x14ac:dyDescent="0.2">
      <c r="S199" s="883"/>
      <c r="T199" s="883"/>
      <c r="U199" s="883"/>
      <c r="Z199" s="768">
        <v>0.93500000000000005</v>
      </c>
      <c r="AA199" s="769">
        <v>0.96499999999999997</v>
      </c>
      <c r="AB199" s="770">
        <f>(AB198+AB200)/2</f>
        <v>0.86149999999999993</v>
      </c>
      <c r="AC199" s="492"/>
      <c r="AD199" s="771">
        <f t="shared" si="36"/>
        <v>69</v>
      </c>
      <c r="AE199" s="772">
        <v>0.74848000000000003</v>
      </c>
      <c r="AF199" s="772">
        <v>0.6856066666666667</v>
      </c>
      <c r="AG199" s="773">
        <v>1.2265346598513311</v>
      </c>
    </row>
    <row r="200" spans="19:34" x14ac:dyDescent="0.2">
      <c r="S200" s="883"/>
      <c r="T200" s="883"/>
      <c r="U200" s="883"/>
      <c r="Z200" s="768">
        <v>0.94</v>
      </c>
      <c r="AA200" s="769">
        <v>0.97</v>
      </c>
      <c r="AB200" s="770">
        <v>0.88300000000000001</v>
      </c>
      <c r="AC200" s="492"/>
      <c r="AD200" s="771">
        <f t="shared" ref="AD200:AD230" si="37">+AD199+1</f>
        <v>70</v>
      </c>
      <c r="AE200" s="772">
        <v>0.74054000000000031</v>
      </c>
      <c r="AF200" s="772">
        <v>0.67517999999999978</v>
      </c>
      <c r="AG200" s="773">
        <v>1.2329759397536539</v>
      </c>
    </row>
    <row r="201" spans="19:34" x14ac:dyDescent="0.2">
      <c r="Z201" s="768">
        <v>0.95</v>
      </c>
      <c r="AA201" s="769">
        <v>0.97499999999999998</v>
      </c>
      <c r="AB201" s="770">
        <f>(AB200+AB202)/2</f>
        <v>0.9</v>
      </c>
      <c r="AC201" s="492"/>
      <c r="AD201" s="771">
        <f t="shared" si="37"/>
        <v>71</v>
      </c>
      <c r="AE201" s="772">
        <v>0.73209999999999986</v>
      </c>
      <c r="AF201" s="772">
        <v>0.66474666666666671</v>
      </c>
      <c r="AG201" s="773">
        <v>1.2390779571164863</v>
      </c>
    </row>
    <row r="202" spans="19:34" x14ac:dyDescent="0.2">
      <c r="Z202" s="768">
        <v>0.96</v>
      </c>
      <c r="AA202" s="769">
        <v>0.98</v>
      </c>
      <c r="AB202" s="770">
        <v>0.91700000000000004</v>
      </c>
      <c r="AC202" s="492"/>
      <c r="AD202" s="771">
        <f t="shared" si="37"/>
        <v>72</v>
      </c>
      <c r="AE202" s="772">
        <v>0.72298666666666656</v>
      </c>
      <c r="AF202" s="772">
        <v>0.65431333333333319</v>
      </c>
      <c r="AG202" s="773">
        <v>1.2441673809709342</v>
      </c>
    </row>
    <row r="203" spans="19:34" x14ac:dyDescent="0.2">
      <c r="Z203" s="768">
        <v>0.97</v>
      </c>
      <c r="AA203" s="769">
        <v>0.98499999999999999</v>
      </c>
      <c r="AB203" s="770">
        <f>(AB202+AB204)/2</f>
        <v>0.9385</v>
      </c>
      <c r="AC203" s="492"/>
      <c r="AD203" s="771">
        <f t="shared" si="37"/>
        <v>73</v>
      </c>
      <c r="AE203" s="772">
        <v>0.71315333333333342</v>
      </c>
      <c r="AF203" s="772">
        <v>0.64387333333333341</v>
      </c>
      <c r="AG203" s="773">
        <v>1.2480703588671238</v>
      </c>
    </row>
    <row r="204" spans="19:34" x14ac:dyDescent="0.2">
      <c r="S204" s="883"/>
      <c r="T204" s="883"/>
      <c r="U204" s="883"/>
      <c r="Z204" s="768">
        <v>0.98</v>
      </c>
      <c r="AA204" s="769">
        <v>0.99</v>
      </c>
      <c r="AB204" s="770">
        <v>0.96</v>
      </c>
      <c r="AC204" s="492"/>
      <c r="AD204" s="771">
        <f t="shared" si="37"/>
        <v>74</v>
      </c>
      <c r="AE204" s="772">
        <v>0.70267333333333326</v>
      </c>
      <c r="AF204" s="772">
        <v>0.63344000000000011</v>
      </c>
      <c r="AG204" s="773">
        <v>1.2510001212268156</v>
      </c>
    </row>
    <row r="205" spans="19:34" x14ac:dyDescent="0.2">
      <c r="S205" s="883"/>
      <c r="T205" s="883"/>
      <c r="U205" s="883"/>
      <c r="Z205" s="768">
        <v>0.99</v>
      </c>
      <c r="AA205" s="769">
        <v>0.995</v>
      </c>
      <c r="AB205" s="770">
        <f>(AB204+AB206)/2</f>
        <v>0.98</v>
      </c>
      <c r="AC205" s="492"/>
      <c r="AD205" s="771">
        <f t="shared" si="37"/>
        <v>75</v>
      </c>
      <c r="AE205" s="772">
        <v>0.69154666666666664</v>
      </c>
      <c r="AF205" s="772">
        <v>0.62295333333333336</v>
      </c>
      <c r="AG205" s="773">
        <v>1.253106215413988</v>
      </c>
    </row>
    <row r="206" spans="19:34" x14ac:dyDescent="0.2">
      <c r="S206" s="883"/>
      <c r="T206" s="883"/>
      <c r="U206" s="883"/>
      <c r="Z206" s="768">
        <v>1</v>
      </c>
      <c r="AA206" s="769">
        <v>1</v>
      </c>
      <c r="AB206" s="770">
        <v>1</v>
      </c>
      <c r="AC206" s="492"/>
      <c r="AD206" s="771">
        <f t="shared" si="37"/>
        <v>76</v>
      </c>
      <c r="AE206" s="772">
        <v>0.67972666666666681</v>
      </c>
      <c r="AF206" s="772">
        <v>0.6122200000000001</v>
      </c>
      <c r="AG206" s="773">
        <v>1.2550517640848169</v>
      </c>
    </row>
    <row r="207" spans="19:34" x14ac:dyDescent="0.2">
      <c r="S207" s="883"/>
      <c r="T207" s="883"/>
      <c r="U207" s="883"/>
      <c r="Z207" s="768">
        <v>1.0249999999999999</v>
      </c>
      <c r="AA207" s="769">
        <v>1</v>
      </c>
      <c r="AB207" s="770">
        <f>(AB206+AB208)/2</f>
        <v>1.125</v>
      </c>
      <c r="AC207" s="492"/>
      <c r="AD207" s="771">
        <f t="shared" si="37"/>
        <v>77</v>
      </c>
      <c r="AE207" s="772">
        <v>0.66722000000000026</v>
      </c>
      <c r="AF207" s="772">
        <v>0.60113333333333341</v>
      </c>
      <c r="AG207" s="773">
        <v>1.2568812622365542</v>
      </c>
      <c r="AH207" s="776"/>
    </row>
    <row r="208" spans="19:34" x14ac:dyDescent="0.2">
      <c r="S208" s="883"/>
      <c r="T208" s="883"/>
      <c r="U208" s="883"/>
      <c r="Z208" s="768">
        <v>1.05</v>
      </c>
      <c r="AA208" s="769">
        <v>1</v>
      </c>
      <c r="AB208" s="770">
        <v>1.25</v>
      </c>
      <c r="AC208" s="492"/>
      <c r="AD208" s="771">
        <f t="shared" si="37"/>
        <v>78</v>
      </c>
      <c r="AE208" s="772">
        <v>0.65406000000000009</v>
      </c>
      <c r="AF208" s="772">
        <v>0.58963333333333345</v>
      </c>
      <c r="AG208" s="773">
        <v>1.2589659990684678</v>
      </c>
      <c r="AH208" s="776"/>
    </row>
    <row r="209" spans="16:34" x14ac:dyDescent="0.2">
      <c r="S209" s="883"/>
      <c r="T209" s="883"/>
      <c r="U209" s="883"/>
      <c r="Z209" s="768">
        <v>1.075</v>
      </c>
      <c r="AA209" s="769">
        <v>1</v>
      </c>
      <c r="AB209" s="770">
        <f>(AB208+AB210)/2</f>
        <v>1.375</v>
      </c>
      <c r="AC209" s="492"/>
      <c r="AD209" s="771">
        <f t="shared" si="37"/>
        <v>79</v>
      </c>
      <c r="AE209" s="772">
        <v>0.64022000000000001</v>
      </c>
      <c r="AF209" s="772">
        <v>0.57755999999999996</v>
      </c>
      <c r="AG209" s="773">
        <v>1.2613645784397711</v>
      </c>
      <c r="AH209" s="776"/>
    </row>
    <row r="210" spans="16:34" x14ac:dyDescent="0.2">
      <c r="S210" s="883"/>
      <c r="T210" s="883"/>
      <c r="U210" s="883"/>
      <c r="Z210" s="768">
        <v>1.1000000000000001</v>
      </c>
      <c r="AA210" s="769">
        <v>1</v>
      </c>
      <c r="AB210" s="770">
        <v>1.5</v>
      </c>
      <c r="AC210" s="492"/>
      <c r="AD210" s="771">
        <f t="shared" si="37"/>
        <v>80</v>
      </c>
      <c r="AE210" s="772">
        <v>0.62569333333333355</v>
      </c>
      <c r="AF210" s="772">
        <v>0.56459999999999999</v>
      </c>
      <c r="AG210" s="773">
        <v>1.2644095721694035</v>
      </c>
      <c r="AH210" s="776"/>
    </row>
    <row r="211" spans="16:34" x14ac:dyDescent="0.2">
      <c r="S211" s="883"/>
      <c r="T211" s="883"/>
      <c r="U211" s="883"/>
      <c r="Z211" s="768">
        <v>1.125</v>
      </c>
      <c r="AA211" s="769">
        <v>1</v>
      </c>
      <c r="AB211" s="770">
        <f>(AB210+AB212)/2</f>
        <v>1.625</v>
      </c>
      <c r="AC211" s="492"/>
      <c r="AD211" s="771">
        <f t="shared" si="37"/>
        <v>81</v>
      </c>
      <c r="AE211" s="772">
        <v>0.61051333333333346</v>
      </c>
      <c r="AF211" s="772">
        <v>0.55079333333333336</v>
      </c>
      <c r="AG211" s="773">
        <v>1.2682621473096032</v>
      </c>
      <c r="AH211" s="776"/>
    </row>
    <row r="212" spans="16:34" x14ac:dyDescent="0.2">
      <c r="S212" s="883"/>
      <c r="T212" s="883"/>
      <c r="U212" s="883"/>
      <c r="Z212" s="768">
        <v>1.1499999999999999</v>
      </c>
      <c r="AA212" s="769">
        <v>1</v>
      </c>
      <c r="AB212" s="770">
        <v>1.75</v>
      </c>
      <c r="AC212" s="492"/>
      <c r="AD212" s="771">
        <f t="shared" si="37"/>
        <v>82</v>
      </c>
      <c r="AE212" s="772">
        <v>0.59467333333333328</v>
      </c>
      <c r="AF212" s="772">
        <v>0.53613333333333335</v>
      </c>
      <c r="AG212" s="773">
        <v>1.2728311381550232</v>
      </c>
      <c r="AH212" s="776"/>
    </row>
    <row r="213" spans="16:34" x14ac:dyDescent="0.2">
      <c r="S213" s="883"/>
      <c r="T213" s="883"/>
      <c r="U213" s="883"/>
      <c r="Z213" s="768">
        <v>1.175</v>
      </c>
      <c r="AA213" s="769">
        <v>1</v>
      </c>
      <c r="AB213" s="770">
        <f>(AB212+AB214)/2</f>
        <v>1.925</v>
      </c>
      <c r="AC213" s="492"/>
      <c r="AD213" s="771">
        <f t="shared" si="37"/>
        <v>83</v>
      </c>
      <c r="AE213" s="772">
        <v>0.57811999999999997</v>
      </c>
      <c r="AF213" s="772">
        <v>0.52061333333333337</v>
      </c>
      <c r="AG213" s="773">
        <v>1.278199336045728</v>
      </c>
      <c r="AH213" s="776"/>
    </row>
    <row r="214" spans="16:34" ht="13.5" thickBot="1" x14ac:dyDescent="0.25">
      <c r="S214" s="883"/>
      <c r="T214" s="883"/>
      <c r="U214" s="883"/>
      <c r="Z214" s="777">
        <v>1.2</v>
      </c>
      <c r="AA214" s="778">
        <v>1</v>
      </c>
      <c r="AB214" s="779">
        <v>2.1</v>
      </c>
      <c r="AC214" s="780"/>
      <c r="AD214" s="771">
        <f t="shared" si="37"/>
        <v>84</v>
      </c>
      <c r="AE214" s="772">
        <v>0.56091333333333326</v>
      </c>
      <c r="AF214" s="772">
        <v>0.50424000000000013</v>
      </c>
      <c r="AG214" s="773">
        <v>1.2845535346685719</v>
      </c>
      <c r="AH214" s="776"/>
    </row>
    <row r="215" spans="16:34" ht="13.5" thickTop="1" x14ac:dyDescent="0.2">
      <c r="P215" s="781"/>
      <c r="S215" s="883"/>
      <c r="T215" s="883"/>
      <c r="U215" s="883"/>
      <c r="W215" s="885"/>
      <c r="X215" s="885"/>
      <c r="AD215" s="771">
        <f t="shared" si="37"/>
        <v>85</v>
      </c>
      <c r="AE215" s="772">
        <v>0.54305999999999999</v>
      </c>
      <c r="AF215" s="772">
        <v>0.48702000000000001</v>
      </c>
      <c r="AG215" s="773">
        <v>1.2920853019449687</v>
      </c>
      <c r="AH215" s="776"/>
    </row>
    <row r="216" spans="16:34" x14ac:dyDescent="0.2">
      <c r="S216" s="883"/>
      <c r="T216" s="883"/>
      <c r="U216" s="883"/>
      <c r="W216" s="1267" t="s">
        <v>299</v>
      </c>
      <c r="X216" s="1267"/>
      <c r="Y216" s="1267"/>
      <c r="Z216" s="1267"/>
      <c r="AA216" s="1267"/>
      <c r="AB216" s="1267"/>
      <c r="AD216" s="771">
        <f t="shared" si="37"/>
        <v>86</v>
      </c>
      <c r="AE216" s="772">
        <v>0.52452000000000021</v>
      </c>
      <c r="AF216" s="772">
        <v>0.46892666666666671</v>
      </c>
      <c r="AG216" s="773">
        <v>1.3010383757402817</v>
      </c>
    </row>
    <row r="217" spans="16:34" x14ac:dyDescent="0.2">
      <c r="S217" s="883"/>
      <c r="T217" s="883"/>
      <c r="U217" s="883"/>
      <c r="W217" s="782">
        <f t="shared" ref="W217:AB217" si="38">IF(D10&lt;=$J$10,$J$10,HLOOKUP(D10,$J$10:$R$10,1,TRUE))</f>
        <v>0.82559494718934712</v>
      </c>
      <c r="X217" s="783">
        <f t="shared" si="38"/>
        <v>0.82559494718934712</v>
      </c>
      <c r="Y217" s="783">
        <f t="shared" si="38"/>
        <v>0.82559494718934712</v>
      </c>
      <c r="Z217" s="783">
        <f t="shared" si="38"/>
        <v>0.82559494718934712</v>
      </c>
      <c r="AA217" s="783">
        <f t="shared" si="38"/>
        <v>0.82559494718934712</v>
      </c>
      <c r="AB217" s="784">
        <f t="shared" si="38"/>
        <v>0.82559494718934712</v>
      </c>
      <c r="AD217" s="771">
        <f t="shared" si="37"/>
        <v>87</v>
      </c>
      <c r="AE217" s="772">
        <v>0.50526666666666675</v>
      </c>
      <c r="AF217" s="772">
        <v>0.44996666666666674</v>
      </c>
      <c r="AG217" s="773">
        <v>1.3112839193787627</v>
      </c>
    </row>
    <row r="218" spans="16:34" x14ac:dyDescent="0.2">
      <c r="S218" s="883"/>
      <c r="T218" s="883"/>
      <c r="U218" s="883"/>
      <c r="W218" s="785">
        <f t="shared" ref="W218:AB218" si="39">IF(D10&lt;=$J$10,$J$14,INDEX($J$14:$R$14,1,MATCH(D10,$J$10:$R$10,1)))</f>
        <v>4.1491181419599484E-3</v>
      </c>
      <c r="X218" s="786">
        <f t="shared" si="39"/>
        <v>4.1491181419599484E-3</v>
      </c>
      <c r="Y218" s="786">
        <f t="shared" si="39"/>
        <v>4.1491181419599484E-3</v>
      </c>
      <c r="Z218" s="786">
        <f t="shared" si="39"/>
        <v>4.1491181419599484E-3</v>
      </c>
      <c r="AA218" s="786">
        <f t="shared" si="39"/>
        <v>4.1491181419599484E-3</v>
      </c>
      <c r="AB218" s="787">
        <f t="shared" si="39"/>
        <v>4.1491181419599484E-3</v>
      </c>
      <c r="AD218" s="771">
        <f t="shared" si="37"/>
        <v>88</v>
      </c>
      <c r="AE218" s="772">
        <v>0.48538666666666669</v>
      </c>
      <c r="AF218" s="772">
        <v>0.43015333333333339</v>
      </c>
      <c r="AG218" s="773">
        <v>1.3235485155153266</v>
      </c>
    </row>
    <row r="219" spans="16:34" x14ac:dyDescent="0.2">
      <c r="S219" s="883"/>
      <c r="T219" s="883"/>
      <c r="U219" s="883"/>
      <c r="W219" s="788">
        <f t="shared" ref="W219:AB219" si="40">(IF($A$14, 60/W218/1440,W218)-(1609.344/(29.54+5.000663*($I$6*(W217))-0.007546*($I$6*(W217))^2)/1440))/(1609.344/(29.54+5.000663*($I$6*(W217))-0.007546*($I$6*(W217))^2)/1440)</f>
        <v>-9.9154648560856434E-5</v>
      </c>
      <c r="X219" s="789">
        <f t="shared" si="40"/>
        <v>-9.9154648560856434E-5</v>
      </c>
      <c r="Y219" s="789">
        <f t="shared" si="40"/>
        <v>-9.9154648560856434E-5</v>
      </c>
      <c r="Z219" s="789">
        <f t="shared" si="40"/>
        <v>-9.9154648560856434E-5</v>
      </c>
      <c r="AA219" s="789">
        <f t="shared" si="40"/>
        <v>-9.9154648560856434E-5</v>
      </c>
      <c r="AB219" s="790">
        <f t="shared" si="40"/>
        <v>-9.9154648560856434E-5</v>
      </c>
      <c r="AD219" s="771">
        <f t="shared" si="37"/>
        <v>89</v>
      </c>
      <c r="AE219" s="772">
        <v>0.46482666666666678</v>
      </c>
      <c r="AF219" s="772">
        <v>0.40950000000000003</v>
      </c>
      <c r="AG219" s="773">
        <v>1.3380581219216148</v>
      </c>
    </row>
    <row r="220" spans="16:34" x14ac:dyDescent="0.2">
      <c r="S220" s="883"/>
      <c r="T220" s="883"/>
      <c r="U220" s="883"/>
      <c r="AD220" s="771">
        <f t="shared" si="37"/>
        <v>90</v>
      </c>
      <c r="AE220" s="772">
        <v>0.44355999999999984</v>
      </c>
      <c r="AF220" s="772">
        <v>0.38796000000000003</v>
      </c>
      <c r="AG220" s="773">
        <v>1.3551693447282542</v>
      </c>
    </row>
    <row r="221" spans="16:34" x14ac:dyDescent="0.2">
      <c r="S221" s="883"/>
      <c r="T221" s="883"/>
      <c r="U221" s="883"/>
      <c r="AD221" s="771">
        <f t="shared" si="37"/>
        <v>91</v>
      </c>
      <c r="AE221" s="772">
        <v>0.42166666666666658</v>
      </c>
      <c r="AF221" s="772">
        <v>0.36556666666666665</v>
      </c>
      <c r="AG221" s="773">
        <v>1.3759891579196304</v>
      </c>
    </row>
    <row r="222" spans="16:34" x14ac:dyDescent="0.2">
      <c r="S222" s="883"/>
      <c r="T222" s="883"/>
      <c r="U222" s="883"/>
      <c r="AD222" s="771">
        <f t="shared" si="37"/>
        <v>92</v>
      </c>
      <c r="AE222" s="772">
        <v>0.39908666666666676</v>
      </c>
      <c r="AF222" s="772">
        <v>0.34232000000000001</v>
      </c>
      <c r="AG222" s="773">
        <v>1.4011394246077851</v>
      </c>
    </row>
    <row r="223" spans="16:34" x14ac:dyDescent="0.2">
      <c r="S223" s="883"/>
      <c r="T223" s="883"/>
      <c r="U223" s="883"/>
      <c r="AD223" s="771">
        <f t="shared" si="37"/>
        <v>93</v>
      </c>
      <c r="AE223" s="772">
        <v>0.37580666666666673</v>
      </c>
      <c r="AF223" s="772">
        <v>0.31820666666666669</v>
      </c>
      <c r="AG223" s="773">
        <v>1.4319365578245618</v>
      </c>
    </row>
    <row r="224" spans="16:34" x14ac:dyDescent="0.2">
      <c r="S224" s="883"/>
      <c r="T224" s="883"/>
      <c r="U224" s="883"/>
      <c r="AD224" s="771">
        <f t="shared" si="37"/>
        <v>94</v>
      </c>
      <c r="AE224" s="772">
        <v>0.35186666666666666</v>
      </c>
      <c r="AF224" s="772">
        <v>0.29325333333333331</v>
      </c>
      <c r="AG224" s="773">
        <v>1.4707371804591078</v>
      </c>
    </row>
    <row r="225" spans="17:33" x14ac:dyDescent="0.2">
      <c r="S225" s="883"/>
      <c r="T225" s="883"/>
      <c r="U225" s="883"/>
      <c r="AD225" s="771">
        <f t="shared" si="37"/>
        <v>95</v>
      </c>
      <c r="AE225" s="772">
        <v>0.32727333333333336</v>
      </c>
      <c r="AF225" s="772">
        <v>0.26742000000000005</v>
      </c>
      <c r="AG225" s="773">
        <v>1.5207004686233747</v>
      </c>
    </row>
    <row r="226" spans="17:33" x14ac:dyDescent="0.2">
      <c r="Q226" s="791"/>
      <c r="S226" s="883"/>
      <c r="T226" s="883"/>
      <c r="U226" s="883"/>
      <c r="AD226" s="771">
        <f t="shared" si="37"/>
        <v>96</v>
      </c>
      <c r="AE226" s="772">
        <v>0.30201999999999996</v>
      </c>
      <c r="AF226" s="772">
        <v>0.24073333333333338</v>
      </c>
      <c r="AG226" s="773">
        <v>1.5869203576627156</v>
      </c>
    </row>
    <row r="227" spans="17:33" x14ac:dyDescent="0.2">
      <c r="S227" s="883"/>
      <c r="T227" s="883"/>
      <c r="U227" s="883"/>
      <c r="AD227" s="771">
        <f t="shared" si="37"/>
        <v>97</v>
      </c>
      <c r="AE227" s="772">
        <v>0.27604000000000001</v>
      </c>
      <c r="AF227" s="772">
        <v>0.21318666666666664</v>
      </c>
      <c r="AG227" s="773">
        <v>1.6781728538627207</v>
      </c>
    </row>
    <row r="228" spans="17:33" x14ac:dyDescent="0.2">
      <c r="S228" s="883"/>
      <c r="T228" s="883"/>
      <c r="U228" s="883"/>
      <c r="AD228" s="771">
        <f t="shared" si="37"/>
        <v>98</v>
      </c>
      <c r="AE228" s="772">
        <v>0.24941999999999995</v>
      </c>
      <c r="AF228" s="772">
        <v>0.18476666666666666</v>
      </c>
      <c r="AG228" s="773">
        <v>1.8133024919416156</v>
      </c>
    </row>
    <row r="229" spans="17:33" x14ac:dyDescent="0.2">
      <c r="S229" s="883"/>
      <c r="T229" s="883"/>
      <c r="U229" s="883"/>
      <c r="W229" s="885"/>
      <c r="X229" s="885"/>
      <c r="AD229" s="771">
        <f t="shared" si="37"/>
        <v>99</v>
      </c>
      <c r="AE229" s="772">
        <v>0.22214666666666671</v>
      </c>
      <c r="AF229" s="772">
        <v>0.15553333333333333</v>
      </c>
      <c r="AG229" s="773">
        <v>2.0326986892910361</v>
      </c>
    </row>
    <row r="230" spans="17:33" ht="13.5" thickBot="1" x14ac:dyDescent="0.25">
      <c r="S230" s="883"/>
      <c r="T230" s="883"/>
      <c r="U230" s="883"/>
      <c r="W230" s="885"/>
      <c r="X230" s="885"/>
      <c r="AD230" s="792">
        <f t="shared" si="37"/>
        <v>100</v>
      </c>
      <c r="AE230" s="793">
        <v>0.19414666666666666</v>
      </c>
      <c r="AF230" s="793">
        <v>0.12540666666666667</v>
      </c>
      <c r="AG230" s="794">
        <v>2.4588411596705635</v>
      </c>
    </row>
    <row r="231" spans="17:33" ht="14.25" thickTop="1" thickBot="1" x14ac:dyDescent="0.25">
      <c r="S231" s="883"/>
      <c r="T231" s="883"/>
      <c r="U231" s="883"/>
    </row>
    <row r="232" spans="17:33" ht="13.5" thickBot="1" x14ac:dyDescent="0.25">
      <c r="S232" s="883"/>
      <c r="T232" s="883"/>
      <c r="U232" s="883"/>
      <c r="W232" s="1255" t="s">
        <v>300</v>
      </c>
      <c r="X232" s="1256"/>
      <c r="Y232" s="1257"/>
      <c r="Z232" s="1255" t="str">
        <f>"Projected Impact of Temperature on "&amp;$E$6&amp;" Time"</f>
        <v>Projected Impact of Temperature on Marathon Time</v>
      </c>
      <c r="AA232" s="1256"/>
      <c r="AB232" s="1256"/>
      <c r="AC232" s="1256"/>
      <c r="AD232" s="1256"/>
      <c r="AE232" s="1258" t="s">
        <v>301</v>
      </c>
      <c r="AF232" s="1259"/>
      <c r="AG232" s="795" t="b">
        <v>0</v>
      </c>
    </row>
    <row r="233" spans="17:33" ht="13.5" thickBot="1" x14ac:dyDescent="0.25">
      <c r="W233" s="1251" t="str">
        <f>"Temperature  °"&amp;IF($L$80,"C","F")</f>
        <v>Temperature  °F</v>
      </c>
      <c r="X233" s="1252"/>
      <c r="Y233" s="796">
        <f>IF($L$80,(55-32)*5/9,55)</f>
        <v>55</v>
      </c>
      <c r="Z233" s="797">
        <f>IF($L$80,(60-32)*5/9,60)</f>
        <v>60</v>
      </c>
      <c r="AA233" s="797">
        <f>IF($L$80,(65-32)*5/9,65)</f>
        <v>65</v>
      </c>
      <c r="AB233" s="797">
        <f>IF($L$80,(70-32)*5/9,70)</f>
        <v>70</v>
      </c>
      <c r="AC233" s="797">
        <f>IF($L$80,(75-32)*5/9,75)</f>
        <v>75</v>
      </c>
      <c r="AD233" s="797">
        <f>IF($L$80,(80-32)*5/9,80)</f>
        <v>80</v>
      </c>
      <c r="AE233" s="797">
        <f>IF($L$80,(85-32)*5/9,85)</f>
        <v>85</v>
      </c>
      <c r="AF233" s="797">
        <f>IF($L$80,(90-32)*5/9,90)</f>
        <v>90</v>
      </c>
      <c r="AG233" s="798">
        <f>IF($L$80,(95-32)*5/9,95)</f>
        <v>95</v>
      </c>
    </row>
    <row r="234" spans="17:33" ht="13.5" thickBot="1" x14ac:dyDescent="0.25">
      <c r="W234" s="1253" t="s">
        <v>203</v>
      </c>
      <c r="X234" s="1254"/>
      <c r="Y234" s="799">
        <f>IF(AND($E$6&gt;0,$G$6&gt;0),$G$6,"-")</f>
        <v>0.10878472222222223</v>
      </c>
      <c r="Z234" s="800">
        <f>IF($Y234&lt;&gt;"-",$Y234+$Y234*(0.0015437*IF($L$80,(Z233*9/5)+32,Z233)-0.09108933),"-")</f>
        <v>0.10895145330243056</v>
      </c>
      <c r="AA234" s="800">
        <f>IF($Y234&lt;&gt;"-",$Y234+$Y234*(0.0015437*IF($L$80,(AA233*9/5)+32,AA233)-0.09108933),"-")</f>
        <v>0.10979110818090278</v>
      </c>
      <c r="AB234" s="800">
        <f t="shared" ref="AB234:AG234" si="41">IF($Y234&lt;&gt;"-",$Y234+$Y234*(0.0015437*IF($L$80,(AB233*9/5)+32,AB233)-0.09108933),"-")</f>
        <v>0.11063076305937501</v>
      </c>
      <c r="AC234" s="800">
        <f t="shared" si="41"/>
        <v>0.11147041793784723</v>
      </c>
      <c r="AD234" s="800">
        <f t="shared" si="41"/>
        <v>0.11231007281631945</v>
      </c>
      <c r="AE234" s="800">
        <f t="shared" si="41"/>
        <v>0.11314972769479167</v>
      </c>
      <c r="AF234" s="800">
        <f t="shared" si="41"/>
        <v>0.11398938257326389</v>
      </c>
      <c r="AG234" s="800">
        <f t="shared" si="41"/>
        <v>0.11482903745173612</v>
      </c>
    </row>
    <row r="235" spans="17:33" ht="13.5" thickBot="1" x14ac:dyDescent="0.25">
      <c r="W235" s="885"/>
    </row>
    <row r="236" spans="17:33" ht="13.5" thickBot="1" x14ac:dyDescent="0.25">
      <c r="W236" s="1255" t="s">
        <v>302</v>
      </c>
      <c r="X236" s="1256"/>
      <c r="Y236" s="1257"/>
      <c r="Z236" s="1255" t="str">
        <f>"Projected Impact of Temperature on "&amp;$E$6&amp;" Time"</f>
        <v>Projected Impact of Temperature on Marathon Time</v>
      </c>
      <c r="AA236" s="1256"/>
      <c r="AB236" s="1256"/>
      <c r="AC236" s="1256"/>
      <c r="AD236" s="1256"/>
      <c r="AE236" s="1258" t="s">
        <v>303</v>
      </c>
      <c r="AF236" s="1259"/>
      <c r="AG236" s="795" t="b">
        <v>0</v>
      </c>
    </row>
    <row r="237" spans="17:33" ht="13.5" thickBot="1" x14ac:dyDescent="0.25">
      <c r="W237" s="1251" t="str">
        <f>"Temp + Dew Point  °"&amp;IF($L$80,"C","F")</f>
        <v>Temp + Dew Point  °F</v>
      </c>
      <c r="X237" s="1252"/>
      <c r="Y237" s="796">
        <f>IF($L$80,(100-64)*5/9,100)</f>
        <v>100</v>
      </c>
      <c r="Z237" s="801">
        <f>IF($L$80,(110-64)*5/9,110)</f>
        <v>110</v>
      </c>
      <c r="AA237" s="801">
        <f>IF($L$80,(120-64)*5/9,120)</f>
        <v>120</v>
      </c>
      <c r="AB237" s="801">
        <f>IF($L$80,(130-64)*5/9,130)</f>
        <v>130</v>
      </c>
      <c r="AC237" s="801">
        <f>IF($L$80,(140-64)*5/9,140)</f>
        <v>140</v>
      </c>
      <c r="AD237" s="801">
        <f>IF($L$80,(150-64)*5/9,150)</f>
        <v>150</v>
      </c>
      <c r="AE237" s="801">
        <f>IF($L$80,(160-64)*5/9,160)</f>
        <v>160</v>
      </c>
      <c r="AF237" s="801">
        <f>IF($L$80,(170-64)*5/9,170)</f>
        <v>170</v>
      </c>
      <c r="AG237" s="802">
        <f>IF($L$80,(180-64)*5/9,180)</f>
        <v>180</v>
      </c>
    </row>
    <row r="238" spans="17:33" ht="13.5" thickBot="1" x14ac:dyDescent="0.25">
      <c r="W238" s="1253" t="s">
        <v>203</v>
      </c>
      <c r="X238" s="1254"/>
      <c r="Y238" s="799">
        <f>IF(AND($E$6&gt;0,$G$6&gt;0),$G$6,"-")</f>
        <v>0.10878472222222223</v>
      </c>
      <c r="Z238" s="800">
        <f>IF($Y238&lt;&gt;"-",$Y238+$Y238*(0.000012229*IF($L$80,((Z237*9/5)+64)^2,Z237^2) - (0.002174242*IF($L$80,((Z237*9/5)+64),Z237)) + 0.0954329),"")</f>
        <v>0.10924566267152779</v>
      </c>
      <c r="AA238" s="800">
        <f>IF($Y238&lt;&gt;"-",$Y238+$Y238*(0.000012229*IF($L$80,((AA237*9/5)+64)^2,AA237^2) - (0.002174242*IF($L$80,((AA237*9/5)+64),AA237)) + 0.0954329),"")</f>
        <v>0.10994017479791668</v>
      </c>
      <c r="AB238" s="800">
        <f t="shared" ref="AB238:AG238" si="42">IF($Y238&lt;&gt;"-",$Y238+$Y238*(0.000012229*IF($L$80,((AB237*9/5)+64)^2,AB237^2) - (0.002174242*IF($L$80,((AB237*9/5)+64),AB237)) + 0.0954329),"")</f>
        <v>0.11090075259791668</v>
      </c>
      <c r="AC238" s="800">
        <f t="shared" si="42"/>
        <v>0.11212739607152779</v>
      </c>
      <c r="AD238" s="800">
        <f t="shared" si="42"/>
        <v>0.11362010521875</v>
      </c>
      <c r="AE238" s="800">
        <f t="shared" si="42"/>
        <v>0.11537888003958334</v>
      </c>
      <c r="AF238" s="800">
        <f t="shared" si="42"/>
        <v>0.11740372053402778</v>
      </c>
      <c r="AG238" s="800">
        <f t="shared" si="42"/>
        <v>0.11969462670208333</v>
      </c>
    </row>
    <row r="239" spans="17:33" ht="13.5" thickBot="1" x14ac:dyDescent="0.25"/>
    <row r="240" spans="17:33" ht="13.5" thickBot="1" x14ac:dyDescent="0.25">
      <c r="W240" s="1255" t="s">
        <v>304</v>
      </c>
      <c r="X240" s="1256"/>
      <c r="Y240" s="1257"/>
      <c r="Z240" s="1255" t="str">
        <f>"Projected Impact of Temperature on "&amp;$E$6&amp;" Time"</f>
        <v>Projected Impact of Temperature on Marathon Time</v>
      </c>
      <c r="AA240" s="1256"/>
      <c r="AB240" s="1256"/>
      <c r="AC240" s="1256"/>
      <c r="AD240" s="1256"/>
      <c r="AE240" s="1258" t="s">
        <v>305</v>
      </c>
      <c r="AF240" s="1259"/>
      <c r="AG240" s="795" t="b">
        <v>0</v>
      </c>
    </row>
    <row r="241" spans="23:33" ht="13.5" thickBot="1" x14ac:dyDescent="0.25">
      <c r="W241" s="1251" t="str">
        <f>"Heat Index  °"&amp;IF($L$80,"C","F")</f>
        <v>Heat Index  °F</v>
      </c>
      <c r="X241" s="1252"/>
      <c r="Y241" s="796">
        <f>IF($L$80,(53-32)*5/9,53)</f>
        <v>53</v>
      </c>
      <c r="Z241" s="797">
        <f>IF($L$80,(60-32)*5/9,60)</f>
        <v>60</v>
      </c>
      <c r="AA241" s="797">
        <f>IF($L$80,(70-32)*5/9,70)</f>
        <v>70</v>
      </c>
      <c r="AB241" s="797">
        <f>IF($L$80,(80-32)*5/9,80)</f>
        <v>80</v>
      </c>
      <c r="AC241" s="797">
        <f>IF($L$80,(90-32)*5/9,90)</f>
        <v>90</v>
      </c>
      <c r="AD241" s="797">
        <f>IF($L$80,(100-32)*5/9,100)</f>
        <v>100</v>
      </c>
      <c r="AE241" s="797">
        <f>IF($L$80,(110-32)*5/9,110)</f>
        <v>110</v>
      </c>
      <c r="AF241" s="797">
        <f>IF($L$80,(120-32)*5/9,120)</f>
        <v>120</v>
      </c>
      <c r="AG241" s="802" t="s">
        <v>91</v>
      </c>
    </row>
    <row r="242" spans="23:33" ht="13.5" thickBot="1" x14ac:dyDescent="0.25">
      <c r="W242" s="1253" t="s">
        <v>203</v>
      </c>
      <c r="X242" s="1254"/>
      <c r="Y242" s="799">
        <f>IF(AND($E$6&gt;0,$G$6&gt;0),$G$6,"-")</f>
        <v>0.10878472222222223</v>
      </c>
      <c r="Z242" s="800">
        <f t="shared" ref="Z242:AF242" si="43">IF($Y242&lt;&gt;"-",$Y242+$Y242*(0.00000000220395*IF($L$80,((Z241*9/5)+32)^4,Z241^4) - 0.0000004341222*IF($L$80,((Z241*9/5)+32)^3,Z241^3) + 0.0000608143905*IF($L$80,((Z241*9/5)+32)^2,Z241^2) - 0.0039308500021*IF($L$80,((Z241*9/5)+32),Z241) + 0.08700948577525),"-")</f>
        <v>0.10931592762100348</v>
      </c>
      <c r="AA242" s="800">
        <f t="shared" si="43"/>
        <v>0.11029176310152282</v>
      </c>
      <c r="AB242" s="800">
        <f t="shared" si="43"/>
        <v>0.11202180857659425</v>
      </c>
      <c r="AC242" s="800">
        <f t="shared" si="43"/>
        <v>0.11465426982796777</v>
      </c>
      <c r="AD242" s="800">
        <f t="shared" si="43"/>
        <v>0.11839489409864334</v>
      </c>
      <c r="AE242" s="800">
        <f t="shared" si="43"/>
        <v>0.12350697009287101</v>
      </c>
      <c r="AF242" s="800">
        <f t="shared" si="43"/>
        <v>0.13031132797615078</v>
      </c>
      <c r="AG242" s="803" t="s">
        <v>91</v>
      </c>
    </row>
    <row r="243" spans="23:33" ht="13.5" thickBot="1" x14ac:dyDescent="0.25"/>
    <row r="244" spans="23:33" ht="13.5" thickBot="1" x14ac:dyDescent="0.25">
      <c r="W244" s="1255" t="s">
        <v>306</v>
      </c>
      <c r="X244" s="1256"/>
      <c r="Y244" s="1257"/>
      <c r="Z244" s="1255" t="str">
        <f>"Projected Impact of Temperature on "&amp;$E$6&amp;" Time"</f>
        <v>Projected Impact of Temperature on Marathon Time</v>
      </c>
      <c r="AA244" s="1256"/>
      <c r="AB244" s="1256"/>
      <c r="AC244" s="1256"/>
      <c r="AD244" s="1256"/>
      <c r="AE244" s="1268" t="s">
        <v>307</v>
      </c>
      <c r="AF244" s="1269"/>
      <c r="AG244" s="795" t="b">
        <v>0</v>
      </c>
    </row>
    <row r="245" spans="23:33" ht="13.5" thickBot="1" x14ac:dyDescent="0.25">
      <c r="W245" s="1251" t="str">
        <f>"Temperature  °"&amp;IF($L$80,"C","F")</f>
        <v>Temperature  °F</v>
      </c>
      <c r="X245" s="1252"/>
      <c r="Y245" s="801" t="s">
        <v>91</v>
      </c>
      <c r="Z245" s="804">
        <f>IF($L$80,$Y$254,($Y$254*9/5)+32)</f>
        <v>24.817999999999998</v>
      </c>
      <c r="AA245" s="804">
        <f>IF($L$80,$Y$255,($Y$255*9/5)+32)</f>
        <v>33.817999999999998</v>
      </c>
      <c r="AB245" s="804">
        <f>IF($L$80,$Y$256,($Y$256*9/5)+32)</f>
        <v>42.835999999999999</v>
      </c>
      <c r="AC245" s="804">
        <f>IF($L$80,$Y$257,($Y$257*9/5)+32)</f>
        <v>51.835999999999999</v>
      </c>
      <c r="AD245" s="804">
        <f>IF($L$80,$Y$258,($Y$258*9/5)+32)</f>
        <v>60.835999999999999</v>
      </c>
      <c r="AE245" s="804">
        <f>IF($L$80,$Y$259,($Y$259*9/5)+32)</f>
        <v>69.835999999999999</v>
      </c>
      <c r="AF245" s="804">
        <f>IF($L$80,$Y$260,($Y$260*9/5)+32)</f>
        <v>78.835999999999999</v>
      </c>
      <c r="AG245" s="802" t="s">
        <v>91</v>
      </c>
    </row>
    <row r="246" spans="23:33" ht="13.5" thickBot="1" x14ac:dyDescent="0.25">
      <c r="W246" s="1253" t="s">
        <v>203</v>
      </c>
      <c r="X246" s="1254"/>
      <c r="Y246" s="800" t="s">
        <v>91</v>
      </c>
      <c r="Z246" s="800">
        <f>IF($AB246&lt;&gt;"-",$AB246*(1+$AA$254),"-")</f>
        <v>0.11234198263888889</v>
      </c>
      <c r="AA246" s="800">
        <f>IF($AB246&lt;&gt;"-",$AB246*(1+$AA$255),"-")</f>
        <v>0.10967675694444445</v>
      </c>
      <c r="AB246" s="799">
        <f>IF(AND($E$6&gt;0,$G$6&gt;0),$G$6,"-")</f>
        <v>0.10878472222222223</v>
      </c>
      <c r="AC246" s="800">
        <f>IF($AB246&lt;&gt;"-",$AB246*(1+$AA$257),"-")</f>
        <v>0.10967675694444445</v>
      </c>
      <c r="AD246" s="800">
        <f>IF($AB246&lt;&gt;"-",$AB246*(1+$AA$258),"-")</f>
        <v>0.11246164583333335</v>
      </c>
      <c r="AE246" s="800">
        <f>IF($AB246&lt;&gt;"-",$AB246*(1+$AA$259),"-")</f>
        <v>0.11741135069444444</v>
      </c>
      <c r="AF246" s="800">
        <f>IF($AB246&lt;&gt;"-",$AB246*(1+$AA$260),"-")</f>
        <v>0.12513506597222224</v>
      </c>
      <c r="AG246" s="803" t="s">
        <v>91</v>
      </c>
    </row>
    <row r="247" spans="23:33" ht="13.5" thickBot="1" x14ac:dyDescent="0.25"/>
    <row r="248" spans="23:33" ht="13.5" thickBot="1" x14ac:dyDescent="0.25">
      <c r="W248" s="1255" t="s">
        <v>308</v>
      </c>
      <c r="X248" s="1256"/>
      <c r="Y248" s="1257"/>
      <c r="Z248" s="1255" t="str">
        <f>"Projected Impact of Temperature on "&amp;$E$6&amp;" Time"</f>
        <v>Projected Impact of Temperature on Marathon Time</v>
      </c>
      <c r="AA248" s="1256"/>
      <c r="AB248" s="1256"/>
      <c r="AC248" s="1256"/>
      <c r="AD248" s="1256"/>
      <c r="AE248" s="1268" t="s">
        <v>307</v>
      </c>
      <c r="AF248" s="1269"/>
      <c r="AG248" s="795" t="b">
        <v>0</v>
      </c>
    </row>
    <row r="249" spans="23:33" ht="13.5" thickBot="1" x14ac:dyDescent="0.25">
      <c r="W249" s="1251" t="str">
        <f>"Temperature  °"&amp;IF($L$80,"C","F")</f>
        <v>Temperature  °F</v>
      </c>
      <c r="X249" s="1252"/>
      <c r="Y249" s="801" t="s">
        <v>91</v>
      </c>
      <c r="Z249" s="804">
        <f>IF($L$80,$AB$254,($AB$254*9/5)+32)</f>
        <v>26.33</v>
      </c>
      <c r="AA249" s="804">
        <f>IF($L$80,$AB$255,($AB$255*9/5)+32)</f>
        <v>35.33</v>
      </c>
      <c r="AB249" s="804">
        <f>IF($L$80,$AB$256,($AB$256*9/5)+32)</f>
        <v>44.33</v>
      </c>
      <c r="AC249" s="804">
        <f>IF($L$80,$AB$257,($AB$257*9/5)+32)</f>
        <v>53.33</v>
      </c>
      <c r="AD249" s="804">
        <f>IF($L$80,$AB$258,($AB$258*9/5)+32)</f>
        <v>62.33</v>
      </c>
      <c r="AE249" s="804">
        <f>IF($L$80,$AB$259,($AB$259*9/5)+32)</f>
        <v>71.33</v>
      </c>
      <c r="AF249" s="804">
        <f>IF($L$80,$AB$260,($AB$260*9/5)+32)</f>
        <v>80.33</v>
      </c>
      <c r="AG249" s="802" t="s">
        <v>91</v>
      </c>
    </row>
    <row r="250" spans="23:33" ht="13.5" thickBot="1" x14ac:dyDescent="0.25">
      <c r="W250" s="1253" t="s">
        <v>203</v>
      </c>
      <c r="X250" s="1254"/>
      <c r="Y250" s="800" t="s">
        <v>91</v>
      </c>
      <c r="Z250" s="800">
        <f>IF($AB250&lt;&gt;"-",$AB250*(1+$AD$254),"-")</f>
        <v>0.11151521874999999</v>
      </c>
      <c r="AA250" s="800">
        <f>IF($AB250&lt;&gt;"-",$AB250*(1+$AD$255),"-")</f>
        <v>0.10947006597222222</v>
      </c>
      <c r="AB250" s="799">
        <f>IF(AND($E$6&gt;0,$G$6&gt;0),$G$6,"-")</f>
        <v>0.10878472222222223</v>
      </c>
      <c r="AC250" s="800">
        <f>IF($AB250&lt;&gt;"-",$AB250*(1+$AD$257),"-")</f>
        <v>0.10947006597222222</v>
      </c>
      <c r="AD250" s="800">
        <f>IF($AB250&lt;&gt;"-",$AB250*(1+$AD$258),"-")</f>
        <v>0.11159136805555557</v>
      </c>
      <c r="AE250" s="800">
        <f>IF($AB250&lt;&gt;"-",$AB250*(1+$AD$259),"-")</f>
        <v>0.11531180555555556</v>
      </c>
      <c r="AF250" s="800">
        <f>IF($AB250&lt;&gt;"-",$AB250*(1+$AD$260),"-")</f>
        <v>0.12094685416666666</v>
      </c>
      <c r="AG250" s="803" t="s">
        <v>91</v>
      </c>
    </row>
    <row r="252" spans="23:33" x14ac:dyDescent="0.2">
      <c r="W252" s="883" t="s">
        <v>309</v>
      </c>
      <c r="AF252" s="1267" t="s">
        <v>310</v>
      </c>
      <c r="AG252" s="1267"/>
    </row>
    <row r="253" spans="23:33" x14ac:dyDescent="0.2">
      <c r="Y253" s="1267" t="s">
        <v>311</v>
      </c>
      <c r="Z253" s="1267"/>
      <c r="AA253" s="1267" t="s">
        <v>312</v>
      </c>
      <c r="AB253" s="1267"/>
      <c r="AE253" s="805" t="s">
        <v>313</v>
      </c>
      <c r="AF253" s="806">
        <f>0.0015437*IF($L$80,($N$95*9/5)+32,$N$95)-0.09108933</f>
        <v>3.2406670000000012E-2</v>
      </c>
      <c r="AG253" s="807">
        <f ca="1">IF($M$102,MAX(AF253*$O$91,0),0)</f>
        <v>3.0947258118212795E-3</v>
      </c>
    </row>
    <row r="254" spans="23:33" x14ac:dyDescent="0.2">
      <c r="W254" s="1270" t="s">
        <v>314</v>
      </c>
      <c r="X254" s="808" t="s">
        <v>315</v>
      </c>
      <c r="Y254" s="808">
        <v>-3.99</v>
      </c>
      <c r="Z254" s="809">
        <f t="shared" ref="Z254:Z260" si="44">(Y254*9/5)+32</f>
        <v>24.817999999999998</v>
      </c>
      <c r="AA254" s="810">
        <v>3.27E-2</v>
      </c>
      <c r="AB254" s="808">
        <v>-3.15</v>
      </c>
      <c r="AC254" s="808">
        <f t="shared" ref="AC254:AC260" si="45">(AB254*9/5)+32</f>
        <v>26.33</v>
      </c>
      <c r="AD254" s="810">
        <v>2.5100000000000001E-2</v>
      </c>
      <c r="AE254" s="805" t="s">
        <v>316</v>
      </c>
      <c r="AF254" s="811">
        <f>0.0015437*IF($L$52,($C$56*9/5)+32,$C$56)-0.09108933</f>
        <v>3.2406670000000012E-2</v>
      </c>
    </row>
    <row r="255" spans="23:33" x14ac:dyDescent="0.2">
      <c r="W255" s="1271"/>
      <c r="X255" s="812" t="s">
        <v>317</v>
      </c>
      <c r="Y255" s="812">
        <v>1.01</v>
      </c>
      <c r="Z255" s="813">
        <f t="shared" si="44"/>
        <v>33.817999999999998</v>
      </c>
      <c r="AA255" s="814">
        <v>8.2000000000000007E-3</v>
      </c>
      <c r="AB255" s="812">
        <v>1.85</v>
      </c>
      <c r="AC255" s="812">
        <f t="shared" si="45"/>
        <v>35.33</v>
      </c>
      <c r="AD255" s="814">
        <v>6.3E-3</v>
      </c>
      <c r="AE255" s="815"/>
      <c r="AF255" s="1267" t="s">
        <v>318</v>
      </c>
      <c r="AG255" s="1267"/>
    </row>
    <row r="256" spans="23:33" x14ac:dyDescent="0.2">
      <c r="W256" s="1271"/>
      <c r="X256" s="812" t="s">
        <v>319</v>
      </c>
      <c r="Y256" s="812">
        <v>6.02</v>
      </c>
      <c r="Z256" s="813">
        <f t="shared" si="44"/>
        <v>42.835999999999999</v>
      </c>
      <c r="AA256" s="814">
        <v>0</v>
      </c>
      <c r="AB256" s="812">
        <v>6.85</v>
      </c>
      <c r="AC256" s="812">
        <f t="shared" si="45"/>
        <v>44.33</v>
      </c>
      <c r="AD256" s="814">
        <v>0</v>
      </c>
      <c r="AE256" s="805" t="s">
        <v>313</v>
      </c>
      <c r="AF256" s="806">
        <f>(0.000012229*IF($L$80,(($N$95*9/5)+64)^2,$N$95^2)) - (0.002174242*IF($L$80,(($N$95*9/5)+64),$N$95)) + 0.0954329</f>
        <v>-2.4085999999999552E-4</v>
      </c>
      <c r="AG256" s="807">
        <f>IF($N$95&lt;=IF(L80,20,100),0,IF($M$102,MAX(AF256*$O$91,0),0))</f>
        <v>0</v>
      </c>
    </row>
    <row r="257" spans="23:33" x14ac:dyDescent="0.2">
      <c r="W257" s="1271"/>
      <c r="X257" s="812" t="s">
        <v>320</v>
      </c>
      <c r="Y257" s="812">
        <v>11.02</v>
      </c>
      <c r="Z257" s="813">
        <f t="shared" si="44"/>
        <v>51.835999999999999</v>
      </c>
      <c r="AA257" s="814">
        <v>8.2000000000000007E-3</v>
      </c>
      <c r="AB257" s="812">
        <v>11.85</v>
      </c>
      <c r="AC257" s="812">
        <f t="shared" si="45"/>
        <v>53.33</v>
      </c>
      <c r="AD257" s="814">
        <v>6.3E-3</v>
      </c>
      <c r="AE257" s="805" t="s">
        <v>316</v>
      </c>
      <c r="AF257" s="811">
        <f>(0.000012229*IF($L$52,(($C$56*9/5)+64)^2,$C$56^2)) - (0.002174242*IF($L$52,(($C$56*9/5)+64),$C$56)) + 0.0954329</f>
        <v>-2.4085999999999552E-4</v>
      </c>
    </row>
    <row r="258" spans="23:33" x14ac:dyDescent="0.2">
      <c r="W258" s="1271"/>
      <c r="X258" s="812" t="s">
        <v>321</v>
      </c>
      <c r="Y258" s="812">
        <v>16.02</v>
      </c>
      <c r="Z258" s="813">
        <f t="shared" si="44"/>
        <v>60.835999999999999</v>
      </c>
      <c r="AA258" s="814">
        <v>3.3799999999999997E-2</v>
      </c>
      <c r="AB258" s="812">
        <v>16.850000000000001</v>
      </c>
      <c r="AC258" s="812">
        <f t="shared" si="45"/>
        <v>62.33</v>
      </c>
      <c r="AD258" s="814">
        <v>2.58E-2</v>
      </c>
      <c r="AE258" s="815"/>
      <c r="AF258" s="1267" t="s">
        <v>304</v>
      </c>
      <c r="AG258" s="1267"/>
    </row>
    <row r="259" spans="23:33" x14ac:dyDescent="0.2">
      <c r="W259" s="1271"/>
      <c r="X259" s="812" t="s">
        <v>322</v>
      </c>
      <c r="Y259" s="812">
        <v>21.02</v>
      </c>
      <c r="Z259" s="813">
        <f t="shared" si="44"/>
        <v>69.835999999999999</v>
      </c>
      <c r="AA259" s="814">
        <v>7.9299999999999995E-2</v>
      </c>
      <c r="AB259" s="812">
        <v>21.85</v>
      </c>
      <c r="AC259" s="812">
        <f t="shared" si="45"/>
        <v>71.33</v>
      </c>
      <c r="AD259" s="814">
        <v>0.06</v>
      </c>
      <c r="AE259" s="805" t="s">
        <v>313</v>
      </c>
      <c r="AF259" s="806">
        <f>0.00000000220395*IF($L$80,(($N$95*9/5)+32)^4,$N$95^4) - 0.0000004341222*IF($L$80,(($N$95*9/5)+32)^3,$N$95^3) + 0.0000608143905*IF($L$80,(($N$95*9/5)+32)^2,$N$95^2) - 0.0039308500021*IF($L$80,(($N$95*9/5)+32),$N$95) + 0.08700948577525</f>
        <v>2.9756810407249951E-2</v>
      </c>
      <c r="AG259" s="807">
        <f ca="1">IF($M$102,MAX(AF259*$O$91,0),0)</f>
        <v>2.8416733112284747E-3</v>
      </c>
    </row>
    <row r="260" spans="23:33" x14ac:dyDescent="0.2">
      <c r="W260" s="1272"/>
      <c r="X260" s="766" t="s">
        <v>323</v>
      </c>
      <c r="Y260" s="766">
        <v>26.02</v>
      </c>
      <c r="Z260" s="816">
        <f t="shared" si="44"/>
        <v>78.835999999999999</v>
      </c>
      <c r="AA260" s="817">
        <v>0.15029999999999999</v>
      </c>
      <c r="AB260" s="766">
        <v>26.85</v>
      </c>
      <c r="AC260" s="766">
        <f t="shared" si="45"/>
        <v>80.33</v>
      </c>
      <c r="AD260" s="817">
        <v>0.1118</v>
      </c>
      <c r="AE260" s="805" t="s">
        <v>316</v>
      </c>
      <c r="AF260" s="811">
        <f>0.00000000220395*IF($L$52,(($C$56*9/5)+32)^4,$C$56^4) - 0.0000004341222*IF($L$52,(($C$56*9/5)+32)^3,$C$56^3) + 0.0000608143905*IF($L$52,(($C$56*9/5)+32)^2,$C$56^2) - 0.0039308500021*IF($L$52,(($C$56*9/5)+32),$C$56) + 0.08700948577525</f>
        <v>2.9756810407249951E-2</v>
      </c>
    </row>
    <row r="261" spans="23:33" x14ac:dyDescent="0.2">
      <c r="X261" s="885"/>
      <c r="Y261" s="885"/>
      <c r="Z261" s="818"/>
      <c r="AA261" s="885"/>
      <c r="AB261" s="818"/>
      <c r="AE261" s="815"/>
      <c r="AF261" s="1267" t="s">
        <v>324</v>
      </c>
      <c r="AG261" s="1267"/>
    </row>
    <row r="262" spans="23:33" x14ac:dyDescent="0.2">
      <c r="W262" s="883" t="s">
        <v>325</v>
      </c>
      <c r="X262" s="885"/>
      <c r="Z262" s="883" t="s">
        <v>326</v>
      </c>
      <c r="AA262" s="885"/>
      <c r="AE262" s="805" t="s">
        <v>313</v>
      </c>
      <c r="AF262" s="806">
        <f>X263*IF($L$80,(($N$95*9/5)+32)^2,$N$95^2) +(X264*IF($L$80,(($N$95*9/5)+32),$N$95)) + X265</f>
        <v>0.15757841435455355</v>
      </c>
      <c r="AG262" s="807">
        <f ca="1">IF($M$102,MAX(AF262*$O$91,0),0)</f>
        <v>1.5048197987911302E-2</v>
      </c>
    </row>
    <row r="263" spans="23:33" x14ac:dyDescent="0.2">
      <c r="W263" s="819" t="s">
        <v>327</v>
      </c>
      <c r="X263" s="820">
        <f>INDEX(LINEST(AA254:AA260,Z254:Z260^{1,2}),1)</f>
        <v>1.1470029015875874E-4</v>
      </c>
      <c r="Z263" s="819" t="s">
        <v>327</v>
      </c>
      <c r="AA263" s="820">
        <f>INDEX(LINEST(AD254:AD260,AC254:AC260^{1,2}),1)</f>
        <v>8.5523221634332687E-5</v>
      </c>
      <c r="AE263" s="805" t="s">
        <v>316</v>
      </c>
      <c r="AF263" s="811">
        <f>X263*IF($L$52,(($C$56*9/5)+32)^2,$C$56^2) +(X264*IF($L$52,(($C$56*9/5)+32),$C$56)) + X265</f>
        <v>0.15757841435455355</v>
      </c>
    </row>
    <row r="264" spans="23:33" x14ac:dyDescent="0.2">
      <c r="W264" s="821" t="s">
        <v>328</v>
      </c>
      <c r="X264" s="822">
        <f>INDEX(LINEST(AA254:AA260,Z254:Z260^{1,2}),1,2)</f>
        <v>-9.7916242967206035E-3</v>
      </c>
      <c r="Z264" s="821" t="s">
        <v>328</v>
      </c>
      <c r="AA264" s="822">
        <f>INDEX(LINEST(AD254:AD260,AC254:AC260^{1,2}),1,2)</f>
        <v>-7.5611925338036363E-3</v>
      </c>
      <c r="AE264" s="815"/>
      <c r="AF264" s="1267" t="s">
        <v>329</v>
      </c>
      <c r="AG264" s="1267"/>
    </row>
    <row r="265" spans="23:33" x14ac:dyDescent="0.2">
      <c r="W265" s="823" t="s">
        <v>330</v>
      </c>
      <c r="X265" s="824">
        <f>INDEX(LINEST(AA254:AA260,Z254:Z260^{1,2}),1,3)</f>
        <v>0.20682650107614597</v>
      </c>
      <c r="Z265" s="823" t="s">
        <v>330</v>
      </c>
      <c r="AA265" s="824">
        <f>INDEX(LINEST(AD254:AD260,AC254:AC260^{1,2}),1,3)</f>
        <v>0.16590751439006435</v>
      </c>
      <c r="AE265" s="805" t="s">
        <v>313</v>
      </c>
      <c r="AF265" s="806">
        <f xml:space="preserve"> AA263*IF($L$80,(($N$95*9/5)+32)^2,$N$95^2) +(AA264*IF($L$80,(($N$95*9/5)+32),$N$95)) +AA265</f>
        <v>0.10836073014550263</v>
      </c>
      <c r="AG265" s="807">
        <f ca="1">IF($M$102,MAX(AF265*$O$91,0),0)</f>
        <v>1.0348077990397875E-2</v>
      </c>
    </row>
    <row r="266" spans="23:33" x14ac:dyDescent="0.2">
      <c r="AE266" s="805" t="s">
        <v>316</v>
      </c>
      <c r="AF266" s="811">
        <f xml:space="preserve"> AA263*IF($L$52,(($C$56*9/5)+32)^2,$C$56^2) +(AA264*IF($L$52,(($C$56*9/5)+32),$C$56)) +AA265</f>
        <v>0.10836073014550263</v>
      </c>
    </row>
  </sheetData>
  <mergeCells count="228">
    <mergeCell ref="AF261:AG261"/>
    <mergeCell ref="AF264:AG264"/>
    <mergeCell ref="W249:X249"/>
    <mergeCell ref="W250:X250"/>
    <mergeCell ref="AF252:AG252"/>
    <mergeCell ref="Y253:Z253"/>
    <mergeCell ref="AA253:AB253"/>
    <mergeCell ref="W254:W260"/>
    <mergeCell ref="AF255:AG255"/>
    <mergeCell ref="AF258:AG258"/>
    <mergeCell ref="W244:Y244"/>
    <mergeCell ref="Z244:AD244"/>
    <mergeCell ref="AE244:AF244"/>
    <mergeCell ref="W245:X245"/>
    <mergeCell ref="W246:X246"/>
    <mergeCell ref="W248:Y248"/>
    <mergeCell ref="Z248:AD248"/>
    <mergeCell ref="AE248:AF248"/>
    <mergeCell ref="W238:X238"/>
    <mergeCell ref="W240:Y240"/>
    <mergeCell ref="Z240:AD240"/>
    <mergeCell ref="AE240:AF240"/>
    <mergeCell ref="W241:X241"/>
    <mergeCell ref="W242:X242"/>
    <mergeCell ref="W233:X233"/>
    <mergeCell ref="W234:X234"/>
    <mergeCell ref="W236:Y236"/>
    <mergeCell ref="Z236:AD236"/>
    <mergeCell ref="AE236:AF236"/>
    <mergeCell ref="W237:X237"/>
    <mergeCell ref="B125:C125"/>
    <mergeCell ref="W131:AG131"/>
    <mergeCell ref="AD133:AF133"/>
    <mergeCell ref="W216:AB216"/>
    <mergeCell ref="W232:Y232"/>
    <mergeCell ref="Z232:AD232"/>
    <mergeCell ref="AE232:AF232"/>
    <mergeCell ref="B120:C120"/>
    <mergeCell ref="B121:C121"/>
    <mergeCell ref="P121:R121"/>
    <mergeCell ref="B122:C122"/>
    <mergeCell ref="B123:C123"/>
    <mergeCell ref="B124:C124"/>
    <mergeCell ref="P114:R114"/>
    <mergeCell ref="B115:L115"/>
    <mergeCell ref="B116:C116"/>
    <mergeCell ref="B117:C117"/>
    <mergeCell ref="B118:C118"/>
    <mergeCell ref="B119:C119"/>
    <mergeCell ref="Q111:R111"/>
    <mergeCell ref="C112:H112"/>
    <mergeCell ref="I112:K112"/>
    <mergeCell ref="Q112:R112"/>
    <mergeCell ref="J113:L113"/>
    <mergeCell ref="Q113:R113"/>
    <mergeCell ref="C108:D108"/>
    <mergeCell ref="Q108:R108"/>
    <mergeCell ref="C109:D109"/>
    <mergeCell ref="P109:R109"/>
    <mergeCell ref="C110:D110"/>
    <mergeCell ref="Q110:R110"/>
    <mergeCell ref="K105:L105"/>
    <mergeCell ref="M105:N105"/>
    <mergeCell ref="Q105:R105"/>
    <mergeCell ref="B106:D106"/>
    <mergeCell ref="Q106:R106"/>
    <mergeCell ref="B107:D107"/>
    <mergeCell ref="Q107:R107"/>
    <mergeCell ref="M103:N103"/>
    <mergeCell ref="P103:R103"/>
    <mergeCell ref="B104:E104"/>
    <mergeCell ref="G104:H104"/>
    <mergeCell ref="I104:J104"/>
    <mergeCell ref="K104:L104"/>
    <mergeCell ref="M104:N104"/>
    <mergeCell ref="P104:R104"/>
    <mergeCell ref="M101:N101"/>
    <mergeCell ref="Q101:R101"/>
    <mergeCell ref="B102:D102"/>
    <mergeCell ref="E102:F102"/>
    <mergeCell ref="G102:H102"/>
    <mergeCell ref="I102:J102"/>
    <mergeCell ref="K102:L102"/>
    <mergeCell ref="M102:N102"/>
    <mergeCell ref="Q102:R102"/>
    <mergeCell ref="G100:H100"/>
    <mergeCell ref="I100:J100"/>
    <mergeCell ref="K100:L100"/>
    <mergeCell ref="M100:N100"/>
    <mergeCell ref="Q100:R100"/>
    <mergeCell ref="B101:D101"/>
    <mergeCell ref="E101:F101"/>
    <mergeCell ref="G101:H101"/>
    <mergeCell ref="I101:J101"/>
    <mergeCell ref="K101:L101"/>
    <mergeCell ref="P98:R98"/>
    <mergeCell ref="B99:E99"/>
    <mergeCell ref="G99:H99"/>
    <mergeCell ref="I99:J99"/>
    <mergeCell ref="K99:L99"/>
    <mergeCell ref="M99:O99"/>
    <mergeCell ref="Q99:R99"/>
    <mergeCell ref="P93:R93"/>
    <mergeCell ref="C94:K94"/>
    <mergeCell ref="M94:N94"/>
    <mergeCell ref="B95:F95"/>
    <mergeCell ref="K95:L95"/>
    <mergeCell ref="M96:N96"/>
    <mergeCell ref="B91:C91"/>
    <mergeCell ref="M91:N91"/>
    <mergeCell ref="B92:C92"/>
    <mergeCell ref="B93:G93"/>
    <mergeCell ref="J93:K93"/>
    <mergeCell ref="N93:O93"/>
    <mergeCell ref="B88:C88"/>
    <mergeCell ref="F88:G88"/>
    <mergeCell ref="I88:J88"/>
    <mergeCell ref="M88:N88"/>
    <mergeCell ref="O88:O90"/>
    <mergeCell ref="P88:R88"/>
    <mergeCell ref="B89:C89"/>
    <mergeCell ref="B90:C90"/>
    <mergeCell ref="B84:C84"/>
    <mergeCell ref="M84:N84"/>
    <mergeCell ref="M85:N85"/>
    <mergeCell ref="P86:Q86"/>
    <mergeCell ref="B87:L87"/>
    <mergeCell ref="M87:O87"/>
    <mergeCell ref="P87:R87"/>
    <mergeCell ref="B81:C81"/>
    <mergeCell ref="M81:O81"/>
    <mergeCell ref="B82:C82"/>
    <mergeCell ref="M82:N82"/>
    <mergeCell ref="P82:R82"/>
    <mergeCell ref="B83:C83"/>
    <mergeCell ref="M83:N83"/>
    <mergeCell ref="P83:R83"/>
    <mergeCell ref="D78:E78"/>
    <mergeCell ref="J78:K78"/>
    <mergeCell ref="M78:O78"/>
    <mergeCell ref="P78:Q78"/>
    <mergeCell ref="P79:Q79"/>
    <mergeCell ref="C80:I80"/>
    <mergeCell ref="J80:K80"/>
    <mergeCell ref="B76:E76"/>
    <mergeCell ref="M76:N76"/>
    <mergeCell ref="P76:Q76"/>
    <mergeCell ref="B77:E77"/>
    <mergeCell ref="M77:N77"/>
    <mergeCell ref="P77:Q77"/>
    <mergeCell ref="B73:L73"/>
    <mergeCell ref="M73:O73"/>
    <mergeCell ref="P73:R73"/>
    <mergeCell ref="B74:E74"/>
    <mergeCell ref="F74:K74"/>
    <mergeCell ref="M74:N74"/>
    <mergeCell ref="O74:O75"/>
    <mergeCell ref="B75:E75"/>
    <mergeCell ref="M75:N75"/>
    <mergeCell ref="B70:D70"/>
    <mergeCell ref="N70:O70"/>
    <mergeCell ref="Q70:R70"/>
    <mergeCell ref="B71:D71"/>
    <mergeCell ref="Q71:R71"/>
    <mergeCell ref="B72:F72"/>
    <mergeCell ref="B64:C64"/>
    <mergeCell ref="B65:C65"/>
    <mergeCell ref="B66:L66"/>
    <mergeCell ref="B68:E68"/>
    <mergeCell ref="F68:K68"/>
    <mergeCell ref="B69:D69"/>
    <mergeCell ref="B58:K58"/>
    <mergeCell ref="B59:C59"/>
    <mergeCell ref="B60:C60"/>
    <mergeCell ref="B61:C61"/>
    <mergeCell ref="B62:C62"/>
    <mergeCell ref="B63:C63"/>
    <mergeCell ref="B53:C53"/>
    <mergeCell ref="B54:C54"/>
    <mergeCell ref="B55:C55"/>
    <mergeCell ref="D56:F56"/>
    <mergeCell ref="G56:L56"/>
    <mergeCell ref="B57:F57"/>
    <mergeCell ref="G57:L57"/>
    <mergeCell ref="C50:D50"/>
    <mergeCell ref="E50:F50"/>
    <mergeCell ref="G50:H50"/>
    <mergeCell ref="I50:J50"/>
    <mergeCell ref="K50:L50"/>
    <mergeCell ref="C52:J52"/>
    <mergeCell ref="Y47:AB47"/>
    <mergeCell ref="C48:D48"/>
    <mergeCell ref="E48:F48"/>
    <mergeCell ref="G48:H48"/>
    <mergeCell ref="I48:J48"/>
    <mergeCell ref="K48:L48"/>
    <mergeCell ref="T48:U48"/>
    <mergeCell ref="Y48:Z48"/>
    <mergeCell ref="AA48:AB48"/>
    <mergeCell ref="M44:O44"/>
    <mergeCell ref="P44:R44"/>
    <mergeCell ref="B45:R45"/>
    <mergeCell ref="W46:X46"/>
    <mergeCell ref="D47:J47"/>
    <mergeCell ref="N47:P47"/>
    <mergeCell ref="W47:X47"/>
    <mergeCell ref="D9:E9"/>
    <mergeCell ref="H9:I9"/>
    <mergeCell ref="H17:L17"/>
    <mergeCell ref="M27:Q27"/>
    <mergeCell ref="M42:R42"/>
    <mergeCell ref="M43:O43"/>
    <mergeCell ref="P43:R43"/>
    <mergeCell ref="I6:J6"/>
    <mergeCell ref="P6:Q6"/>
    <mergeCell ref="E7:G7"/>
    <mergeCell ref="D8:E8"/>
    <mergeCell ref="F8:G8"/>
    <mergeCell ref="H8:I8"/>
    <mergeCell ref="G2:M3"/>
    <mergeCell ref="P3:R3"/>
    <mergeCell ref="G4:M4"/>
    <mergeCell ref="P4:Q4"/>
    <mergeCell ref="W4:AG4"/>
    <mergeCell ref="B5:D5"/>
    <mergeCell ref="I5:J5"/>
    <mergeCell ref="K5:M5"/>
    <mergeCell ref="P5:Q5"/>
  </mergeCells>
  <conditionalFormatting sqref="B11:C11">
    <cfRule type="expression" dxfId="43" priority="4">
      <formula>OR($A$9,AND($C$9&lt;&gt;"",$C$9&lt;&gt;0))</formula>
    </cfRule>
  </conditionalFormatting>
  <conditionalFormatting sqref="C6">
    <cfRule type="expression" dxfId="42" priority="2">
      <formula>G16&lt;&gt;2</formula>
    </cfRule>
  </conditionalFormatting>
  <conditionalFormatting sqref="D81">
    <cfRule type="expression" dxfId="41" priority="11">
      <formula>OR($D$85=1,$D$85=2,$D$85=3)</formula>
    </cfRule>
  </conditionalFormatting>
  <conditionalFormatting sqref="D81:D84">
    <cfRule type="expression" dxfId="40" priority="10">
      <formula>OR($D$85=1,$D$85=2,$D$85=3)</formula>
    </cfRule>
  </conditionalFormatting>
  <conditionalFormatting sqref="D82:D84">
    <cfRule type="expression" dxfId="39" priority="9">
      <formula>OR($D$85=1,$D$85=2,$D$85=3)</formula>
    </cfRule>
  </conditionalFormatting>
  <conditionalFormatting sqref="D97">
    <cfRule type="expression" dxfId="38" priority="41">
      <formula>AND(ROUND(N89,1)&lt;ROUND(D98,1),ROUND(D98,1)&lt;ROUND(IF(C4,K101,K102),1))</formula>
    </cfRule>
    <cfRule type="expression" dxfId="37" priority="42">
      <formula>ROUND(D98,1)=ROUND($N$89,1)</formula>
    </cfRule>
  </conditionalFormatting>
  <conditionalFormatting sqref="D10:I10">
    <cfRule type="cellIs" dxfId="36" priority="5" operator="notBetween">
      <formula>0.5</formula>
      <formula>$J$10</formula>
    </cfRule>
  </conditionalFormatting>
  <conditionalFormatting sqref="D89:L89">
    <cfRule type="expression" dxfId="35" priority="16">
      <formula>ROUND(D89,1)&lt;ROUND(MIN($D$98,$F$100),1)</formula>
    </cfRule>
  </conditionalFormatting>
  <conditionalFormatting sqref="D14:S15">
    <cfRule type="expression" dxfId="34" priority="3">
      <formula>$A$14=TRUE</formula>
    </cfRule>
  </conditionalFormatting>
  <conditionalFormatting sqref="E5">
    <cfRule type="cellIs" dxfId="33" priority="23" stopIfTrue="1" operator="notBetween">
      <formula>5</formula>
      <formula>100</formula>
    </cfRule>
  </conditionalFormatting>
  <conditionalFormatting sqref="E88 H95">
    <cfRule type="cellIs" dxfId="32" priority="17" stopIfTrue="1" operator="equal">
      <formula>"Birthdate?"</formula>
    </cfRule>
  </conditionalFormatting>
  <conditionalFormatting sqref="E106 F107">
    <cfRule type="containsText" dxfId="31" priority="12" operator="containsText" text="Weight?">
      <formula>NOT(ISERROR(SEARCH("Weight?",E106)))</formula>
    </cfRule>
  </conditionalFormatting>
  <conditionalFormatting sqref="F78">
    <cfRule type="expression" dxfId="30" priority="18" stopIfTrue="1">
      <formula>$D$78=FALSE</formula>
    </cfRule>
  </conditionalFormatting>
  <conditionalFormatting sqref="G81">
    <cfRule type="expression" dxfId="29" priority="7">
      <formula>$D$85=4</formula>
    </cfRule>
  </conditionalFormatting>
  <conditionalFormatting sqref="G81:G84">
    <cfRule type="expression" dxfId="28" priority="8">
      <formula>$D$85=4</formula>
    </cfRule>
  </conditionalFormatting>
  <conditionalFormatting sqref="G82:G84">
    <cfRule type="expression" dxfId="27" priority="6">
      <formula>$D$85=4</formula>
    </cfRule>
  </conditionalFormatting>
  <conditionalFormatting sqref="G101:L102">
    <cfRule type="expression" dxfId="26" priority="36">
      <formula>ROUND(G101,1)=ROUND($N$89,1)</formula>
    </cfRule>
  </conditionalFormatting>
  <conditionalFormatting sqref="I6:J6">
    <cfRule type="cellIs" dxfId="25" priority="22" stopIfTrue="1" operator="notBetween">
      <formula>29.995</formula>
      <formula>85.005</formula>
    </cfRule>
  </conditionalFormatting>
  <conditionalFormatting sqref="J59">
    <cfRule type="cellIs" dxfId="24" priority="20" stopIfTrue="1" operator="equal">
      <formula>"1000m"</formula>
    </cfRule>
  </conditionalFormatting>
  <conditionalFormatting sqref="K95">
    <cfRule type="cellIs" dxfId="23" priority="13" operator="equal">
      <formula>"Wght / Hght?"</formula>
    </cfRule>
  </conditionalFormatting>
  <conditionalFormatting sqref="K101:L101">
    <cfRule type="expression" dxfId="22" priority="40">
      <formula>AND(C4,ROUND(N89,1)&lt;ROUND(K101,1),ROUND(K101,1)&lt;ROUND(D98,1))</formula>
    </cfRule>
  </conditionalFormatting>
  <conditionalFormatting sqref="K102:L102">
    <cfRule type="expression" dxfId="21" priority="39">
      <formula>AND(C4=FALSE,ROUND(N89,1)&lt;ROUND(K102,1),ROUND(K102,1)&lt;ROUND(D98,1))</formula>
    </cfRule>
  </conditionalFormatting>
  <conditionalFormatting sqref="L59">
    <cfRule type="cellIs" dxfId="20" priority="19" stopIfTrue="1" operator="equal">
      <formula>"1 Mile"</formula>
    </cfRule>
  </conditionalFormatting>
  <conditionalFormatting sqref="L78">
    <cfRule type="expression" dxfId="19" priority="35" stopIfTrue="1">
      <formula>$J$78=FALSE</formula>
    </cfRule>
  </conditionalFormatting>
  <conditionalFormatting sqref="M31:M40">
    <cfRule type="expression" dxfId="18" priority="31" stopIfTrue="1">
      <formula>$R$29=3</formula>
    </cfRule>
  </conditionalFormatting>
  <conditionalFormatting sqref="M41">
    <cfRule type="expression" dxfId="17" priority="26" stopIfTrue="1">
      <formula>$N$28=3</formula>
    </cfRule>
  </conditionalFormatting>
  <conditionalFormatting sqref="M66">
    <cfRule type="cellIs" dxfId="16" priority="21" stopIfTrue="1" operator="greaterThan">
      <formula>1</formula>
    </cfRule>
  </conditionalFormatting>
  <conditionalFormatting sqref="M90">
    <cfRule type="expression" dxfId="15" priority="37">
      <formula>ROUND($N$89,1)&lt;ROUND(MIN($D$98,$F$100),1)</formula>
    </cfRule>
  </conditionalFormatting>
  <conditionalFormatting sqref="M88:N88">
    <cfRule type="cellIs" dxfId="14" priority="15" stopIfTrue="1" operator="equal">
      <formula>"Current Weight?"</formula>
    </cfRule>
  </conditionalFormatting>
  <conditionalFormatting sqref="N31:N40">
    <cfRule type="expression" dxfId="13" priority="32" stopIfTrue="1">
      <formula>OR($R$29=2,$R$29=4)</formula>
    </cfRule>
  </conditionalFormatting>
  <conditionalFormatting sqref="N41">
    <cfRule type="expression" dxfId="12" priority="27" stopIfTrue="1">
      <formula>OR($N$28=2,$N$28=4)</formula>
    </cfRule>
  </conditionalFormatting>
  <conditionalFormatting sqref="O31:O40">
    <cfRule type="expression" dxfId="11" priority="33" stopIfTrue="1">
      <formula>OR($R$29=1,$R$29=4)</formula>
    </cfRule>
  </conditionalFormatting>
  <conditionalFormatting sqref="O41">
    <cfRule type="expression" dxfId="10" priority="28" stopIfTrue="1">
      <formula>OR($N$28=1,$N$28=4)</formula>
    </cfRule>
  </conditionalFormatting>
  <conditionalFormatting sqref="P31:P40">
    <cfRule type="expression" dxfId="9" priority="34" stopIfTrue="1">
      <formula>OR($R$29=1,$R$29=2,$R$29=3)</formula>
    </cfRule>
  </conditionalFormatting>
  <conditionalFormatting sqref="P41">
    <cfRule type="expression" dxfId="8" priority="29" stopIfTrue="1">
      <formula>OR($N$28=1,$N$28=2,$N$28=3)</formula>
    </cfRule>
  </conditionalFormatting>
  <conditionalFormatting sqref="P48 R76">
    <cfRule type="cellIs" dxfId="7" priority="24" stopIfTrue="1" operator="equal">
      <formula>"Birthdate?"</formula>
    </cfRule>
  </conditionalFormatting>
  <conditionalFormatting sqref="Q31:R40">
    <cfRule type="cellIs" dxfId="6" priority="30" stopIfTrue="1" operator="equal">
      <formula>0</formula>
    </cfRule>
  </conditionalFormatting>
  <conditionalFormatting sqref="R77">
    <cfRule type="expression" dxfId="5" priority="14">
      <formula>ROUND(C3,1)&lt;ROUND(MIN($D$98,$F$100),1)</formula>
    </cfRule>
    <cfRule type="cellIs" dxfId="4" priority="25" operator="equal">
      <formula>"Wght / Hght?"</formula>
    </cfRule>
  </conditionalFormatting>
  <conditionalFormatting sqref="R79">
    <cfRule type="expression" dxfId="3" priority="38" stopIfTrue="1">
      <formula>ROUND($P$80,1)&lt;ROUND(MIN($D$98,$F$100),1)</formula>
    </cfRule>
  </conditionalFormatting>
  <conditionalFormatting sqref="W217:AB218">
    <cfRule type="expression" dxfId="2" priority="1">
      <formula>$A$14=TRUE</formula>
    </cfRule>
  </conditionalFormatting>
  <dataValidations disablePrompts="1" count="5">
    <dataValidation type="whole" allowBlank="1" showInputMessage="1" showErrorMessage="1" sqref="R29" xr:uid="{71531D80-7F06-4A4E-A734-607E945F8CD7}">
      <formula1>1</formula1>
      <formula2>4</formula2>
    </dataValidation>
    <dataValidation type="date" allowBlank="1" showInputMessage="1" showErrorMessage="1" sqref="E2" xr:uid="{FB6E1B1B-941C-494F-93D5-B34A63834FD9}">
      <formula1>1</formula1>
      <formula2>NOW()</formula2>
    </dataValidation>
    <dataValidation allowBlank="1" showErrorMessage="1" promptTitle="Time Entry" sqref="G6" xr:uid="{704D60D0-A538-4A15-9C1D-E0F7625FA4B4}"/>
    <dataValidation type="list" allowBlank="1" showInputMessage="1" showErrorMessage="1" sqref="E6" xr:uid="{44D74487-B442-4B5C-9F56-25D29C078058}">
      <formula1>$AC$134:$AC$141</formula1>
    </dataValidation>
    <dataValidation type="list" allowBlank="1" showInputMessage="1" showErrorMessage="1" sqref="B108:B109" xr:uid="{B5625D77-37F8-47E5-A09B-CDE6476A30A4}">
      <formula1>$AC$134:$AC$140</formula1>
    </dataValidation>
  </dataValidations>
  <hyperlinks>
    <hyperlink ref="B68:D68" r:id="rId1" display="McMillanRunning.com" xr:uid="{B41435D3-5DEB-46C2-B816-DFE30C10EC5C}"/>
    <hyperlink ref="B74:E74" r:id="rId2" display="Joe Friel" xr:uid="{351397AA-F991-41F0-9D36-12B8A765C7D0}"/>
    <hyperlink ref="T48:U48" r:id="rId3" display="2015 Age Grade Factors" xr:uid="{178FCD61-8935-4414-9877-B302F728D524}"/>
    <hyperlink ref="N71" r:id="rId4" display="http://www.iaaf.org/statistics/records/index.html" xr:uid="{6C61B96F-0524-47B7-A91A-5B9A6E6717AB}"/>
    <hyperlink ref="O71" r:id="rId5" xr:uid="{3B2B5551-4BDA-432A-9274-C8900883FCD0}"/>
    <hyperlink ref="P71" r:id="rId6" xr:uid="{350EA593-2BE7-4CDB-8220-A5822E307855}"/>
    <hyperlink ref="G57:K57" r:id="rId7" display="Run Smart Project /" xr:uid="{184771FA-D799-4F54-9AB2-B2BE3750FFA1}"/>
    <hyperlink ref="B57:F57" r:id="rId8" display="Jack Daniels Online Training Log" xr:uid="{B76B4DD3-0AD9-45C4-9F02-4DF98E4BC66C}"/>
    <hyperlink ref="B68:E68" r:id="rId9" display="McMillanRunning.com" xr:uid="{B5959C76-65C6-4480-80AB-0DDB3F02DF5F}"/>
    <hyperlink ref="AE236:AF236" r:id="rId10" display="http://maximumperformancerunning.blogspot.com/2013/07/temperature-dew-point.html" xr:uid="{8442A536-C059-4C6E-BAFD-696332EEAA0D}"/>
    <hyperlink ref="AE232:AF232" r:id="rId11" display="https://runsmartproject.com/calculator/" xr:uid="{571A9355-795E-42EE-A32B-FCA0AC49232D}"/>
    <hyperlink ref="AE244:AF244" r:id="rId12" display="https://journals.plos.org/plosone/article?id=10.1371/journal.pone.0037407" xr:uid="{2E1FE43A-5706-4B24-8603-C86C84977959}"/>
    <hyperlink ref="AE248:AF248" r:id="rId13" display="https://journals.plos.org/plosone/article?id=10.1371/journal.pone.0037407" xr:uid="{3912FB28-B999-4863-A06E-A9CC376A3E22}"/>
    <hyperlink ref="AE240" r:id="rId14" xr:uid="{65A8D70F-57EE-4264-823F-17C67852234B}"/>
    <hyperlink ref="I112:J112" r:id="rId15" display="(Polar / M.Fitzgerald)" xr:uid="{125CD481-3200-42FC-8910-9E4B600FA5FB}"/>
  </hyperlinks>
  <pageMargins left="0.7" right="0.7" top="0.75" bottom="0.75" header="0.3" footer="0.3"/>
  <pageSetup orientation="portrait" r:id="rId16"/>
  <drawing r:id="rId17"/>
  <legacyDrawing r:id="rId18"/>
  <mc:AlternateContent xmlns:mc="http://schemas.openxmlformats.org/markup-compatibility/2006">
    <mc:Choice Requires="x14">
      <controls>
        <mc:AlternateContent xmlns:mc="http://schemas.openxmlformats.org/markup-compatibility/2006">
          <mc:Choice Requires="x14">
            <control shapeId="8193" r:id="rId19" name="Button 1">
              <controlPr defaultSize="0" autoFill="0" autoPict="0">
                <anchor moveWithCells="1">
                  <from>
                    <xdr:col>2</xdr:col>
                    <xdr:colOff>209550</xdr:colOff>
                    <xdr:row>15</xdr:row>
                    <xdr:rowOff>19050</xdr:rowOff>
                  </from>
                  <to>
                    <xdr:col>3</xdr:col>
                    <xdr:colOff>9525</xdr:colOff>
                    <xdr:row>15</xdr:row>
                    <xdr:rowOff>152400</xdr:rowOff>
                  </to>
                </anchor>
              </controlPr>
            </control>
          </mc:Choice>
        </mc:AlternateContent>
        <mc:AlternateContent xmlns:mc="http://schemas.openxmlformats.org/markup-compatibility/2006">
          <mc:Choice Requires="x14">
            <control shapeId="8194" r:id="rId20" name="Button 2">
              <controlPr defaultSize="0" autoFill="0" autoPict="0">
                <anchor moveWithCells="1">
                  <from>
                    <xdr:col>1</xdr:col>
                    <xdr:colOff>542925</xdr:colOff>
                    <xdr:row>15</xdr:row>
                    <xdr:rowOff>19050</xdr:rowOff>
                  </from>
                  <to>
                    <xdr:col>2</xdr:col>
                    <xdr:colOff>190500</xdr:colOff>
                    <xdr:row>15</xdr:row>
                    <xdr:rowOff>152400</xdr:rowOff>
                  </to>
                </anchor>
              </controlPr>
            </control>
          </mc:Choice>
        </mc:AlternateContent>
        <mc:AlternateContent xmlns:mc="http://schemas.openxmlformats.org/markup-compatibility/2006">
          <mc:Choice Requires="x14">
            <control shapeId="8195" r:id="rId21" name="Check Box 3">
              <controlPr defaultSize="0" autoFill="0" autoLine="0" autoPict="0">
                <anchor moveWithCells="1">
                  <from>
                    <xdr:col>11</xdr:col>
                    <xdr:colOff>9525</xdr:colOff>
                    <xdr:row>56</xdr:row>
                    <xdr:rowOff>133350</xdr:rowOff>
                  </from>
                  <to>
                    <xdr:col>11</xdr:col>
                    <xdr:colOff>533400</xdr:colOff>
                    <xdr:row>58</xdr:row>
                    <xdr:rowOff>9525</xdr:rowOff>
                  </to>
                </anchor>
              </controlPr>
            </control>
          </mc:Choice>
        </mc:AlternateContent>
        <mc:AlternateContent xmlns:mc="http://schemas.openxmlformats.org/markup-compatibility/2006">
          <mc:Choice Requires="x14">
            <control shapeId="8196" r:id="rId22" name="Button 4">
              <controlPr defaultSize="0" print="0" autoFill="0" autoPict="0">
                <anchor moveWithCells="1" sizeWithCells="1">
                  <from>
                    <xdr:col>1</xdr:col>
                    <xdr:colOff>28575</xdr:colOff>
                    <xdr:row>7</xdr:row>
                    <xdr:rowOff>28575</xdr:rowOff>
                  </from>
                  <to>
                    <xdr:col>1</xdr:col>
                    <xdr:colOff>133350</xdr:colOff>
                    <xdr:row>8</xdr:row>
                    <xdr:rowOff>9525</xdr:rowOff>
                  </to>
                </anchor>
              </controlPr>
            </control>
          </mc:Choice>
        </mc:AlternateContent>
        <mc:AlternateContent xmlns:mc="http://schemas.openxmlformats.org/markup-compatibility/2006">
          <mc:Choice Requires="x14">
            <control shapeId="8197" r:id="rId23" name="Button 5">
              <controlPr defaultSize="0" autoFill="0" autoPict="0">
                <anchor moveWithCells="1">
                  <from>
                    <xdr:col>1</xdr:col>
                    <xdr:colOff>28575</xdr:colOff>
                    <xdr:row>6</xdr:row>
                    <xdr:rowOff>9525</xdr:rowOff>
                  </from>
                  <to>
                    <xdr:col>1</xdr:col>
                    <xdr:colOff>133350</xdr:colOff>
                    <xdr:row>6</xdr:row>
                    <xdr:rowOff>161925</xdr:rowOff>
                  </to>
                </anchor>
              </controlPr>
            </control>
          </mc:Choice>
        </mc:AlternateContent>
        <mc:AlternateContent xmlns:mc="http://schemas.openxmlformats.org/markup-compatibility/2006">
          <mc:Choice Requires="x14">
            <control shapeId="8198" r:id="rId24" name="Button 6">
              <controlPr defaultSize="0" print="0" autoFill="0" autoPict="0">
                <anchor moveWithCells="1" sizeWithCells="1">
                  <from>
                    <xdr:col>16</xdr:col>
                    <xdr:colOff>409575</xdr:colOff>
                    <xdr:row>26</xdr:row>
                    <xdr:rowOff>28575</xdr:rowOff>
                  </from>
                  <to>
                    <xdr:col>17</xdr:col>
                    <xdr:colOff>533400</xdr:colOff>
                    <xdr:row>26</xdr:row>
                    <xdr:rowOff>152400</xdr:rowOff>
                  </to>
                </anchor>
              </controlPr>
            </control>
          </mc:Choice>
        </mc:AlternateContent>
        <mc:AlternateContent xmlns:mc="http://schemas.openxmlformats.org/markup-compatibility/2006">
          <mc:Choice Requires="x14">
            <control shapeId="8199" r:id="rId25" name="Check Box 7">
              <controlPr defaultSize="0" autoFill="0" autoLine="0" autoPict="0">
                <anchor moveWithCells="1">
                  <from>
                    <xdr:col>14</xdr:col>
                    <xdr:colOff>47625</xdr:colOff>
                    <xdr:row>46</xdr:row>
                    <xdr:rowOff>142875</xdr:rowOff>
                  </from>
                  <to>
                    <xdr:col>14</xdr:col>
                    <xdr:colOff>476250</xdr:colOff>
                    <xdr:row>48</xdr:row>
                    <xdr:rowOff>9525</xdr:rowOff>
                  </to>
                </anchor>
              </controlPr>
            </control>
          </mc:Choice>
        </mc:AlternateContent>
        <mc:AlternateContent xmlns:mc="http://schemas.openxmlformats.org/markup-compatibility/2006">
          <mc:Choice Requires="x14">
            <control shapeId="8200" r:id="rId26" name="Check Box 8">
              <controlPr defaultSize="0" autoFill="0" autoLine="0" autoPict="0">
                <anchor moveWithCells="1">
                  <from>
                    <xdr:col>1</xdr:col>
                    <xdr:colOff>38100</xdr:colOff>
                    <xdr:row>2</xdr:row>
                    <xdr:rowOff>133350</xdr:rowOff>
                  </from>
                  <to>
                    <xdr:col>1</xdr:col>
                    <xdr:colOff>561975</xdr:colOff>
                    <xdr:row>4</xdr:row>
                    <xdr:rowOff>9525</xdr:rowOff>
                  </to>
                </anchor>
              </controlPr>
            </control>
          </mc:Choice>
        </mc:AlternateContent>
        <mc:AlternateContent xmlns:mc="http://schemas.openxmlformats.org/markup-compatibility/2006">
          <mc:Choice Requires="x14">
            <control shapeId="8201" r:id="rId27" name="Check Box 9">
              <controlPr defaultSize="0" autoFill="0" autoLine="0" autoPict="0">
                <anchor moveWithCells="1">
                  <from>
                    <xdr:col>11</xdr:col>
                    <xdr:colOff>19050</xdr:colOff>
                    <xdr:row>72</xdr:row>
                    <xdr:rowOff>133350</xdr:rowOff>
                  </from>
                  <to>
                    <xdr:col>11</xdr:col>
                    <xdr:colOff>542925</xdr:colOff>
                    <xdr:row>74</xdr:row>
                    <xdr:rowOff>0</xdr:rowOff>
                  </to>
                </anchor>
              </controlPr>
            </control>
          </mc:Choice>
        </mc:AlternateContent>
        <mc:AlternateContent xmlns:mc="http://schemas.openxmlformats.org/markup-compatibility/2006">
          <mc:Choice Requires="x14">
            <control shapeId="8202" r:id="rId28" name="Check Box 10">
              <controlPr defaultSize="0" autoFill="0" autoLine="0" autoPict="0">
                <anchor moveWithCells="1">
                  <from>
                    <xdr:col>11</xdr:col>
                    <xdr:colOff>19050</xdr:colOff>
                    <xdr:row>50</xdr:row>
                    <xdr:rowOff>142875</xdr:rowOff>
                  </from>
                  <to>
                    <xdr:col>11</xdr:col>
                    <xdr:colOff>542925</xdr:colOff>
                    <xdr:row>52</xdr:row>
                    <xdr:rowOff>9525</xdr:rowOff>
                  </to>
                </anchor>
              </controlPr>
            </control>
          </mc:Choice>
        </mc:AlternateContent>
        <mc:AlternateContent xmlns:mc="http://schemas.openxmlformats.org/markup-compatibility/2006">
          <mc:Choice Requires="x14">
            <control shapeId="8203" r:id="rId29" name="Check Box 11">
              <controlPr defaultSize="0" autoFill="0" autoLine="0" autoPict="0">
                <anchor moveWithCells="1">
                  <from>
                    <xdr:col>15</xdr:col>
                    <xdr:colOff>19050</xdr:colOff>
                    <xdr:row>68</xdr:row>
                    <xdr:rowOff>133350</xdr:rowOff>
                  </from>
                  <to>
                    <xdr:col>15</xdr:col>
                    <xdr:colOff>542925</xdr:colOff>
                    <xdr:row>70</xdr:row>
                    <xdr:rowOff>9525</xdr:rowOff>
                  </to>
                </anchor>
              </controlPr>
            </control>
          </mc:Choice>
        </mc:AlternateContent>
        <mc:AlternateContent xmlns:mc="http://schemas.openxmlformats.org/markup-compatibility/2006">
          <mc:Choice Requires="x14">
            <control shapeId="8204" r:id="rId30" name="Check Box 12">
              <controlPr defaultSize="0" autoFill="0" autoLine="0" autoPict="0">
                <anchor moveWithCells="1">
                  <from>
                    <xdr:col>15</xdr:col>
                    <xdr:colOff>542925</xdr:colOff>
                    <xdr:row>47</xdr:row>
                    <xdr:rowOff>152400</xdr:rowOff>
                  </from>
                  <to>
                    <xdr:col>16</xdr:col>
                    <xdr:colOff>552450</xdr:colOff>
                    <xdr:row>48</xdr:row>
                    <xdr:rowOff>161925</xdr:rowOff>
                  </to>
                </anchor>
              </controlPr>
            </control>
          </mc:Choice>
        </mc:AlternateContent>
        <mc:AlternateContent xmlns:mc="http://schemas.openxmlformats.org/markup-compatibility/2006">
          <mc:Choice Requires="x14">
            <control shapeId="8205" r:id="rId31" name="Check Box 13">
              <controlPr defaultSize="0" autoFill="0" autoLine="0" autoPict="0">
                <anchor moveWithCells="1">
                  <from>
                    <xdr:col>2</xdr:col>
                    <xdr:colOff>9525</xdr:colOff>
                    <xdr:row>2</xdr:row>
                    <xdr:rowOff>133350</xdr:rowOff>
                  </from>
                  <to>
                    <xdr:col>2</xdr:col>
                    <xdr:colOff>438150</xdr:colOff>
                    <xdr:row>4</xdr:row>
                    <xdr:rowOff>9525</xdr:rowOff>
                  </to>
                </anchor>
              </controlPr>
            </control>
          </mc:Choice>
        </mc:AlternateContent>
        <mc:AlternateContent xmlns:mc="http://schemas.openxmlformats.org/markup-compatibility/2006">
          <mc:Choice Requires="x14">
            <control shapeId="8206" r:id="rId32" name="Check Box 14">
              <controlPr defaultSize="0" autoFill="0" autoLine="0" autoPict="0">
                <anchor moveWithCells="1">
                  <from>
                    <xdr:col>11</xdr:col>
                    <xdr:colOff>19050</xdr:colOff>
                    <xdr:row>86</xdr:row>
                    <xdr:rowOff>133350</xdr:rowOff>
                  </from>
                  <to>
                    <xdr:col>11</xdr:col>
                    <xdr:colOff>542925</xdr:colOff>
                    <xdr:row>88</xdr:row>
                    <xdr:rowOff>0</xdr:rowOff>
                  </to>
                </anchor>
              </controlPr>
            </control>
          </mc:Choice>
        </mc:AlternateContent>
        <mc:AlternateContent xmlns:mc="http://schemas.openxmlformats.org/markup-compatibility/2006">
          <mc:Choice Requires="x14">
            <control shapeId="8207" r:id="rId33" name="Button 15">
              <controlPr defaultSize="0" autoFill="0" autoPict="0">
                <anchor moveWithCells="1">
                  <from>
                    <xdr:col>11</xdr:col>
                    <xdr:colOff>104775</xdr:colOff>
                    <xdr:row>114</xdr:row>
                    <xdr:rowOff>9525</xdr:rowOff>
                  </from>
                  <to>
                    <xdr:col>11</xdr:col>
                    <xdr:colOff>523875</xdr:colOff>
                    <xdr:row>114</xdr:row>
                    <xdr:rowOff>161925</xdr:rowOff>
                  </to>
                </anchor>
              </controlPr>
            </control>
          </mc:Choice>
        </mc:AlternateContent>
        <mc:AlternateContent xmlns:mc="http://schemas.openxmlformats.org/markup-compatibility/2006">
          <mc:Choice Requires="x14">
            <control shapeId="8208" r:id="rId34" name="Check Box 16">
              <controlPr defaultSize="0" autoFill="0" autoLine="0" autoPict="0">
                <anchor moveWithCells="1">
                  <from>
                    <xdr:col>17</xdr:col>
                    <xdr:colOff>9525</xdr:colOff>
                    <xdr:row>84</xdr:row>
                    <xdr:rowOff>142875</xdr:rowOff>
                  </from>
                  <to>
                    <xdr:col>17</xdr:col>
                    <xdr:colOff>533400</xdr:colOff>
                    <xdr:row>86</xdr:row>
                    <xdr:rowOff>19050</xdr:rowOff>
                  </to>
                </anchor>
              </controlPr>
            </control>
          </mc:Choice>
        </mc:AlternateContent>
        <mc:AlternateContent xmlns:mc="http://schemas.openxmlformats.org/markup-compatibility/2006">
          <mc:Choice Requires="x14">
            <control shapeId="8209" r:id="rId35" name="Check Box 17">
              <controlPr defaultSize="0" autoFill="0" autoLine="0" autoPict="0">
                <anchor moveWithCells="1">
                  <from>
                    <xdr:col>12</xdr:col>
                    <xdr:colOff>19050</xdr:colOff>
                    <xdr:row>95</xdr:row>
                    <xdr:rowOff>123825</xdr:rowOff>
                  </from>
                  <to>
                    <xdr:col>14</xdr:col>
                    <xdr:colOff>19050</xdr:colOff>
                    <xdr:row>97</xdr:row>
                    <xdr:rowOff>38100</xdr:rowOff>
                  </to>
                </anchor>
              </controlPr>
            </control>
          </mc:Choice>
        </mc:AlternateContent>
        <mc:AlternateContent xmlns:mc="http://schemas.openxmlformats.org/markup-compatibility/2006">
          <mc:Choice Requires="x14">
            <control shapeId="8210" r:id="rId36" name="Check Box 18">
              <controlPr defaultSize="0" autoFill="0" autoLine="0" autoPict="0">
                <anchor moveWithCells="1">
                  <from>
                    <xdr:col>12</xdr:col>
                    <xdr:colOff>0</xdr:colOff>
                    <xdr:row>98</xdr:row>
                    <xdr:rowOff>142875</xdr:rowOff>
                  </from>
                  <to>
                    <xdr:col>13</xdr:col>
                    <xdr:colOff>333375</xdr:colOff>
                    <xdr:row>100</xdr:row>
                    <xdr:rowOff>9525</xdr:rowOff>
                  </to>
                </anchor>
              </controlPr>
            </control>
          </mc:Choice>
        </mc:AlternateContent>
        <mc:AlternateContent xmlns:mc="http://schemas.openxmlformats.org/markup-compatibility/2006">
          <mc:Choice Requires="x14">
            <control shapeId="8211" r:id="rId37" name="Check Box 19">
              <controlPr defaultSize="0" autoFill="0" autoLine="0" autoPict="0">
                <anchor moveWithCells="1">
                  <from>
                    <xdr:col>12</xdr:col>
                    <xdr:colOff>0</xdr:colOff>
                    <xdr:row>100</xdr:row>
                    <xdr:rowOff>142875</xdr:rowOff>
                  </from>
                  <to>
                    <xdr:col>13</xdr:col>
                    <xdr:colOff>333375</xdr:colOff>
                    <xdr:row>102</xdr:row>
                    <xdr:rowOff>28575</xdr:rowOff>
                  </to>
                </anchor>
              </controlPr>
            </control>
          </mc:Choice>
        </mc:AlternateContent>
        <mc:AlternateContent xmlns:mc="http://schemas.openxmlformats.org/markup-compatibility/2006">
          <mc:Choice Requires="x14">
            <control shapeId="8212" r:id="rId38" name="Check Box 20">
              <controlPr defaultSize="0" autoFill="0" autoLine="0" autoPict="0">
                <anchor moveWithCells="1">
                  <from>
                    <xdr:col>12</xdr:col>
                    <xdr:colOff>0</xdr:colOff>
                    <xdr:row>99</xdr:row>
                    <xdr:rowOff>142875</xdr:rowOff>
                  </from>
                  <to>
                    <xdr:col>13</xdr:col>
                    <xdr:colOff>419100</xdr:colOff>
                    <xdr:row>101</xdr:row>
                    <xdr:rowOff>28575</xdr:rowOff>
                  </to>
                </anchor>
              </controlPr>
            </control>
          </mc:Choice>
        </mc:AlternateContent>
        <mc:AlternateContent xmlns:mc="http://schemas.openxmlformats.org/markup-compatibility/2006">
          <mc:Choice Requires="x14">
            <control shapeId="8213" r:id="rId39" name="Button 21">
              <controlPr defaultSize="0" autoFill="0" autoPict="0">
                <anchor moveWithCells="1">
                  <from>
                    <xdr:col>12</xdr:col>
                    <xdr:colOff>171450</xdr:colOff>
                    <xdr:row>74</xdr:row>
                    <xdr:rowOff>161925</xdr:rowOff>
                  </from>
                  <to>
                    <xdr:col>13</xdr:col>
                    <xdr:colOff>438150</xdr:colOff>
                    <xdr:row>75</xdr:row>
                    <xdr:rowOff>152400</xdr:rowOff>
                  </to>
                </anchor>
              </controlPr>
            </control>
          </mc:Choice>
        </mc:AlternateContent>
        <mc:AlternateContent xmlns:mc="http://schemas.openxmlformats.org/markup-compatibility/2006">
          <mc:Choice Requires="x14">
            <control shapeId="8214" r:id="rId40" name="Check Box 22">
              <controlPr defaultSize="0" autoFill="0" autoLine="0" autoPict="0">
                <anchor moveWithCells="1">
                  <from>
                    <xdr:col>11</xdr:col>
                    <xdr:colOff>9525</xdr:colOff>
                    <xdr:row>66</xdr:row>
                    <xdr:rowOff>133350</xdr:rowOff>
                  </from>
                  <to>
                    <xdr:col>11</xdr:col>
                    <xdr:colOff>533400</xdr:colOff>
                    <xdr:row>68</xdr:row>
                    <xdr:rowOff>0</xdr:rowOff>
                  </to>
                </anchor>
              </controlPr>
            </control>
          </mc:Choice>
        </mc:AlternateContent>
        <mc:AlternateContent xmlns:mc="http://schemas.openxmlformats.org/markup-compatibility/2006">
          <mc:Choice Requires="x14">
            <control shapeId="8215" r:id="rId41" name="Check Box 23">
              <controlPr defaultSize="0" autoFill="0" autoLine="0" autoPict="0">
                <anchor moveWithCells="1">
                  <from>
                    <xdr:col>7</xdr:col>
                    <xdr:colOff>66675</xdr:colOff>
                    <xdr:row>70</xdr:row>
                    <xdr:rowOff>133350</xdr:rowOff>
                  </from>
                  <to>
                    <xdr:col>7</xdr:col>
                    <xdr:colOff>466725</xdr:colOff>
                    <xdr:row>72</xdr:row>
                    <xdr:rowOff>0</xdr:rowOff>
                  </to>
                </anchor>
              </controlPr>
            </control>
          </mc:Choice>
        </mc:AlternateContent>
        <mc:AlternateContent xmlns:mc="http://schemas.openxmlformats.org/markup-compatibility/2006">
          <mc:Choice Requires="x14">
            <control shapeId="8216" r:id="rId42" name="Check Box 24">
              <controlPr defaultSize="0" autoFill="0" autoLine="0" autoPict="0">
                <anchor moveWithCells="1">
                  <from>
                    <xdr:col>11</xdr:col>
                    <xdr:colOff>19050</xdr:colOff>
                    <xdr:row>78</xdr:row>
                    <xdr:rowOff>133350</xdr:rowOff>
                  </from>
                  <to>
                    <xdr:col>11</xdr:col>
                    <xdr:colOff>542925</xdr:colOff>
                    <xdr:row>80</xdr:row>
                    <xdr:rowOff>9525</xdr:rowOff>
                  </to>
                </anchor>
              </controlPr>
            </control>
          </mc:Choice>
        </mc:AlternateContent>
        <mc:AlternateContent xmlns:mc="http://schemas.openxmlformats.org/markup-compatibility/2006">
          <mc:Choice Requires="x14">
            <control shapeId="8217" r:id="rId43" name="Check Box 25">
              <controlPr defaultSize="0" autoFill="0" autoLine="0" autoPict="0">
                <anchor moveWithCells="1">
                  <from>
                    <xdr:col>3</xdr:col>
                    <xdr:colOff>19050</xdr:colOff>
                    <xdr:row>76</xdr:row>
                    <xdr:rowOff>161925</xdr:rowOff>
                  </from>
                  <to>
                    <xdr:col>4</xdr:col>
                    <xdr:colOff>552450</xdr:colOff>
                    <xdr:row>77</xdr:row>
                    <xdr:rowOff>161925</xdr:rowOff>
                  </to>
                </anchor>
              </controlPr>
            </control>
          </mc:Choice>
        </mc:AlternateContent>
        <mc:AlternateContent xmlns:mc="http://schemas.openxmlformats.org/markup-compatibility/2006">
          <mc:Choice Requires="x14">
            <control shapeId="8218" r:id="rId44" name="Check Box 26">
              <controlPr defaultSize="0" autoFill="0" autoLine="0" autoPict="0">
                <anchor moveWithCells="1">
                  <from>
                    <xdr:col>9</xdr:col>
                    <xdr:colOff>19050</xdr:colOff>
                    <xdr:row>76</xdr:row>
                    <xdr:rowOff>161925</xdr:rowOff>
                  </from>
                  <to>
                    <xdr:col>10</xdr:col>
                    <xdr:colOff>552450</xdr:colOff>
                    <xdr:row>77</xdr:row>
                    <xdr:rowOff>161925</xdr:rowOff>
                  </to>
                </anchor>
              </controlPr>
            </control>
          </mc:Choice>
        </mc:AlternateContent>
        <mc:AlternateContent xmlns:mc="http://schemas.openxmlformats.org/markup-compatibility/2006">
          <mc:Choice Requires="x14">
            <control shapeId="8219" r:id="rId45" name="Check Box 27">
              <controlPr defaultSize="0" autoFill="0" autoLine="0" autoPict="0">
                <anchor moveWithCells="1">
                  <from>
                    <xdr:col>3</xdr:col>
                    <xdr:colOff>114300</xdr:colOff>
                    <xdr:row>15</xdr:row>
                    <xdr:rowOff>9525</xdr:rowOff>
                  </from>
                  <to>
                    <xdr:col>4</xdr:col>
                    <xdr:colOff>76200</xdr:colOff>
                    <xdr:row>15</xdr:row>
                    <xdr:rowOff>142875</xdr:rowOff>
                  </to>
                </anchor>
              </controlPr>
            </control>
          </mc:Choice>
        </mc:AlternateContent>
        <mc:AlternateContent xmlns:mc="http://schemas.openxmlformats.org/markup-compatibility/2006">
          <mc:Choice Requires="x14">
            <control shapeId="8220" r:id="rId46" name="Check Box 28">
              <controlPr defaultSize="0" autoFill="0" autoLine="0" autoPict="0">
                <anchor moveWithCells="1">
                  <from>
                    <xdr:col>4</xdr:col>
                    <xdr:colOff>66675</xdr:colOff>
                    <xdr:row>15</xdr:row>
                    <xdr:rowOff>9525</xdr:rowOff>
                  </from>
                  <to>
                    <xdr:col>5</xdr:col>
                    <xdr:colOff>9525</xdr:colOff>
                    <xdr:row>15</xdr:row>
                    <xdr:rowOff>142875</xdr:rowOff>
                  </to>
                </anchor>
              </controlPr>
            </control>
          </mc:Choice>
        </mc:AlternateContent>
        <mc:AlternateContent xmlns:mc="http://schemas.openxmlformats.org/markup-compatibility/2006">
          <mc:Choice Requires="x14">
            <control shapeId="8221" r:id="rId47" name="Check Box 29">
              <controlPr defaultSize="0" autoFill="0" autoLine="0" autoPict="0">
                <anchor moveWithCells="1">
                  <from>
                    <xdr:col>14</xdr:col>
                    <xdr:colOff>190500</xdr:colOff>
                    <xdr:row>79</xdr:row>
                    <xdr:rowOff>152400</xdr:rowOff>
                  </from>
                  <to>
                    <xdr:col>14</xdr:col>
                    <xdr:colOff>428625</xdr:colOff>
                    <xdr:row>81</xdr:row>
                    <xdr:rowOff>9525</xdr:rowOff>
                  </to>
                </anchor>
              </controlPr>
            </control>
          </mc:Choice>
        </mc:AlternateContent>
        <mc:AlternateContent xmlns:mc="http://schemas.openxmlformats.org/markup-compatibility/2006">
          <mc:Choice Requires="x14">
            <control shapeId="8222" r:id="rId48" name="Check Box 30">
              <controlPr defaultSize="0" autoFill="0" autoLine="0" autoPict="0">
                <anchor moveWithCells="1">
                  <from>
                    <xdr:col>14</xdr:col>
                    <xdr:colOff>190500</xdr:colOff>
                    <xdr:row>85</xdr:row>
                    <xdr:rowOff>152400</xdr:rowOff>
                  </from>
                  <to>
                    <xdr:col>14</xdr:col>
                    <xdr:colOff>428625</xdr:colOff>
                    <xdr:row>87</xdr:row>
                    <xdr:rowOff>9525</xdr:rowOff>
                  </to>
                </anchor>
              </controlPr>
            </control>
          </mc:Choice>
        </mc:AlternateContent>
        <mc:AlternateContent xmlns:mc="http://schemas.openxmlformats.org/markup-compatibility/2006">
          <mc:Choice Requires="x14">
            <control shapeId="8223" r:id="rId49" name="Check Box 31">
              <controlPr defaultSize="0" autoFill="0" autoLine="0" autoPict="0">
                <anchor moveWithCells="1">
                  <from>
                    <xdr:col>14</xdr:col>
                    <xdr:colOff>190500</xdr:colOff>
                    <xdr:row>92</xdr:row>
                    <xdr:rowOff>152400</xdr:rowOff>
                  </from>
                  <to>
                    <xdr:col>14</xdr:col>
                    <xdr:colOff>428625</xdr:colOff>
                    <xdr:row>94</xdr:row>
                    <xdr:rowOff>9525</xdr:rowOff>
                  </to>
                </anchor>
              </controlPr>
            </control>
          </mc:Choice>
        </mc:AlternateContent>
        <mc:AlternateContent xmlns:mc="http://schemas.openxmlformats.org/markup-compatibility/2006">
          <mc:Choice Requires="x14">
            <control shapeId="8224" r:id="rId50" name="Option Button 32">
              <controlPr defaultSize="0" autoFill="0" autoLine="0" autoPict="0">
                <anchor moveWithCells="1">
                  <from>
                    <xdr:col>18</xdr:col>
                    <xdr:colOff>38100</xdr:colOff>
                    <xdr:row>6</xdr:row>
                    <xdr:rowOff>9525</xdr:rowOff>
                  </from>
                  <to>
                    <xdr:col>18</xdr:col>
                    <xdr:colOff>590550</xdr:colOff>
                    <xdr:row>6</xdr:row>
                    <xdr:rowOff>152400</xdr:rowOff>
                  </to>
                </anchor>
              </controlPr>
            </control>
          </mc:Choice>
        </mc:AlternateContent>
        <mc:AlternateContent xmlns:mc="http://schemas.openxmlformats.org/markup-compatibility/2006">
          <mc:Choice Requires="x14">
            <control shapeId="8225" r:id="rId51" name="Option Button 33">
              <controlPr defaultSize="0" autoFill="0" autoLine="0" autoPict="0">
                <anchor moveWithCells="1">
                  <from>
                    <xdr:col>18</xdr:col>
                    <xdr:colOff>38100</xdr:colOff>
                    <xdr:row>5</xdr:row>
                    <xdr:rowOff>9525</xdr:rowOff>
                  </from>
                  <to>
                    <xdr:col>18</xdr:col>
                    <xdr:colOff>590550</xdr:colOff>
                    <xdr:row>5</xdr:row>
                    <xdr:rowOff>161925</xdr:rowOff>
                  </to>
                </anchor>
              </controlPr>
            </control>
          </mc:Choice>
        </mc:AlternateContent>
        <mc:AlternateContent xmlns:mc="http://schemas.openxmlformats.org/markup-compatibility/2006">
          <mc:Choice Requires="x14">
            <control shapeId="8226" r:id="rId52" name="Option Button 34">
              <controlPr defaultSize="0" autoFill="0" autoLine="0" autoPict="0">
                <anchor moveWithCells="1">
                  <from>
                    <xdr:col>4</xdr:col>
                    <xdr:colOff>552450</xdr:colOff>
                    <xdr:row>15</xdr:row>
                    <xdr:rowOff>0</xdr:rowOff>
                  </from>
                  <to>
                    <xdr:col>5</xdr:col>
                    <xdr:colOff>523875</xdr:colOff>
                    <xdr:row>15</xdr:row>
                    <xdr:rowOff>161925</xdr:rowOff>
                  </to>
                </anchor>
              </controlPr>
            </control>
          </mc:Choice>
        </mc:AlternateContent>
        <mc:AlternateContent xmlns:mc="http://schemas.openxmlformats.org/markup-compatibility/2006">
          <mc:Choice Requires="x14">
            <control shapeId="8227" r:id="rId53" name="Option Button 35">
              <controlPr defaultSize="0" autoFill="0" autoLine="0" autoPict="0">
                <anchor moveWithCells="1">
                  <from>
                    <xdr:col>5</xdr:col>
                    <xdr:colOff>533400</xdr:colOff>
                    <xdr:row>15</xdr:row>
                    <xdr:rowOff>0</xdr:rowOff>
                  </from>
                  <to>
                    <xdr:col>6</xdr:col>
                    <xdr:colOff>523875</xdr:colOff>
                    <xdr:row>15</xdr:row>
                    <xdr:rowOff>161925</xdr:rowOff>
                  </to>
                </anchor>
              </controlPr>
            </control>
          </mc:Choice>
        </mc:AlternateContent>
        <mc:AlternateContent xmlns:mc="http://schemas.openxmlformats.org/markup-compatibility/2006">
          <mc:Choice Requires="x14">
            <control shapeId="8228" r:id="rId54" name="Group Box 36">
              <controlPr defaultSize="0" autoFill="0" autoPict="0">
                <anchor moveWithCells="1">
                  <from>
                    <xdr:col>17</xdr:col>
                    <xdr:colOff>523875</xdr:colOff>
                    <xdr:row>4</xdr:row>
                    <xdr:rowOff>133350</xdr:rowOff>
                  </from>
                  <to>
                    <xdr:col>19</xdr:col>
                    <xdr:colOff>38100</xdr:colOff>
                    <xdr:row>6</xdr:row>
                    <xdr:rowOff>161925</xdr:rowOff>
                  </to>
                </anchor>
              </controlPr>
            </control>
          </mc:Choice>
        </mc:AlternateContent>
        <mc:AlternateContent xmlns:mc="http://schemas.openxmlformats.org/markup-compatibility/2006">
          <mc:Choice Requires="x14">
            <control shapeId="8229" r:id="rId55" name="Button 37">
              <controlPr defaultSize="0" autoFill="0" autoPict="0">
                <anchor moveWithCells="1">
                  <from>
                    <xdr:col>13</xdr:col>
                    <xdr:colOff>76200</xdr:colOff>
                    <xdr:row>91</xdr:row>
                    <xdr:rowOff>28575</xdr:rowOff>
                  </from>
                  <to>
                    <xdr:col>13</xdr:col>
                    <xdr:colOff>533400</xdr:colOff>
                    <xdr:row>92</xdr:row>
                    <xdr:rowOff>0</xdr:rowOff>
                  </to>
                </anchor>
              </controlPr>
            </control>
          </mc:Choice>
        </mc:AlternateContent>
        <mc:AlternateContent xmlns:mc="http://schemas.openxmlformats.org/markup-compatibility/2006">
          <mc:Choice Requires="x14">
            <control shapeId="8230" r:id="rId56" name="Check Box 38">
              <controlPr defaultSize="0" autoFill="0" autoLine="0" autoPict="0">
                <anchor moveWithCells="1">
                  <from>
                    <xdr:col>1</xdr:col>
                    <xdr:colOff>76200</xdr:colOff>
                    <xdr:row>109</xdr:row>
                    <xdr:rowOff>9525</xdr:rowOff>
                  </from>
                  <to>
                    <xdr:col>1</xdr:col>
                    <xdr:colOff>504825</xdr:colOff>
                    <xdr:row>110</xdr:row>
                    <xdr:rowOff>0</xdr:rowOff>
                  </to>
                </anchor>
              </controlPr>
            </control>
          </mc:Choice>
        </mc:AlternateContent>
        <mc:AlternateContent xmlns:mc="http://schemas.openxmlformats.org/markup-compatibility/2006">
          <mc:Choice Requires="x14">
            <control shapeId="8231" r:id="rId57" name="Button 39">
              <controlPr defaultSize="0" autoFill="0" autoPict="0">
                <anchor moveWithCells="1">
                  <from>
                    <xdr:col>14</xdr:col>
                    <xdr:colOff>47625</xdr:colOff>
                    <xdr:row>91</xdr:row>
                    <xdr:rowOff>28575</xdr:rowOff>
                  </from>
                  <to>
                    <xdr:col>14</xdr:col>
                    <xdr:colOff>504825</xdr:colOff>
                    <xdr:row>92</xdr:row>
                    <xdr:rowOff>0</xdr:rowOff>
                  </to>
                </anchor>
              </controlPr>
            </control>
          </mc:Choice>
        </mc:AlternateContent>
        <mc:AlternateContent xmlns:mc="http://schemas.openxmlformats.org/markup-compatibility/2006">
          <mc:Choice Requires="x14">
            <control shapeId="8232" r:id="rId58" name="Button 40">
              <controlPr defaultSize="0" autoFill="0" autoPict="0">
                <anchor moveWithCells="1">
                  <from>
                    <xdr:col>12</xdr:col>
                    <xdr:colOff>104775</xdr:colOff>
                    <xdr:row>91</xdr:row>
                    <xdr:rowOff>28575</xdr:rowOff>
                  </from>
                  <to>
                    <xdr:col>12</xdr:col>
                    <xdr:colOff>561975</xdr:colOff>
                    <xdr:row>92</xdr:row>
                    <xdr:rowOff>0</xdr:rowOff>
                  </to>
                </anchor>
              </controlPr>
            </control>
          </mc:Choice>
        </mc:AlternateContent>
        <mc:AlternateContent xmlns:mc="http://schemas.openxmlformats.org/markup-compatibility/2006">
          <mc:Choice Requires="x14">
            <control shapeId="8233" r:id="rId59" name="Check Box 41">
              <controlPr defaultSize="0" autoFill="0" autoLine="0" autoPict="0">
                <anchor moveWithCells="1">
                  <from>
                    <xdr:col>15</xdr:col>
                    <xdr:colOff>542925</xdr:colOff>
                    <xdr:row>45</xdr:row>
                    <xdr:rowOff>161925</xdr:rowOff>
                  </from>
                  <to>
                    <xdr:col>16</xdr:col>
                    <xdr:colOff>552450</xdr:colOff>
                    <xdr:row>46</xdr:row>
                    <xdr:rowOff>161925</xdr:rowOff>
                  </to>
                </anchor>
              </controlPr>
            </control>
          </mc:Choice>
        </mc:AlternateContent>
        <mc:AlternateContent xmlns:mc="http://schemas.openxmlformats.org/markup-compatibility/2006">
          <mc:Choice Requires="x14">
            <control shapeId="8234" r:id="rId60" name="Check Box 42">
              <controlPr defaultSize="0" autoFill="0" autoLine="0" autoPict="0">
                <anchor moveWithCells="1">
                  <from>
                    <xdr:col>15</xdr:col>
                    <xdr:colOff>542925</xdr:colOff>
                    <xdr:row>46</xdr:row>
                    <xdr:rowOff>161925</xdr:rowOff>
                  </from>
                  <to>
                    <xdr:col>16</xdr:col>
                    <xdr:colOff>552450</xdr:colOff>
                    <xdr:row>47</xdr:row>
                    <xdr:rowOff>161925</xdr:rowOff>
                  </to>
                </anchor>
              </controlPr>
            </control>
          </mc:Choice>
        </mc:AlternateContent>
        <mc:AlternateContent xmlns:mc="http://schemas.openxmlformats.org/markup-compatibility/2006">
          <mc:Choice Requires="x14">
            <control shapeId="8235" r:id="rId61" name="Option Button 43">
              <controlPr defaultSize="0" autoFill="0" autoLine="0" autoPict="0">
                <anchor moveWithCells="1">
                  <from>
                    <xdr:col>2</xdr:col>
                    <xdr:colOff>447675</xdr:colOff>
                    <xdr:row>84</xdr:row>
                    <xdr:rowOff>0</xdr:rowOff>
                  </from>
                  <to>
                    <xdr:col>4</xdr:col>
                    <xdr:colOff>9525</xdr:colOff>
                    <xdr:row>84</xdr:row>
                    <xdr:rowOff>161925</xdr:rowOff>
                  </to>
                </anchor>
              </controlPr>
            </control>
          </mc:Choice>
        </mc:AlternateContent>
        <mc:AlternateContent xmlns:mc="http://schemas.openxmlformats.org/markup-compatibility/2006">
          <mc:Choice Requires="x14">
            <control shapeId="8236" r:id="rId62" name="Option Button 44">
              <controlPr defaultSize="0" autoFill="0" autoLine="0" autoPict="0">
                <anchor moveWithCells="1">
                  <from>
                    <xdr:col>4</xdr:col>
                    <xdr:colOff>466725</xdr:colOff>
                    <xdr:row>84</xdr:row>
                    <xdr:rowOff>0</xdr:rowOff>
                  </from>
                  <to>
                    <xdr:col>6</xdr:col>
                    <xdr:colOff>9525</xdr:colOff>
                    <xdr:row>84</xdr:row>
                    <xdr:rowOff>161925</xdr:rowOff>
                  </to>
                </anchor>
              </controlPr>
            </control>
          </mc:Choice>
        </mc:AlternateContent>
        <mc:AlternateContent xmlns:mc="http://schemas.openxmlformats.org/markup-compatibility/2006">
          <mc:Choice Requires="x14">
            <control shapeId="8237" r:id="rId63" name="Option Button 45">
              <controlPr defaultSize="0" autoFill="0" autoLine="0" autoPict="0">
                <anchor moveWithCells="1">
                  <from>
                    <xdr:col>6</xdr:col>
                    <xdr:colOff>504825</xdr:colOff>
                    <xdr:row>84</xdr:row>
                    <xdr:rowOff>0</xdr:rowOff>
                  </from>
                  <to>
                    <xdr:col>8</xdr:col>
                    <xdr:colOff>66675</xdr:colOff>
                    <xdr:row>84</xdr:row>
                    <xdr:rowOff>161925</xdr:rowOff>
                  </to>
                </anchor>
              </controlPr>
            </control>
          </mc:Choice>
        </mc:AlternateContent>
        <mc:AlternateContent xmlns:mc="http://schemas.openxmlformats.org/markup-compatibility/2006">
          <mc:Choice Requires="x14">
            <control shapeId="8238" r:id="rId64" name="Option Button 46">
              <controlPr defaultSize="0" autoFill="0" autoLine="0" autoPict="0">
                <anchor moveWithCells="1">
                  <from>
                    <xdr:col>8</xdr:col>
                    <xdr:colOff>438150</xdr:colOff>
                    <xdr:row>84</xdr:row>
                    <xdr:rowOff>0</xdr:rowOff>
                  </from>
                  <to>
                    <xdr:col>10</xdr:col>
                    <xdr:colOff>0</xdr:colOff>
                    <xdr:row>84</xdr:row>
                    <xdr:rowOff>161925</xdr:rowOff>
                  </to>
                </anchor>
              </controlPr>
            </control>
          </mc:Choice>
        </mc:AlternateContent>
        <mc:AlternateContent xmlns:mc="http://schemas.openxmlformats.org/markup-compatibility/2006">
          <mc:Choice Requires="x14">
            <control shapeId="8239" r:id="rId65" name="Check Box 47">
              <controlPr defaultSize="0" autoFill="0" autoLine="0" autoPict="0">
                <anchor moveWithCells="1">
                  <from>
                    <xdr:col>1</xdr:col>
                    <xdr:colOff>38100</xdr:colOff>
                    <xdr:row>78</xdr:row>
                    <xdr:rowOff>133350</xdr:rowOff>
                  </from>
                  <to>
                    <xdr:col>1</xdr:col>
                    <xdr:colOff>466725</xdr:colOff>
                    <xdr:row>80</xdr:row>
                    <xdr:rowOff>9525</xdr:rowOff>
                  </to>
                </anchor>
              </controlPr>
            </control>
          </mc:Choice>
        </mc:AlternateContent>
        <mc:AlternateContent xmlns:mc="http://schemas.openxmlformats.org/markup-compatibility/2006">
          <mc:Choice Requires="x14">
            <control shapeId="8240" r:id="rId66" name="Check Box 48">
              <controlPr defaultSize="0" autoFill="0" autoLine="0" autoPict="0">
                <anchor moveWithCells="1">
                  <from>
                    <xdr:col>14</xdr:col>
                    <xdr:colOff>38100</xdr:colOff>
                    <xdr:row>95</xdr:row>
                    <xdr:rowOff>142875</xdr:rowOff>
                  </from>
                  <to>
                    <xdr:col>14</xdr:col>
                    <xdr:colOff>533400</xdr:colOff>
                    <xdr:row>97</xdr:row>
                    <xdr:rowOff>19050</xdr:rowOff>
                  </to>
                </anchor>
              </controlPr>
            </control>
          </mc:Choice>
        </mc:AlternateContent>
        <mc:AlternateContent xmlns:mc="http://schemas.openxmlformats.org/markup-compatibility/2006">
          <mc:Choice Requires="x14">
            <control shapeId="8241" r:id="rId67" name="Group Box 49">
              <controlPr defaultSize="0" autoFill="0" autoPict="0">
                <anchor moveWithCells="1">
                  <from>
                    <xdr:col>4</xdr:col>
                    <xdr:colOff>485775</xdr:colOff>
                    <xdr:row>14</xdr:row>
                    <xdr:rowOff>76200</xdr:rowOff>
                  </from>
                  <to>
                    <xdr:col>7</xdr:col>
                    <xdr:colOff>95250</xdr:colOff>
                    <xdr:row>16</xdr:row>
                    <xdr:rowOff>66675</xdr:rowOff>
                  </to>
                </anchor>
              </controlPr>
            </control>
          </mc:Choice>
        </mc:AlternateContent>
        <mc:AlternateContent xmlns:mc="http://schemas.openxmlformats.org/markup-compatibility/2006">
          <mc:Choice Requires="x14">
            <control shapeId="8242" r:id="rId68" name="Check Box 50">
              <controlPr defaultSize="0" autoFill="0" autoLine="0" autoPict="0" altText="Metric Distance">
                <anchor moveWithCells="1">
                  <from>
                    <xdr:col>1</xdr:col>
                    <xdr:colOff>76200</xdr:colOff>
                    <xdr:row>104</xdr:row>
                    <xdr:rowOff>0</xdr:rowOff>
                  </from>
                  <to>
                    <xdr:col>3</xdr:col>
                    <xdr:colOff>66675</xdr:colOff>
                    <xdr:row>104</xdr:row>
                    <xdr:rowOff>161925</xdr:rowOff>
                  </to>
                </anchor>
              </controlPr>
            </control>
          </mc:Choice>
        </mc:AlternateContent>
        <mc:AlternateContent xmlns:mc="http://schemas.openxmlformats.org/markup-compatibility/2006">
          <mc:Choice Requires="x14">
            <control shapeId="8243" r:id="rId69" name="Check Box 51">
              <controlPr defaultSize="0" autoFill="0" autoLine="0" autoPict="0">
                <anchor moveWithCells="1">
                  <from>
                    <xdr:col>10</xdr:col>
                    <xdr:colOff>390525</xdr:colOff>
                    <xdr:row>46</xdr:row>
                    <xdr:rowOff>0</xdr:rowOff>
                  </from>
                  <to>
                    <xdr:col>11</xdr:col>
                    <xdr:colOff>561975</xdr:colOff>
                    <xdr:row>46</xdr:row>
                    <xdr:rowOff>171450</xdr:rowOff>
                  </to>
                </anchor>
              </controlPr>
            </control>
          </mc:Choice>
        </mc:AlternateContent>
        <mc:AlternateContent xmlns:mc="http://schemas.openxmlformats.org/markup-compatibility/2006">
          <mc:Choice Requires="x14">
            <control shapeId="8244" r:id="rId70" name="Button 52">
              <controlPr defaultSize="0" print="0" autoFill="0" autoPict="0">
                <anchor moveWithCells="1" sizeWithCells="1">
                  <from>
                    <xdr:col>1</xdr:col>
                    <xdr:colOff>38100</xdr:colOff>
                    <xdr:row>9</xdr:row>
                    <xdr:rowOff>28575</xdr:rowOff>
                  </from>
                  <to>
                    <xdr:col>2</xdr:col>
                    <xdr:colOff>123825</xdr:colOff>
                    <xdr:row>9</xdr:row>
                    <xdr:rowOff>152400</xdr:rowOff>
                  </to>
                </anchor>
              </controlPr>
            </control>
          </mc:Choice>
        </mc:AlternateContent>
        <mc:AlternateContent xmlns:mc="http://schemas.openxmlformats.org/markup-compatibility/2006">
          <mc:Choice Requires="x14">
            <control shapeId="8245" r:id="rId71" name="Button 53">
              <controlPr defaultSize="0" print="0" autoFill="0" autoPict="0">
                <anchor moveWithCells="1" sizeWithCells="1">
                  <from>
                    <xdr:col>2</xdr:col>
                    <xdr:colOff>152400</xdr:colOff>
                    <xdr:row>9</xdr:row>
                    <xdr:rowOff>28575</xdr:rowOff>
                  </from>
                  <to>
                    <xdr:col>2</xdr:col>
                    <xdr:colOff>533400</xdr:colOff>
                    <xdr:row>9</xdr:row>
                    <xdr:rowOff>152400</xdr:rowOff>
                  </to>
                </anchor>
              </controlPr>
            </control>
          </mc:Choice>
        </mc:AlternateContent>
        <mc:AlternateContent xmlns:mc="http://schemas.openxmlformats.org/markup-compatibility/2006">
          <mc:Choice Requires="x14">
            <control shapeId="8246" r:id="rId72" name="Button 54">
              <controlPr defaultSize="0" print="0" autoFill="0" autoPict="0">
                <anchor moveWithCells="1" sizeWithCells="1">
                  <from>
                    <xdr:col>1</xdr:col>
                    <xdr:colOff>66675</xdr:colOff>
                    <xdr:row>48</xdr:row>
                    <xdr:rowOff>38100</xdr:rowOff>
                  </from>
                  <to>
                    <xdr:col>1</xdr:col>
                    <xdr:colOff>657225</xdr:colOff>
                    <xdr:row>49</xdr:row>
                    <xdr:rowOff>142875</xdr:rowOff>
                  </to>
                </anchor>
              </controlPr>
            </control>
          </mc:Choice>
        </mc:AlternateContent>
        <mc:AlternateContent xmlns:mc="http://schemas.openxmlformats.org/markup-compatibility/2006">
          <mc:Choice Requires="x14">
            <control shapeId="8247" r:id="rId73" name="Check Box 55">
              <controlPr defaultSize="0" autoFill="0" autoLine="0" autoPict="0">
                <anchor moveWithCells="1">
                  <from>
                    <xdr:col>1</xdr:col>
                    <xdr:colOff>38100</xdr:colOff>
                    <xdr:row>55</xdr:row>
                    <xdr:rowOff>0</xdr:rowOff>
                  </from>
                  <to>
                    <xdr:col>1</xdr:col>
                    <xdr:colOff>695325</xdr:colOff>
                    <xdr:row>55</xdr:row>
                    <xdr:rowOff>161925</xdr:rowOff>
                  </to>
                </anchor>
              </controlPr>
            </control>
          </mc:Choice>
        </mc:AlternateContent>
        <mc:AlternateContent xmlns:mc="http://schemas.openxmlformats.org/markup-compatibility/2006">
          <mc:Choice Requires="x14">
            <control shapeId="8248" r:id="rId74" name="Group Box 56">
              <controlPr defaultSize="0" autoFill="0" autoPict="0">
                <anchor moveWithCells="1">
                  <from>
                    <xdr:col>2</xdr:col>
                    <xdr:colOff>381000</xdr:colOff>
                    <xdr:row>83</xdr:row>
                    <xdr:rowOff>104775</xdr:rowOff>
                  </from>
                  <to>
                    <xdr:col>10</xdr:col>
                    <xdr:colOff>123825</xdr:colOff>
                    <xdr:row>85</xdr:row>
                    <xdr:rowOff>57150</xdr:rowOff>
                  </to>
                </anchor>
              </controlPr>
            </control>
          </mc:Choice>
        </mc:AlternateContent>
        <mc:AlternateContent xmlns:mc="http://schemas.openxmlformats.org/markup-compatibility/2006">
          <mc:Choice Requires="x14">
            <control shapeId="8249" r:id="rId75" name="Check Box 57">
              <controlPr defaultSize="0" autoFill="0" autoLine="0" autoPict="0">
                <anchor moveWithCells="1">
                  <from>
                    <xdr:col>12</xdr:col>
                    <xdr:colOff>628650</xdr:colOff>
                    <xdr:row>2</xdr:row>
                    <xdr:rowOff>161925</xdr:rowOff>
                  </from>
                  <to>
                    <xdr:col>14</xdr:col>
                    <xdr:colOff>209550</xdr:colOff>
                    <xdr:row>3</xdr:row>
                    <xdr:rowOff>161925</xdr:rowOff>
                  </to>
                </anchor>
              </controlPr>
            </control>
          </mc:Choice>
        </mc:AlternateContent>
        <mc:AlternateContent xmlns:mc="http://schemas.openxmlformats.org/markup-compatibility/2006">
          <mc:Choice Requires="x14">
            <control shapeId="8250" r:id="rId76" name="Check Box 58">
              <controlPr defaultSize="0" autoFill="0" autoLine="0" autoPict="0">
                <anchor moveWithCells="1">
                  <from>
                    <xdr:col>1</xdr:col>
                    <xdr:colOff>342900</xdr:colOff>
                    <xdr:row>13</xdr:row>
                    <xdr:rowOff>9525</xdr:rowOff>
                  </from>
                  <to>
                    <xdr:col>1</xdr:col>
                    <xdr:colOff>571500</xdr:colOff>
                    <xdr:row>14</xdr:row>
                    <xdr:rowOff>0</xdr:rowOff>
                  </to>
                </anchor>
              </controlPr>
            </control>
          </mc:Choice>
        </mc:AlternateContent>
      </controls>
    </mc:Choice>
  </mc:AlternateConten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F3C48C-FBB7-4429-B7A4-584313121502}">
  <sheetPr>
    <outlinePr summaryBelow="0" summaryRight="0"/>
    <pageSetUpPr fitToPage="1"/>
  </sheetPr>
  <dimension ref="A1:AA1006"/>
  <sheetViews>
    <sheetView workbookViewId="0">
      <pane ySplit="7" topLeftCell="A8" activePane="bottomLeft" state="frozen"/>
      <selection pane="bottomLeft" activeCell="P16" sqref="P16"/>
    </sheetView>
  </sheetViews>
  <sheetFormatPr defaultColWidth="12.5703125" defaultRowHeight="15.75" customHeight="1" x14ac:dyDescent="0.2"/>
  <cols>
    <col min="1" max="1" width="12.28515625" customWidth="1"/>
    <col min="2" max="2" width="9" bestFit="1" customWidth="1"/>
    <col min="3" max="3" width="7.85546875" customWidth="1"/>
    <col min="4" max="4" width="5.5703125" customWidth="1"/>
    <col min="5" max="5" width="50.85546875" customWidth="1"/>
    <col min="6" max="6" width="11.7109375" customWidth="1"/>
    <col min="7" max="7" width="6.140625" customWidth="1"/>
    <col min="8" max="8" width="10.5703125" customWidth="1"/>
    <col min="9" max="9" width="6.5703125" customWidth="1"/>
    <col min="10" max="10" width="9.42578125" customWidth="1"/>
    <col min="11" max="11" width="10.5703125" customWidth="1"/>
    <col min="12" max="12" width="7.140625" customWidth="1"/>
    <col min="13" max="13" width="10.42578125" customWidth="1"/>
    <col min="14" max="14" width="14.28515625" customWidth="1"/>
    <col min="15" max="15" width="29.5703125" customWidth="1"/>
    <col min="16" max="16" width="15.140625" customWidth="1"/>
  </cols>
  <sheetData>
    <row r="1" spans="1:27" ht="15.75" customHeight="1" x14ac:dyDescent="0.2">
      <c r="A1" s="1" t="s">
        <v>0</v>
      </c>
      <c r="B1" s="2">
        <v>0.14583333333333334</v>
      </c>
      <c r="C1" s="917" t="s">
        <v>1</v>
      </c>
      <c r="D1" s="906"/>
      <c r="E1" s="907"/>
      <c r="F1" s="3" t="s">
        <v>382</v>
      </c>
      <c r="G1" s="904" t="s">
        <v>453</v>
      </c>
      <c r="H1" s="904"/>
      <c r="I1" s="23" t="s">
        <v>2</v>
      </c>
      <c r="J1" s="904" t="s">
        <v>451</v>
      </c>
      <c r="K1" s="904"/>
      <c r="L1" s="1273"/>
      <c r="M1" s="906"/>
      <c r="N1" s="907"/>
      <c r="O1" s="16"/>
      <c r="P1" s="6"/>
      <c r="Q1" s="4" t="s">
        <v>3</v>
      </c>
      <c r="R1" s="4">
        <f>FLOOR((HOUR(B1)*3600+MINUTE(B1)*60+SECOND(B1))/26.2,1)+ROUND((((HOUR(B1)*3600+MINUTE(B1)*60+SECOND(B1))/26.2)-(FLOOR((HOUR(B1)*3600+MINUTE(B1)*60+SECOND(B1))/26.2,1))),0)</f>
        <v>481</v>
      </c>
      <c r="S1" s="4"/>
      <c r="T1" s="4"/>
      <c r="U1" s="4"/>
      <c r="V1" s="4"/>
      <c r="W1" s="4"/>
      <c r="X1" s="4"/>
      <c r="Y1" s="4"/>
      <c r="Z1" s="4"/>
      <c r="AA1" s="4"/>
    </row>
    <row r="2" spans="1:27" ht="15.75" customHeight="1" x14ac:dyDescent="0.2">
      <c r="A2" s="5" t="s">
        <v>4</v>
      </c>
      <c r="B2" s="6" t="str">
        <f>CONCATENATE(FLOOR((HOUR(B1)*60+MINUTE(B1)+SECOND(B1)/60)/26.2,1),":",ROUND((((HOUR(B1)*60+MINUTE(B1)+SECOND(B1)/60)/26.2)-(FLOOR((HOUR(B1)*60+MINUTE(B1)+SECOND(B1)/60)/26.2,1)))*60,0))</f>
        <v>8:1</v>
      </c>
      <c r="C2" s="912" t="s">
        <v>5</v>
      </c>
      <c r="D2" s="908"/>
      <c r="E2" s="909"/>
      <c r="F2" s="7" t="s">
        <v>33</v>
      </c>
      <c r="G2" s="904" t="s">
        <v>452</v>
      </c>
      <c r="H2" s="904"/>
      <c r="I2" s="6"/>
      <c r="J2" s="4"/>
      <c r="L2" s="908"/>
      <c r="M2" s="908"/>
      <c r="N2" s="909"/>
      <c r="O2" s="16"/>
      <c r="P2" s="8"/>
      <c r="Q2" s="9"/>
      <c r="R2" s="4"/>
      <c r="S2" s="4"/>
      <c r="T2" s="4"/>
      <c r="U2" s="4"/>
      <c r="V2" s="4"/>
      <c r="W2" s="4"/>
      <c r="X2" s="4"/>
      <c r="Y2" s="4"/>
      <c r="Z2" s="4"/>
      <c r="AA2" s="4"/>
    </row>
    <row r="3" spans="1:27" ht="15.75" customHeight="1" x14ac:dyDescent="0.2">
      <c r="A3" s="10" t="s">
        <v>6</v>
      </c>
      <c r="B3" s="11">
        <v>45963</v>
      </c>
      <c r="C3" s="913" t="s">
        <v>7</v>
      </c>
      <c r="D3" s="910"/>
      <c r="E3" s="911"/>
      <c r="F3" s="7" t="s">
        <v>34</v>
      </c>
      <c r="G3" s="904" t="s">
        <v>449</v>
      </c>
      <c r="H3" s="904"/>
      <c r="I3" s="6"/>
      <c r="J3" s="4"/>
      <c r="L3" s="908"/>
      <c r="M3" s="908"/>
      <c r="N3" s="909"/>
      <c r="O3" s="16"/>
      <c r="P3" s="6"/>
      <c r="Q3" s="4"/>
      <c r="R3" s="4"/>
      <c r="S3" s="4"/>
      <c r="T3" s="4"/>
      <c r="U3" s="4"/>
      <c r="V3" s="4"/>
      <c r="W3" s="4"/>
      <c r="X3" s="4"/>
      <c r="Y3" s="4"/>
      <c r="Z3" s="4"/>
      <c r="AA3" s="4"/>
    </row>
    <row r="4" spans="1:27" ht="15.75" customHeight="1" x14ac:dyDescent="0.2">
      <c r="A4" s="16"/>
      <c r="B4" s="6"/>
      <c r="C4" s="6"/>
      <c r="D4" s="6"/>
      <c r="E4" s="4"/>
      <c r="F4" s="12" t="s">
        <v>383</v>
      </c>
      <c r="G4" s="914" t="s">
        <v>450</v>
      </c>
      <c r="H4" s="914"/>
      <c r="I4" s="13"/>
      <c r="J4" s="850"/>
      <c r="K4" s="851"/>
      <c r="L4" s="910"/>
      <c r="M4" s="910"/>
      <c r="N4" s="911"/>
      <c r="O4" s="16"/>
      <c r="P4" s="6"/>
      <c r="Q4" s="4"/>
      <c r="R4" s="4"/>
      <c r="S4" s="4"/>
      <c r="T4" s="4"/>
      <c r="U4" s="4"/>
      <c r="V4" s="4"/>
      <c r="W4" s="4"/>
      <c r="X4" s="4"/>
      <c r="Y4" s="4"/>
      <c r="Z4" s="4"/>
      <c r="AA4" s="4"/>
    </row>
    <row r="5" spans="1:27" ht="15.75" customHeight="1" x14ac:dyDescent="0.2">
      <c r="A5" s="16"/>
      <c r="B5" s="6"/>
      <c r="C5" s="6"/>
      <c r="D5" s="6"/>
      <c r="E5" s="4"/>
      <c r="F5" s="6"/>
      <c r="G5" s="6"/>
      <c r="H5" s="6"/>
      <c r="I5" s="6"/>
      <c r="J5" s="6"/>
      <c r="K5" s="6"/>
      <c r="L5" s="6"/>
      <c r="M5" s="6"/>
      <c r="N5" s="6"/>
      <c r="O5" s="16"/>
      <c r="P5" s="6"/>
      <c r="Q5" s="4"/>
      <c r="R5" s="4"/>
      <c r="S5" s="26"/>
      <c r="T5" s="4"/>
      <c r="U5" s="4"/>
      <c r="V5" s="4"/>
      <c r="W5" s="4"/>
      <c r="X5" s="4"/>
      <c r="Y5" s="4"/>
      <c r="Z5" s="4"/>
      <c r="AA5" s="4"/>
    </row>
    <row r="6" spans="1:27" ht="15.75" customHeight="1" x14ac:dyDescent="0.2">
      <c r="A6" s="16"/>
      <c r="B6" s="6"/>
      <c r="C6" s="6"/>
      <c r="D6" s="6"/>
      <c r="E6" s="918" t="s">
        <v>9</v>
      </c>
      <c r="F6" s="908"/>
      <c r="G6" s="908"/>
      <c r="H6" s="908"/>
      <c r="I6" s="908"/>
      <c r="J6" s="908"/>
      <c r="K6" s="908"/>
      <c r="L6" s="908"/>
      <c r="M6" s="908"/>
      <c r="N6" s="6"/>
      <c r="O6" s="16"/>
      <c r="P6" s="6"/>
      <c r="Q6" s="4"/>
      <c r="R6" s="4"/>
      <c r="S6" s="4"/>
      <c r="T6" s="4"/>
      <c r="U6" s="4"/>
      <c r="V6" s="4"/>
      <c r="W6" s="4"/>
      <c r="X6" s="4"/>
      <c r="Y6" s="4"/>
      <c r="Z6" s="4"/>
      <c r="AA6" s="4"/>
    </row>
    <row r="7" spans="1:27" ht="46.5" customHeight="1" x14ac:dyDescent="0.2">
      <c r="A7" s="14" t="s">
        <v>10</v>
      </c>
      <c r="B7" s="14" t="s">
        <v>11</v>
      </c>
      <c r="C7" s="14" t="s">
        <v>12</v>
      </c>
      <c r="D7" s="14" t="s">
        <v>13</v>
      </c>
      <c r="E7" s="14" t="s">
        <v>14</v>
      </c>
      <c r="F7" s="14" t="s">
        <v>357</v>
      </c>
      <c r="G7" s="14" t="s">
        <v>15</v>
      </c>
      <c r="H7" s="14" t="s">
        <v>16</v>
      </c>
      <c r="I7" s="14" t="s">
        <v>17</v>
      </c>
      <c r="J7" s="14" t="s">
        <v>18</v>
      </c>
      <c r="K7" s="14" t="s">
        <v>19</v>
      </c>
      <c r="L7" s="14" t="s">
        <v>20</v>
      </c>
      <c r="M7" s="14" t="s">
        <v>21</v>
      </c>
      <c r="N7" s="14" t="s">
        <v>22</v>
      </c>
      <c r="O7" s="15" t="s">
        <v>23</v>
      </c>
      <c r="P7" s="14" t="s">
        <v>24</v>
      </c>
      <c r="Q7" s="15" t="s">
        <v>25</v>
      </c>
      <c r="R7" s="16"/>
      <c r="S7" s="16"/>
      <c r="T7" s="16"/>
      <c r="U7" s="16"/>
      <c r="V7" s="16"/>
      <c r="W7" s="16"/>
      <c r="X7" s="16"/>
      <c r="Y7" s="16"/>
      <c r="Z7" s="16"/>
      <c r="AA7" s="16"/>
    </row>
    <row r="8" spans="1:27" ht="15.95" customHeight="1" x14ac:dyDescent="0.2">
      <c r="A8" s="1275" t="s">
        <v>346</v>
      </c>
      <c r="B8" s="27">
        <v>134</v>
      </c>
      <c r="C8" s="829">
        <f t="shared" ref="C8:C142" si="0">$B$3-B8</f>
        <v>45829</v>
      </c>
      <c r="D8" s="842" t="s">
        <v>30</v>
      </c>
      <c r="E8" s="843"/>
      <c r="F8" s="842">
        <v>16</v>
      </c>
      <c r="G8" s="844"/>
      <c r="H8" s="844"/>
      <c r="I8" s="27" t="str">
        <f t="shared" ref="I8:I58" si="1">CONCATENATE(FLOOR((HOUR(H8)*60+MINUTE(H8)+SECOND(H8)/60)/IF(ISBLANK(G8),1,G8),1),":",TEXT(ROUND((((HOUR(H8)*60+MINUTE(H8)+SECOND(H8)/60)/IF(ISBLANK(G8),1,G8))-(FLOOR((HOUR(H8)*60+MINUTE(H8)+SECOND(H8)/60)/IF(ISBLANK(G8),1,G8),1)))*60,0),"00"))</f>
        <v>0:00</v>
      </c>
      <c r="J8" s="844"/>
      <c r="K8" s="844"/>
      <c r="L8" s="27" t="str">
        <f t="shared" ref="L8:L142" si="2">CONCATENATE(FLOOR((HOUR(J8)*60+MINUTE(J8)+SECOND(J8)/60)/IF(ISBLANK(K8),1,K8),1),":",TEXT(ROUND((((HOUR(J8)*60+MINUTE(J8)+SECOND(J8)/60)/IF(ISBLANK(K8),1,K8))-(FLOOR((HOUR(J8)*60+MINUTE(J8)+SECOND(J8)/60)/IF(ISBLANK(K8),1,K8),1)))*60,0),"00"))</f>
        <v>0:00</v>
      </c>
      <c r="M8" s="844"/>
      <c r="N8" s="844"/>
      <c r="O8" s="832"/>
      <c r="P8" s="19"/>
      <c r="Q8" s="21"/>
      <c r="R8" s="16"/>
      <c r="S8" s="16"/>
      <c r="T8" s="16"/>
      <c r="U8" s="16"/>
      <c r="V8" s="16"/>
      <c r="W8" s="16"/>
      <c r="X8" s="16"/>
      <c r="Y8" s="16"/>
      <c r="Z8" s="16"/>
      <c r="AA8" s="16"/>
    </row>
    <row r="9" spans="1:27" ht="15.95" customHeight="1" x14ac:dyDescent="0.2">
      <c r="A9" s="1275"/>
      <c r="B9" s="27">
        <v>133</v>
      </c>
      <c r="C9" s="829">
        <f t="shared" si="0"/>
        <v>45830</v>
      </c>
      <c r="D9" s="842" t="s">
        <v>31</v>
      </c>
      <c r="E9" s="845"/>
      <c r="F9" s="842">
        <v>0</v>
      </c>
      <c r="G9" s="844"/>
      <c r="H9" s="844"/>
      <c r="I9" s="27" t="str">
        <f t="shared" si="1"/>
        <v>0:00</v>
      </c>
      <c r="J9" s="844"/>
      <c r="K9" s="844"/>
      <c r="L9" s="27" t="str">
        <f t="shared" si="2"/>
        <v>0:00</v>
      </c>
      <c r="M9" s="844"/>
      <c r="N9" s="844"/>
      <c r="O9" s="832"/>
      <c r="P9" s="19"/>
      <c r="Q9" s="21"/>
      <c r="R9" s="16"/>
      <c r="T9" s="16"/>
      <c r="U9" s="16"/>
      <c r="V9" s="16"/>
      <c r="W9" s="16"/>
      <c r="X9" s="16"/>
      <c r="Y9" s="16"/>
      <c r="Z9" s="16"/>
      <c r="AA9" s="16"/>
    </row>
    <row r="10" spans="1:27" ht="15.95" customHeight="1" x14ac:dyDescent="0.2">
      <c r="A10" s="1275"/>
      <c r="B10" s="27">
        <v>132</v>
      </c>
      <c r="C10" s="829">
        <f t="shared" si="0"/>
        <v>45831</v>
      </c>
      <c r="D10" s="27" t="s">
        <v>33</v>
      </c>
      <c r="E10" s="845"/>
      <c r="F10" s="27">
        <v>6</v>
      </c>
      <c r="G10" s="27"/>
      <c r="H10" s="27"/>
      <c r="I10" s="27" t="str">
        <f t="shared" si="1"/>
        <v>0:00</v>
      </c>
      <c r="J10" s="27"/>
      <c r="K10" s="27"/>
      <c r="L10" s="27" t="str">
        <f t="shared" si="2"/>
        <v>0:00</v>
      </c>
      <c r="M10" s="27"/>
      <c r="N10" s="27"/>
      <c r="O10" s="832"/>
      <c r="P10" s="19"/>
      <c r="Q10" s="21"/>
      <c r="R10" s="4"/>
      <c r="T10" s="4"/>
      <c r="U10" s="4"/>
      <c r="V10" s="4"/>
      <c r="X10" s="4"/>
      <c r="Y10" s="4"/>
      <c r="Z10" s="4"/>
      <c r="AA10" s="4"/>
    </row>
    <row r="11" spans="1:27" ht="15.95" customHeight="1" x14ac:dyDescent="0.2">
      <c r="A11" s="1275"/>
      <c r="B11" s="27">
        <v>131</v>
      </c>
      <c r="C11" s="829">
        <f t="shared" si="0"/>
        <v>45832</v>
      </c>
      <c r="D11" s="27" t="s">
        <v>34</v>
      </c>
      <c r="E11" s="843"/>
      <c r="F11" s="27">
        <v>16</v>
      </c>
      <c r="G11" s="27"/>
      <c r="H11" s="27"/>
      <c r="I11" s="27" t="str">
        <f t="shared" si="1"/>
        <v>0:00</v>
      </c>
      <c r="J11" s="27"/>
      <c r="K11" s="27"/>
      <c r="L11" s="27" t="str">
        <f t="shared" si="2"/>
        <v>0:00</v>
      </c>
      <c r="M11" s="27"/>
      <c r="N11" s="27"/>
      <c r="O11" s="832"/>
      <c r="P11" s="19"/>
      <c r="Q11" s="21"/>
      <c r="R11" s="4"/>
      <c r="T11" s="4"/>
      <c r="U11" s="4"/>
      <c r="V11" s="4"/>
      <c r="X11" s="4"/>
      <c r="Y11" s="4"/>
      <c r="Z11" s="4"/>
      <c r="AA11" s="4"/>
    </row>
    <row r="12" spans="1:27" ht="15.95" customHeight="1" x14ac:dyDescent="0.2">
      <c r="A12" s="1275"/>
      <c r="B12" s="27">
        <v>130</v>
      </c>
      <c r="C12" s="829">
        <f t="shared" si="0"/>
        <v>45833</v>
      </c>
      <c r="D12" s="27" t="s">
        <v>26</v>
      </c>
      <c r="E12" s="845"/>
      <c r="F12" s="27">
        <v>5</v>
      </c>
      <c r="G12" s="27"/>
      <c r="H12" s="27"/>
      <c r="I12" s="27" t="str">
        <f t="shared" si="1"/>
        <v>0:00</v>
      </c>
      <c r="J12" s="27"/>
      <c r="K12" s="27"/>
      <c r="L12" s="27" t="str">
        <f t="shared" si="2"/>
        <v>0:00</v>
      </c>
      <c r="M12" s="27"/>
      <c r="N12" s="27"/>
      <c r="O12" s="832"/>
      <c r="P12" s="22">
        <f>N13</f>
        <v>0</v>
      </c>
      <c r="Q12" s="20"/>
      <c r="R12" s="4"/>
      <c r="T12" s="4"/>
      <c r="U12" s="4"/>
      <c r="V12" s="4"/>
      <c r="X12" s="4"/>
      <c r="Y12" s="4"/>
      <c r="Z12" s="4"/>
      <c r="AA12" s="4"/>
    </row>
    <row r="13" spans="1:27" ht="15.95" customHeight="1" x14ac:dyDescent="0.2">
      <c r="A13" s="1275"/>
      <c r="B13" s="27">
        <v>129</v>
      </c>
      <c r="C13" s="829">
        <f t="shared" si="0"/>
        <v>45834</v>
      </c>
      <c r="D13" s="27" t="s">
        <v>27</v>
      </c>
      <c r="E13" s="845"/>
      <c r="F13" s="27">
        <v>6</v>
      </c>
      <c r="G13" s="27"/>
      <c r="H13" s="27"/>
      <c r="I13" s="27" t="str">
        <f t="shared" si="1"/>
        <v>0:00</v>
      </c>
      <c r="J13" s="27"/>
      <c r="K13" s="27"/>
      <c r="L13" s="27" t="str">
        <f t="shared" si="2"/>
        <v>0:00</v>
      </c>
      <c r="M13" s="27"/>
      <c r="N13" s="831"/>
      <c r="O13" s="832"/>
      <c r="P13" s="19">
        <f>N14</f>
        <v>0</v>
      </c>
      <c r="Q13" s="20" t="e">
        <f>P13/P14</f>
        <v>#DIV/0!</v>
      </c>
      <c r="R13" s="4"/>
      <c r="T13" s="4"/>
      <c r="U13" s="4"/>
      <c r="V13" s="4"/>
      <c r="X13" s="4"/>
      <c r="Y13" s="4"/>
      <c r="Z13" s="4"/>
      <c r="AA13" s="4"/>
    </row>
    <row r="14" spans="1:27" ht="15.95" customHeight="1" x14ac:dyDescent="0.2">
      <c r="A14" s="1275"/>
      <c r="B14" s="27">
        <v>128</v>
      </c>
      <c r="C14" s="829">
        <f t="shared" si="0"/>
        <v>45835</v>
      </c>
      <c r="D14" s="27" t="s">
        <v>28</v>
      </c>
      <c r="E14" s="845"/>
      <c r="F14" s="27">
        <v>5</v>
      </c>
      <c r="G14" s="27"/>
      <c r="H14" s="30"/>
      <c r="I14" s="27" t="str">
        <f t="shared" si="1"/>
        <v>0:00</v>
      </c>
      <c r="J14" s="27"/>
      <c r="K14" s="27"/>
      <c r="L14" s="27" t="str">
        <f t="shared" si="2"/>
        <v>0:00</v>
      </c>
      <c r="M14" s="27"/>
      <c r="N14" s="27"/>
      <c r="O14" s="832"/>
      <c r="P14" s="19">
        <f>M14</f>
        <v>0</v>
      </c>
      <c r="Q14" s="21"/>
      <c r="R14" s="4"/>
      <c r="T14" s="4"/>
      <c r="U14" s="4"/>
      <c r="V14" s="4"/>
      <c r="X14" s="4"/>
      <c r="Y14" s="4"/>
      <c r="Z14" s="4"/>
      <c r="AA14" s="4"/>
    </row>
    <row r="15" spans="1:27" ht="15.95" customHeight="1" x14ac:dyDescent="0.2">
      <c r="A15" s="916" t="s">
        <v>32</v>
      </c>
      <c r="B15" s="6">
        <v>127</v>
      </c>
      <c r="C15" s="17">
        <f t="shared" si="0"/>
        <v>45836</v>
      </c>
      <c r="D15" s="6" t="s">
        <v>30</v>
      </c>
      <c r="E15" s="841" t="s">
        <v>336</v>
      </c>
      <c r="F15" s="6">
        <v>14</v>
      </c>
      <c r="G15" s="6"/>
      <c r="H15" s="6"/>
      <c r="I15" s="6" t="str">
        <f t="shared" si="1"/>
        <v>0:00</v>
      </c>
      <c r="J15" s="6"/>
      <c r="K15" s="6"/>
      <c r="L15" s="6" t="str">
        <f t="shared" si="2"/>
        <v>0:00</v>
      </c>
      <c r="M15" s="4"/>
      <c r="N15" s="4"/>
      <c r="O15" s="16"/>
      <c r="P15" s="19"/>
      <c r="Q15" s="21"/>
      <c r="R15" s="4"/>
      <c r="T15" s="4"/>
      <c r="U15" s="4"/>
      <c r="V15" s="4"/>
      <c r="X15" s="4"/>
      <c r="Y15" s="4"/>
      <c r="Z15" s="4"/>
      <c r="AA15" s="4"/>
    </row>
    <row r="16" spans="1:27" ht="15.95" customHeight="1" x14ac:dyDescent="0.2">
      <c r="A16" s="916"/>
      <c r="B16" s="6">
        <v>126</v>
      </c>
      <c r="C16" s="17">
        <f t="shared" si="0"/>
        <v>45837</v>
      </c>
      <c r="D16" s="6" t="s">
        <v>31</v>
      </c>
      <c r="E16" s="841" t="s">
        <v>29</v>
      </c>
      <c r="F16" s="6">
        <v>0</v>
      </c>
      <c r="G16" s="6"/>
      <c r="H16" s="6"/>
      <c r="I16" s="6" t="str">
        <f t="shared" si="1"/>
        <v>0:00</v>
      </c>
      <c r="J16" s="6"/>
      <c r="K16" s="6"/>
      <c r="L16" s="6" t="str">
        <f t="shared" si="2"/>
        <v>0:00</v>
      </c>
      <c r="M16" s="4"/>
      <c r="N16" s="4"/>
      <c r="O16" s="16"/>
      <c r="P16" s="19"/>
      <c r="Q16" s="21"/>
      <c r="R16" s="4"/>
      <c r="T16" s="4"/>
      <c r="U16" s="4"/>
      <c r="V16" s="4"/>
      <c r="X16" s="4"/>
      <c r="Y16" s="4"/>
      <c r="Z16" s="4"/>
      <c r="AA16" s="4"/>
    </row>
    <row r="17" spans="1:27" ht="15.95" customHeight="1" x14ac:dyDescent="0.2">
      <c r="A17" s="916"/>
      <c r="B17" s="6">
        <v>125</v>
      </c>
      <c r="C17" s="17">
        <f t="shared" si="0"/>
        <v>45838</v>
      </c>
      <c r="D17" s="6" t="s">
        <v>33</v>
      </c>
      <c r="E17" s="841" t="s">
        <v>379</v>
      </c>
      <c r="F17" s="6">
        <v>6</v>
      </c>
      <c r="G17" s="6"/>
      <c r="H17" s="29"/>
      <c r="I17" s="6" t="str">
        <f t="shared" si="1"/>
        <v>0:00</v>
      </c>
      <c r="J17" s="6"/>
      <c r="K17" s="6"/>
      <c r="L17" s="6" t="str">
        <f t="shared" si="2"/>
        <v>0:00</v>
      </c>
      <c r="M17" s="6"/>
      <c r="N17" s="6"/>
      <c r="O17" s="16"/>
      <c r="P17" s="19"/>
      <c r="Q17" s="21"/>
      <c r="R17" s="4"/>
      <c r="T17" s="4"/>
      <c r="U17" s="4"/>
      <c r="V17" s="4"/>
      <c r="X17" s="4"/>
      <c r="Y17" s="4"/>
      <c r="Z17" s="4"/>
      <c r="AA17" s="4"/>
    </row>
    <row r="18" spans="1:27" ht="15.95" customHeight="1" x14ac:dyDescent="0.2">
      <c r="A18" s="916"/>
      <c r="B18" s="6">
        <v>124</v>
      </c>
      <c r="C18" s="17">
        <f t="shared" si="0"/>
        <v>45839</v>
      </c>
      <c r="D18" s="6" t="s">
        <v>34</v>
      </c>
      <c r="E18" s="841" t="s">
        <v>337</v>
      </c>
      <c r="F18" s="6">
        <v>14</v>
      </c>
      <c r="G18" s="6"/>
      <c r="H18" s="29"/>
      <c r="I18" s="6" t="str">
        <f t="shared" si="1"/>
        <v>0:00</v>
      </c>
      <c r="J18" s="6"/>
      <c r="K18" s="6"/>
      <c r="L18" s="6" t="str">
        <f t="shared" si="2"/>
        <v>0:00</v>
      </c>
      <c r="M18" s="6"/>
      <c r="N18" s="6"/>
      <c r="O18" s="16"/>
      <c r="P18" s="19"/>
      <c r="Q18" s="21"/>
      <c r="R18" s="4"/>
      <c r="T18" s="4"/>
      <c r="U18" s="4"/>
      <c r="V18" s="4"/>
      <c r="X18" s="4"/>
      <c r="Y18" s="4"/>
      <c r="Z18" s="4"/>
      <c r="AA18" s="4"/>
    </row>
    <row r="19" spans="1:27" ht="15.95" customHeight="1" x14ac:dyDescent="0.2">
      <c r="A19" s="916"/>
      <c r="B19" s="6">
        <v>123</v>
      </c>
      <c r="C19" s="17">
        <f t="shared" si="0"/>
        <v>45840</v>
      </c>
      <c r="D19" s="6" t="s">
        <v>26</v>
      </c>
      <c r="E19" s="841" t="s">
        <v>381</v>
      </c>
      <c r="F19" s="6">
        <v>6</v>
      </c>
      <c r="G19" s="6"/>
      <c r="H19" s="29"/>
      <c r="I19" s="6" t="str">
        <f t="shared" si="1"/>
        <v>0:00</v>
      </c>
      <c r="J19" s="6"/>
      <c r="K19" s="6"/>
      <c r="L19" s="6" t="str">
        <f t="shared" si="2"/>
        <v>0:00</v>
      </c>
      <c r="M19" s="6"/>
      <c r="N19" s="6"/>
      <c r="O19" s="16"/>
      <c r="P19" s="22">
        <f>N20+P12</f>
        <v>0</v>
      </c>
      <c r="Q19" s="18"/>
      <c r="R19" s="4"/>
      <c r="T19" s="4"/>
      <c r="U19" s="4"/>
      <c r="V19" s="4"/>
      <c r="X19" s="4"/>
      <c r="Y19" s="4"/>
      <c r="Z19" s="4"/>
      <c r="AA19" s="4"/>
    </row>
    <row r="20" spans="1:27" ht="15.95" customHeight="1" x14ac:dyDescent="0.2">
      <c r="A20" s="916"/>
      <c r="B20" s="6">
        <v>122</v>
      </c>
      <c r="C20" s="17">
        <f t="shared" si="0"/>
        <v>45841</v>
      </c>
      <c r="D20" s="6" t="s">
        <v>27</v>
      </c>
      <c r="E20" s="841" t="s">
        <v>381</v>
      </c>
      <c r="F20" s="6">
        <v>6</v>
      </c>
      <c r="G20" s="6"/>
      <c r="H20" s="29"/>
      <c r="I20" s="6" t="str">
        <f t="shared" si="1"/>
        <v>0:00</v>
      </c>
      <c r="J20" s="6"/>
      <c r="K20" s="6"/>
      <c r="L20" s="6" t="str">
        <f t="shared" si="2"/>
        <v>0:00</v>
      </c>
      <c r="M20" s="6"/>
      <c r="N20" s="28">
        <f>SUM(H15:H21)</f>
        <v>0</v>
      </c>
      <c r="O20" s="16"/>
      <c r="P20" s="19">
        <f>N21</f>
        <v>0</v>
      </c>
      <c r="Q20" s="20">
        <f>P20/P21</f>
        <v>0</v>
      </c>
      <c r="R20" s="4"/>
      <c r="T20" s="4"/>
      <c r="U20" s="4"/>
      <c r="V20" s="4"/>
      <c r="X20" s="4"/>
      <c r="Y20" s="4"/>
      <c r="Z20" s="4"/>
      <c r="AA20" s="4"/>
    </row>
    <row r="21" spans="1:27" ht="15.95" customHeight="1" x14ac:dyDescent="0.2">
      <c r="A21" s="916"/>
      <c r="B21" s="6">
        <v>121</v>
      </c>
      <c r="C21" s="17">
        <f t="shared" si="0"/>
        <v>45842</v>
      </c>
      <c r="D21" s="6" t="s">
        <v>28</v>
      </c>
      <c r="E21" s="841" t="s">
        <v>380</v>
      </c>
      <c r="F21" s="6">
        <v>5</v>
      </c>
      <c r="G21" s="6"/>
      <c r="H21" s="29"/>
      <c r="I21" s="6" t="str">
        <f t="shared" si="1"/>
        <v>0:00</v>
      </c>
      <c r="J21" s="6"/>
      <c r="K21" s="6"/>
      <c r="L21" s="6" t="str">
        <f t="shared" si="2"/>
        <v>0:00</v>
      </c>
      <c r="M21" s="6">
        <v>44</v>
      </c>
      <c r="N21" s="6">
        <f>SUM(G15:G21)</f>
        <v>0</v>
      </c>
      <c r="O21" s="16"/>
      <c r="P21" s="19">
        <f>M21</f>
        <v>44</v>
      </c>
      <c r="Q21" s="21"/>
      <c r="R21" s="4"/>
      <c r="T21" s="4"/>
      <c r="U21" s="4"/>
      <c r="V21" s="4"/>
      <c r="X21" s="4"/>
      <c r="Y21" s="4"/>
      <c r="Z21" s="4"/>
      <c r="AA21" s="4"/>
    </row>
    <row r="22" spans="1:27" ht="15.95" customHeight="1" x14ac:dyDescent="0.2">
      <c r="A22" s="1274" t="s">
        <v>343</v>
      </c>
      <c r="B22" s="27">
        <v>120</v>
      </c>
      <c r="C22" s="829">
        <f t="shared" si="0"/>
        <v>45843</v>
      </c>
      <c r="D22" s="27" t="s">
        <v>30</v>
      </c>
      <c r="E22" s="845" t="s">
        <v>338</v>
      </c>
      <c r="F22" s="27">
        <v>15</v>
      </c>
      <c r="G22" s="27"/>
      <c r="H22" s="27"/>
      <c r="I22" s="27" t="str">
        <f t="shared" si="1"/>
        <v>0:00</v>
      </c>
      <c r="J22" s="27"/>
      <c r="K22" s="27"/>
      <c r="L22" s="27" t="str">
        <f t="shared" si="2"/>
        <v>0:00</v>
      </c>
      <c r="M22" s="830"/>
      <c r="N22" s="830"/>
      <c r="O22" s="832"/>
      <c r="P22" s="19"/>
      <c r="Q22" s="21"/>
      <c r="R22" s="4"/>
      <c r="T22" s="4"/>
      <c r="U22" s="4"/>
      <c r="V22" s="4"/>
      <c r="X22" s="4"/>
      <c r="Y22" s="4"/>
      <c r="Z22" s="4"/>
      <c r="AA22" s="4"/>
    </row>
    <row r="23" spans="1:27" ht="15.95" customHeight="1" x14ac:dyDescent="0.2">
      <c r="A23" s="1274"/>
      <c r="B23" s="27">
        <v>119</v>
      </c>
      <c r="C23" s="829">
        <f t="shared" si="0"/>
        <v>45844</v>
      </c>
      <c r="D23" s="27" t="s">
        <v>31</v>
      </c>
      <c r="E23" s="845" t="s">
        <v>29</v>
      </c>
      <c r="F23" s="27">
        <v>0</v>
      </c>
      <c r="G23" s="27"/>
      <c r="H23" s="30"/>
      <c r="I23" s="27" t="str">
        <f t="shared" si="1"/>
        <v>0:00</v>
      </c>
      <c r="J23" s="27"/>
      <c r="K23" s="27"/>
      <c r="L23" s="27" t="str">
        <f t="shared" si="2"/>
        <v>0:00</v>
      </c>
      <c r="M23" s="830"/>
      <c r="N23" s="830"/>
      <c r="O23" s="832"/>
      <c r="P23" s="19"/>
      <c r="Q23" s="21"/>
      <c r="R23" s="4"/>
      <c r="T23" s="4"/>
      <c r="U23" s="4"/>
      <c r="V23" s="4"/>
      <c r="X23" s="4"/>
      <c r="Y23" s="4"/>
      <c r="Z23" s="4"/>
      <c r="AA23" s="4"/>
    </row>
    <row r="24" spans="1:27" ht="15.95" customHeight="1" x14ac:dyDescent="0.2">
      <c r="A24" s="1274"/>
      <c r="B24" s="27">
        <v>118</v>
      </c>
      <c r="C24" s="829">
        <f t="shared" si="0"/>
        <v>45845</v>
      </c>
      <c r="D24" s="27" t="s">
        <v>33</v>
      </c>
      <c r="E24" s="845" t="s">
        <v>379</v>
      </c>
      <c r="F24" s="27">
        <v>6</v>
      </c>
      <c r="G24" s="27"/>
      <c r="H24" s="27"/>
      <c r="I24" s="27" t="str">
        <f t="shared" si="1"/>
        <v>0:00</v>
      </c>
      <c r="J24" s="27"/>
      <c r="K24" s="27"/>
      <c r="L24" s="27" t="str">
        <f t="shared" si="2"/>
        <v>0:00</v>
      </c>
      <c r="M24" s="27"/>
      <c r="N24" s="27"/>
      <c r="O24" s="832"/>
      <c r="P24" s="19"/>
      <c r="Q24" s="21"/>
      <c r="R24" s="4"/>
      <c r="T24" s="4"/>
      <c r="U24" s="4"/>
      <c r="V24" s="4"/>
      <c r="X24" s="4"/>
      <c r="Y24" s="4"/>
      <c r="Z24" s="4"/>
      <c r="AA24" s="4"/>
    </row>
    <row r="25" spans="1:27" ht="15.95" customHeight="1" x14ac:dyDescent="0.2">
      <c r="A25" s="1274"/>
      <c r="B25" s="27">
        <v>117</v>
      </c>
      <c r="C25" s="829">
        <f t="shared" si="0"/>
        <v>45846</v>
      </c>
      <c r="D25" s="27" t="s">
        <v>34</v>
      </c>
      <c r="E25" s="845" t="s">
        <v>354</v>
      </c>
      <c r="F25" s="27">
        <v>13</v>
      </c>
      <c r="G25" s="27"/>
      <c r="H25" s="30"/>
      <c r="I25" s="27" t="str">
        <f t="shared" si="1"/>
        <v>0:00</v>
      </c>
      <c r="J25" s="27"/>
      <c r="K25" s="27"/>
      <c r="L25" s="27" t="str">
        <f t="shared" si="2"/>
        <v>0:00</v>
      </c>
      <c r="M25" s="27"/>
      <c r="N25" s="27"/>
      <c r="O25" s="832"/>
      <c r="P25" s="19"/>
      <c r="Q25" s="21"/>
      <c r="R25" s="4"/>
      <c r="T25" s="4"/>
      <c r="U25" s="4"/>
      <c r="V25" s="4"/>
      <c r="X25" s="4"/>
      <c r="Y25" s="4"/>
      <c r="Z25" s="4"/>
      <c r="AA25" s="4"/>
    </row>
    <row r="26" spans="1:27" ht="15.95" customHeight="1" x14ac:dyDescent="0.2">
      <c r="A26" s="1274"/>
      <c r="B26" s="27">
        <v>116</v>
      </c>
      <c r="C26" s="829">
        <f t="shared" si="0"/>
        <v>45847</v>
      </c>
      <c r="D26" s="27" t="s">
        <v>26</v>
      </c>
      <c r="E26" s="845" t="s">
        <v>384</v>
      </c>
      <c r="F26" s="27">
        <v>7</v>
      </c>
      <c r="G26" s="27"/>
      <c r="H26" s="30"/>
      <c r="I26" s="27" t="str">
        <f t="shared" si="1"/>
        <v>0:00</v>
      </c>
      <c r="J26" s="27"/>
      <c r="K26" s="27"/>
      <c r="L26" s="27" t="str">
        <f t="shared" si="2"/>
        <v>0:00</v>
      </c>
      <c r="M26" s="27"/>
      <c r="N26" s="27"/>
      <c r="O26" s="832"/>
      <c r="P26" s="22">
        <f>N27+P19</f>
        <v>0</v>
      </c>
      <c r="Q26" s="18"/>
      <c r="R26" s="4"/>
      <c r="T26" s="4"/>
      <c r="U26" s="4"/>
      <c r="V26" s="4"/>
      <c r="X26" s="4"/>
      <c r="Y26" s="4"/>
      <c r="Z26" s="4"/>
      <c r="AA26" s="4"/>
    </row>
    <row r="27" spans="1:27" ht="15.95" customHeight="1" x14ac:dyDescent="0.2">
      <c r="A27" s="1274"/>
      <c r="B27" s="27">
        <v>115</v>
      </c>
      <c r="C27" s="829">
        <f t="shared" si="0"/>
        <v>45848</v>
      </c>
      <c r="D27" s="27" t="s">
        <v>27</v>
      </c>
      <c r="E27" s="845" t="s">
        <v>384</v>
      </c>
      <c r="F27" s="27">
        <v>7</v>
      </c>
      <c r="G27" s="27"/>
      <c r="H27" s="30"/>
      <c r="I27" s="27" t="str">
        <f t="shared" si="1"/>
        <v>0:00</v>
      </c>
      <c r="J27" s="27"/>
      <c r="K27" s="27"/>
      <c r="L27" s="27" t="str">
        <f t="shared" si="2"/>
        <v>0:00</v>
      </c>
      <c r="M27" s="27"/>
      <c r="N27" s="831">
        <f>SUM(H22:H28)</f>
        <v>0</v>
      </c>
      <c r="O27" s="832"/>
      <c r="P27" s="19">
        <f>P20+N28</f>
        <v>0</v>
      </c>
      <c r="Q27" s="20">
        <f>P27/P28</f>
        <v>0</v>
      </c>
      <c r="R27" s="4"/>
      <c r="S27" s="4"/>
      <c r="T27" s="4"/>
      <c r="U27" s="4"/>
      <c r="V27" s="4"/>
      <c r="X27" s="4"/>
      <c r="Y27" s="4"/>
      <c r="Z27" s="4"/>
      <c r="AA27" s="4"/>
    </row>
    <row r="28" spans="1:27" ht="15.95" customHeight="1" x14ac:dyDescent="0.2">
      <c r="A28" s="1274"/>
      <c r="B28" s="27">
        <v>114</v>
      </c>
      <c r="C28" s="829">
        <f t="shared" si="0"/>
        <v>45849</v>
      </c>
      <c r="D28" s="27" t="s">
        <v>28</v>
      </c>
      <c r="E28" s="845" t="s">
        <v>384</v>
      </c>
      <c r="F28" s="27">
        <v>7</v>
      </c>
      <c r="G28" s="27"/>
      <c r="H28" s="30"/>
      <c r="I28" s="27" t="str">
        <f t="shared" si="1"/>
        <v>0:00</v>
      </c>
      <c r="J28" s="27"/>
      <c r="K28" s="27"/>
      <c r="L28" s="27" t="str">
        <f t="shared" si="2"/>
        <v>0:00</v>
      </c>
      <c r="M28" s="27">
        <v>56</v>
      </c>
      <c r="N28" s="27">
        <f>SUM(G22:G28)</f>
        <v>0</v>
      </c>
      <c r="O28" s="832"/>
      <c r="P28" s="19">
        <f>P21+M28</f>
        <v>100</v>
      </c>
      <c r="Q28" s="21"/>
      <c r="R28" s="4"/>
      <c r="S28" s="4"/>
      <c r="T28" s="4"/>
      <c r="U28" s="4"/>
      <c r="V28" s="4"/>
      <c r="X28" s="4"/>
      <c r="Y28" s="4"/>
      <c r="Z28" s="4"/>
      <c r="AA28" s="4"/>
    </row>
    <row r="29" spans="1:27" ht="15.95" customHeight="1" x14ac:dyDescent="0.2">
      <c r="A29" s="916" t="s">
        <v>35</v>
      </c>
      <c r="B29" s="6">
        <v>113</v>
      </c>
      <c r="C29" s="17">
        <f t="shared" si="0"/>
        <v>45850</v>
      </c>
      <c r="D29" s="6" t="s">
        <v>30</v>
      </c>
      <c r="E29" s="841" t="s">
        <v>339</v>
      </c>
      <c r="F29" s="6">
        <v>16</v>
      </c>
      <c r="G29" s="6"/>
      <c r="H29" s="29"/>
      <c r="I29" s="6" t="str">
        <f t="shared" si="1"/>
        <v>0:00</v>
      </c>
      <c r="J29" s="6"/>
      <c r="K29" s="6"/>
      <c r="L29" s="6" t="str">
        <f t="shared" si="2"/>
        <v>0:00</v>
      </c>
      <c r="M29" s="4"/>
      <c r="N29" s="4"/>
      <c r="O29" s="16"/>
      <c r="P29" s="19"/>
      <c r="Q29" s="21"/>
      <c r="R29" s="4"/>
      <c r="S29" s="4"/>
      <c r="T29" s="4"/>
      <c r="U29" s="4"/>
      <c r="V29" s="4"/>
      <c r="X29" s="4"/>
      <c r="Y29" s="4"/>
      <c r="Z29" s="4"/>
      <c r="AA29" s="4"/>
    </row>
    <row r="30" spans="1:27" ht="15.95" customHeight="1" x14ac:dyDescent="0.2">
      <c r="A30" s="916"/>
      <c r="B30" s="6">
        <v>112</v>
      </c>
      <c r="C30" s="17">
        <f t="shared" si="0"/>
        <v>45851</v>
      </c>
      <c r="D30" s="6" t="s">
        <v>31</v>
      </c>
      <c r="E30" s="841" t="s">
        <v>29</v>
      </c>
      <c r="F30" s="6">
        <v>0</v>
      </c>
      <c r="G30" s="6"/>
      <c r="H30" s="29"/>
      <c r="I30" s="6" t="str">
        <f t="shared" si="1"/>
        <v>0:00</v>
      </c>
      <c r="J30" s="6"/>
      <c r="K30" s="6"/>
      <c r="L30" s="6" t="str">
        <f t="shared" si="2"/>
        <v>0:00</v>
      </c>
      <c r="M30" s="4"/>
      <c r="N30" s="4"/>
      <c r="O30" s="16"/>
      <c r="P30" s="19"/>
      <c r="Q30" s="21"/>
      <c r="R30" s="4"/>
      <c r="S30" s="4"/>
      <c r="T30" s="4"/>
      <c r="U30" s="4"/>
      <c r="V30" s="4"/>
      <c r="W30" s="4"/>
      <c r="X30" s="4"/>
      <c r="Y30" s="4"/>
      <c r="Z30" s="4"/>
      <c r="AA30" s="4"/>
    </row>
    <row r="31" spans="1:27" ht="15.95" customHeight="1" x14ac:dyDescent="0.2">
      <c r="A31" s="916"/>
      <c r="B31" s="6">
        <v>111</v>
      </c>
      <c r="C31" s="17">
        <f t="shared" si="0"/>
        <v>45852</v>
      </c>
      <c r="D31" s="6" t="s">
        <v>33</v>
      </c>
      <c r="E31" s="841" t="s">
        <v>385</v>
      </c>
      <c r="F31" s="6">
        <v>8</v>
      </c>
      <c r="G31" s="6"/>
      <c r="H31" s="6"/>
      <c r="I31" s="6" t="str">
        <f t="shared" si="1"/>
        <v>0:00</v>
      </c>
      <c r="J31" s="6"/>
      <c r="K31" s="6"/>
      <c r="L31" s="6" t="str">
        <f t="shared" si="2"/>
        <v>0:00</v>
      </c>
      <c r="M31" s="6"/>
      <c r="N31" s="6"/>
      <c r="O31" s="16"/>
      <c r="P31" s="19"/>
      <c r="Q31" s="21"/>
      <c r="R31" s="4"/>
      <c r="S31" s="4"/>
      <c r="T31" s="4"/>
      <c r="U31" s="4"/>
      <c r="V31" s="4"/>
      <c r="W31" s="4"/>
      <c r="X31" s="4"/>
      <c r="Y31" s="4"/>
      <c r="Z31" s="4"/>
      <c r="AA31" s="4"/>
    </row>
    <row r="32" spans="1:27" ht="15.95" customHeight="1" x14ac:dyDescent="0.2">
      <c r="A32" s="916"/>
      <c r="B32" s="6">
        <v>110</v>
      </c>
      <c r="C32" s="17">
        <f t="shared" si="0"/>
        <v>45853</v>
      </c>
      <c r="D32" s="6" t="s">
        <v>34</v>
      </c>
      <c r="E32" s="841" t="s">
        <v>341</v>
      </c>
      <c r="F32" s="6">
        <v>14</v>
      </c>
      <c r="G32" s="6"/>
      <c r="H32" s="29"/>
      <c r="I32" s="6" t="str">
        <f t="shared" si="1"/>
        <v>0:00</v>
      </c>
      <c r="J32" s="6"/>
      <c r="K32" s="6"/>
      <c r="L32" s="6" t="str">
        <f t="shared" si="2"/>
        <v>0:00</v>
      </c>
      <c r="M32" s="6"/>
      <c r="N32" s="6"/>
      <c r="O32" s="16"/>
      <c r="P32" s="19"/>
      <c r="Q32" s="21"/>
      <c r="R32" s="4"/>
      <c r="S32" s="4"/>
      <c r="T32" s="4"/>
      <c r="U32" s="4"/>
      <c r="V32" s="4"/>
      <c r="W32" s="4"/>
      <c r="X32" s="4"/>
      <c r="Y32" s="4"/>
      <c r="Z32" s="4"/>
      <c r="AA32" s="4"/>
    </row>
    <row r="33" spans="1:27" ht="15.95" customHeight="1" x14ac:dyDescent="0.2">
      <c r="A33" s="916"/>
      <c r="B33" s="6">
        <v>109</v>
      </c>
      <c r="C33" s="17">
        <f t="shared" si="0"/>
        <v>45854</v>
      </c>
      <c r="D33" s="6" t="s">
        <v>26</v>
      </c>
      <c r="E33" s="841" t="s">
        <v>385</v>
      </c>
      <c r="F33" s="6">
        <v>8</v>
      </c>
      <c r="G33" s="6"/>
      <c r="H33" s="29"/>
      <c r="I33" s="6" t="str">
        <f t="shared" si="1"/>
        <v>0:00</v>
      </c>
      <c r="J33" s="6"/>
      <c r="K33" s="6"/>
      <c r="L33" s="6" t="str">
        <f t="shared" si="2"/>
        <v>0:00</v>
      </c>
      <c r="M33" s="6"/>
      <c r="N33" s="6"/>
      <c r="O33" s="16"/>
      <c r="P33" s="22">
        <f>N34+P26</f>
        <v>0</v>
      </c>
      <c r="Q33" s="18"/>
      <c r="R33" s="4"/>
      <c r="S33" s="4"/>
      <c r="T33" s="4"/>
      <c r="U33" s="4"/>
      <c r="V33" s="4"/>
      <c r="W33" s="4"/>
      <c r="X33" s="4"/>
      <c r="Y33" s="4"/>
      <c r="Z33" s="4"/>
      <c r="AA33" s="4"/>
    </row>
    <row r="34" spans="1:27" ht="15.95" customHeight="1" x14ac:dyDescent="0.2">
      <c r="A34" s="916"/>
      <c r="B34" s="6">
        <v>108</v>
      </c>
      <c r="C34" s="17">
        <f t="shared" si="0"/>
        <v>45855</v>
      </c>
      <c r="D34" s="6" t="s">
        <v>27</v>
      </c>
      <c r="E34" s="841" t="s">
        <v>387</v>
      </c>
      <c r="F34" s="6">
        <v>10</v>
      </c>
      <c r="G34" s="6"/>
      <c r="H34" s="29"/>
      <c r="I34" s="6" t="str">
        <f t="shared" si="1"/>
        <v>0:00</v>
      </c>
      <c r="J34" s="6"/>
      <c r="K34" s="6"/>
      <c r="L34" s="6" t="str">
        <f t="shared" si="2"/>
        <v>0:00</v>
      </c>
      <c r="M34" s="6"/>
      <c r="N34" s="28">
        <f>SUM(H29:H35)</f>
        <v>0</v>
      </c>
      <c r="O34" s="16"/>
      <c r="P34" s="19">
        <f>P27+N35</f>
        <v>0</v>
      </c>
      <c r="Q34" s="20">
        <f>P34/P35</f>
        <v>0</v>
      </c>
      <c r="R34" s="4"/>
      <c r="S34" s="4"/>
      <c r="T34" s="4"/>
      <c r="U34" s="4"/>
      <c r="V34" s="4"/>
      <c r="W34" s="4"/>
      <c r="X34" s="4"/>
      <c r="Y34" s="4"/>
      <c r="Z34" s="4"/>
      <c r="AA34" s="4"/>
    </row>
    <row r="35" spans="1:27" ht="15.95" customHeight="1" x14ac:dyDescent="0.2">
      <c r="A35" s="916"/>
      <c r="B35" s="6">
        <v>107</v>
      </c>
      <c r="C35" s="17">
        <f t="shared" si="0"/>
        <v>45856</v>
      </c>
      <c r="D35" s="6" t="s">
        <v>28</v>
      </c>
      <c r="E35" s="841" t="s">
        <v>384</v>
      </c>
      <c r="F35" s="6">
        <v>8</v>
      </c>
      <c r="G35" s="6"/>
      <c r="H35" s="29"/>
      <c r="I35" s="6" t="str">
        <f t="shared" si="1"/>
        <v>0:00</v>
      </c>
      <c r="J35" s="6"/>
      <c r="K35" s="6"/>
      <c r="L35" s="6" t="str">
        <f t="shared" si="2"/>
        <v>0:00</v>
      </c>
      <c r="M35" s="6">
        <v>63</v>
      </c>
      <c r="N35" s="6">
        <f>SUM(G29:G35)</f>
        <v>0</v>
      </c>
      <c r="O35" s="16"/>
      <c r="P35" s="19">
        <f>P28+M35</f>
        <v>163</v>
      </c>
      <c r="Q35" s="21"/>
      <c r="R35" s="4"/>
      <c r="S35" s="16"/>
      <c r="T35" s="4"/>
      <c r="U35" s="4"/>
      <c r="V35" s="4"/>
      <c r="W35" s="4"/>
      <c r="X35" s="4"/>
      <c r="Y35" s="4"/>
      <c r="Z35" s="4"/>
      <c r="AA35" s="4"/>
    </row>
    <row r="36" spans="1:27" ht="15.95" customHeight="1" x14ac:dyDescent="0.2">
      <c r="A36" s="1274" t="s">
        <v>36</v>
      </c>
      <c r="B36" s="27">
        <v>106</v>
      </c>
      <c r="C36" s="829">
        <f t="shared" si="0"/>
        <v>45857</v>
      </c>
      <c r="D36" s="27" t="s">
        <v>30</v>
      </c>
      <c r="E36" s="845" t="s">
        <v>340</v>
      </c>
      <c r="F36" s="27">
        <v>16</v>
      </c>
      <c r="G36" s="27"/>
      <c r="H36" s="30"/>
      <c r="I36" s="27" t="str">
        <f t="shared" si="1"/>
        <v>0:00</v>
      </c>
      <c r="J36" s="27"/>
      <c r="K36" s="27"/>
      <c r="L36" s="27" t="str">
        <f t="shared" si="2"/>
        <v>0:00</v>
      </c>
      <c r="M36" s="830"/>
      <c r="N36" s="830"/>
      <c r="O36" s="832"/>
      <c r="P36" s="19"/>
      <c r="Q36" s="21"/>
      <c r="R36" s="4"/>
      <c r="S36" s="4"/>
      <c r="T36" s="4"/>
      <c r="U36" s="4"/>
      <c r="V36" s="4"/>
      <c r="W36" s="4"/>
      <c r="X36" s="4"/>
      <c r="Y36" s="4"/>
      <c r="Z36" s="4"/>
      <c r="AA36" s="4"/>
    </row>
    <row r="37" spans="1:27" ht="15.95" customHeight="1" x14ac:dyDescent="0.2">
      <c r="A37" s="1274"/>
      <c r="B37" s="27">
        <v>105</v>
      </c>
      <c r="C37" s="829">
        <f t="shared" si="0"/>
        <v>45858</v>
      </c>
      <c r="D37" s="27" t="s">
        <v>31</v>
      </c>
      <c r="E37" s="848" t="s">
        <v>29</v>
      </c>
      <c r="F37" s="27">
        <v>0</v>
      </c>
      <c r="G37" s="27"/>
      <c r="H37" s="30"/>
      <c r="I37" s="27" t="str">
        <f t="shared" si="1"/>
        <v>0:00</v>
      </c>
      <c r="J37" s="27"/>
      <c r="K37" s="27"/>
      <c r="L37" s="27" t="str">
        <f t="shared" si="2"/>
        <v>0:00</v>
      </c>
      <c r="M37" s="830"/>
      <c r="N37" s="830"/>
      <c r="O37" s="832"/>
      <c r="P37" s="19"/>
      <c r="Q37" s="21"/>
      <c r="R37" s="4"/>
      <c r="S37" s="4"/>
      <c r="T37" s="4"/>
      <c r="U37" s="4"/>
      <c r="V37" s="4"/>
      <c r="W37" s="4"/>
      <c r="X37" s="4"/>
      <c r="Y37" s="4"/>
      <c r="Z37" s="4"/>
      <c r="AA37" s="4"/>
    </row>
    <row r="38" spans="1:27" ht="15.95" customHeight="1" x14ac:dyDescent="0.2">
      <c r="A38" s="1274"/>
      <c r="B38" s="27">
        <v>104</v>
      </c>
      <c r="C38" s="829">
        <f t="shared" si="0"/>
        <v>45859</v>
      </c>
      <c r="D38" s="27" t="s">
        <v>33</v>
      </c>
      <c r="E38" s="845" t="s">
        <v>385</v>
      </c>
      <c r="F38" s="27">
        <v>8</v>
      </c>
      <c r="G38" s="27"/>
      <c r="H38" s="27"/>
      <c r="I38" s="27" t="str">
        <f t="shared" si="1"/>
        <v>0:00</v>
      </c>
      <c r="J38" s="27"/>
      <c r="K38" s="27"/>
      <c r="L38" s="27" t="str">
        <f t="shared" si="2"/>
        <v>0:00</v>
      </c>
      <c r="M38" s="27"/>
      <c r="N38" s="27"/>
      <c r="O38" s="832"/>
      <c r="P38" s="19"/>
      <c r="Q38" s="21"/>
      <c r="R38" s="4"/>
      <c r="S38" s="4"/>
      <c r="T38" s="4"/>
      <c r="U38" s="4"/>
      <c r="V38" s="4"/>
      <c r="W38" s="4"/>
      <c r="X38" s="4"/>
      <c r="Y38" s="4"/>
      <c r="Z38" s="4"/>
      <c r="AA38" s="4"/>
    </row>
    <row r="39" spans="1:27" ht="15.95" customHeight="1" x14ac:dyDescent="0.2">
      <c r="A39" s="1274"/>
      <c r="B39" s="27">
        <v>103</v>
      </c>
      <c r="C39" s="829">
        <f t="shared" si="0"/>
        <v>45860</v>
      </c>
      <c r="D39" s="27" t="s">
        <v>34</v>
      </c>
      <c r="E39" s="845" t="s">
        <v>342</v>
      </c>
      <c r="F39" s="27">
        <v>15</v>
      </c>
      <c r="G39" s="27"/>
      <c r="H39" s="30"/>
      <c r="I39" s="27" t="str">
        <f t="shared" si="1"/>
        <v>0:00</v>
      </c>
      <c r="J39" s="27"/>
      <c r="K39" s="27"/>
      <c r="L39" s="27" t="str">
        <f t="shared" si="2"/>
        <v>0:00</v>
      </c>
      <c r="M39" s="27"/>
      <c r="N39" s="27"/>
      <c r="O39" s="832"/>
      <c r="P39" s="19"/>
      <c r="Q39" s="21"/>
      <c r="R39" s="4"/>
      <c r="S39" s="4"/>
      <c r="T39" s="4"/>
      <c r="U39" s="4"/>
      <c r="V39" s="4"/>
      <c r="W39" s="4"/>
      <c r="X39" s="4"/>
      <c r="Y39" s="4"/>
      <c r="Z39" s="4"/>
      <c r="AA39" s="4"/>
    </row>
    <row r="40" spans="1:27" ht="15.95" customHeight="1" x14ac:dyDescent="0.2">
      <c r="A40" s="1274"/>
      <c r="B40" s="27">
        <v>102</v>
      </c>
      <c r="C40" s="829">
        <f t="shared" si="0"/>
        <v>45861</v>
      </c>
      <c r="D40" s="27" t="s">
        <v>26</v>
      </c>
      <c r="E40" s="845" t="s">
        <v>385</v>
      </c>
      <c r="F40" s="27">
        <v>8</v>
      </c>
      <c r="G40" s="27"/>
      <c r="H40" s="30"/>
      <c r="I40" s="27" t="str">
        <f t="shared" si="1"/>
        <v>0:00</v>
      </c>
      <c r="J40" s="27"/>
      <c r="K40" s="27"/>
      <c r="L40" s="27" t="str">
        <f t="shared" si="2"/>
        <v>0:00</v>
      </c>
      <c r="M40" s="27"/>
      <c r="N40" s="27"/>
      <c r="O40" s="832"/>
      <c r="P40" s="22">
        <f>N41+P33</f>
        <v>0</v>
      </c>
      <c r="Q40" s="18"/>
      <c r="R40" s="4"/>
      <c r="S40" s="6"/>
      <c r="T40" s="4"/>
      <c r="U40" s="4"/>
      <c r="V40" s="4"/>
      <c r="W40" s="4"/>
      <c r="X40" s="4"/>
      <c r="Y40" s="4"/>
      <c r="Z40" s="4"/>
      <c r="AA40" s="4"/>
    </row>
    <row r="41" spans="1:27" ht="15.95" customHeight="1" x14ac:dyDescent="0.2">
      <c r="A41" s="1274"/>
      <c r="B41" s="27">
        <v>101</v>
      </c>
      <c r="C41" s="829">
        <f t="shared" si="0"/>
        <v>45862</v>
      </c>
      <c r="D41" s="27" t="s">
        <v>27</v>
      </c>
      <c r="E41" s="845" t="s">
        <v>388</v>
      </c>
      <c r="F41" s="27">
        <v>11</v>
      </c>
      <c r="G41" s="27"/>
      <c r="H41" s="30"/>
      <c r="I41" s="27" t="str">
        <f t="shared" si="1"/>
        <v>0:00</v>
      </c>
      <c r="J41" s="27"/>
      <c r="K41" s="27"/>
      <c r="L41" s="27" t="str">
        <f t="shared" si="2"/>
        <v>0:00</v>
      </c>
      <c r="M41" s="27"/>
      <c r="N41" s="831">
        <f>SUM(H36:H42)</f>
        <v>0</v>
      </c>
      <c r="O41" s="832"/>
      <c r="P41" s="19">
        <f>P34+N42</f>
        <v>0</v>
      </c>
      <c r="Q41" s="20">
        <f>P41/P42</f>
        <v>0</v>
      </c>
      <c r="R41" s="4"/>
      <c r="S41" s="6"/>
      <c r="T41" s="4"/>
      <c r="U41" s="4"/>
      <c r="V41" s="4"/>
      <c r="W41" s="4"/>
      <c r="X41" s="4"/>
      <c r="Y41" s="4"/>
      <c r="Z41" s="4"/>
      <c r="AA41" s="4"/>
    </row>
    <row r="42" spans="1:27" ht="15.95" customHeight="1" x14ac:dyDescent="0.2">
      <c r="A42" s="1274"/>
      <c r="B42" s="27">
        <v>100</v>
      </c>
      <c r="C42" s="829">
        <f t="shared" si="0"/>
        <v>45863</v>
      </c>
      <c r="D42" s="27" t="s">
        <v>28</v>
      </c>
      <c r="E42" s="845" t="s">
        <v>384</v>
      </c>
      <c r="F42" s="27">
        <v>7</v>
      </c>
      <c r="G42" s="27"/>
      <c r="H42" s="30"/>
      <c r="I42" s="27" t="str">
        <f t="shared" si="1"/>
        <v>0:00</v>
      </c>
      <c r="J42" s="27"/>
      <c r="K42" s="27"/>
      <c r="L42" s="27" t="str">
        <f t="shared" si="2"/>
        <v>0:00</v>
      </c>
      <c r="M42" s="27">
        <v>63</v>
      </c>
      <c r="N42" s="27">
        <f>SUM(G36:G42)</f>
        <v>0</v>
      </c>
      <c r="O42" s="832"/>
      <c r="P42" s="19">
        <f>P35+M42</f>
        <v>226</v>
      </c>
      <c r="Q42" s="21"/>
      <c r="R42" s="4"/>
      <c r="S42" s="6"/>
      <c r="T42" s="4"/>
      <c r="U42" s="4"/>
      <c r="V42" s="4"/>
      <c r="W42" s="4"/>
      <c r="X42" s="4"/>
      <c r="Y42" s="4"/>
      <c r="Z42" s="4"/>
      <c r="AA42" s="4"/>
    </row>
    <row r="43" spans="1:27" ht="15.95" customHeight="1" x14ac:dyDescent="0.2">
      <c r="A43" s="916" t="s">
        <v>37</v>
      </c>
      <c r="B43" s="6">
        <v>99</v>
      </c>
      <c r="C43" s="17">
        <f t="shared" si="0"/>
        <v>45864</v>
      </c>
      <c r="D43" s="6" t="s">
        <v>30</v>
      </c>
      <c r="E43" s="841" t="s">
        <v>347</v>
      </c>
      <c r="F43" s="6">
        <v>16</v>
      </c>
      <c r="G43" s="6"/>
      <c r="H43" s="29"/>
      <c r="I43" s="6" t="str">
        <f t="shared" si="1"/>
        <v>0:00</v>
      </c>
      <c r="J43" s="6"/>
      <c r="K43" s="6"/>
      <c r="L43" s="6" t="str">
        <f t="shared" si="2"/>
        <v>0:00</v>
      </c>
      <c r="M43" s="4"/>
      <c r="N43" s="4"/>
      <c r="O43" s="16"/>
      <c r="P43" s="19"/>
      <c r="Q43" s="21"/>
      <c r="R43" s="4"/>
      <c r="S43" s="6"/>
      <c r="T43" s="4"/>
      <c r="U43" s="4"/>
      <c r="V43" s="4"/>
      <c r="W43" s="4"/>
      <c r="X43" s="4"/>
      <c r="Y43" s="4"/>
      <c r="Z43" s="4"/>
      <c r="AA43" s="4"/>
    </row>
    <row r="44" spans="1:27" ht="15.95" customHeight="1" x14ac:dyDescent="0.2">
      <c r="A44" s="916"/>
      <c r="B44" s="6">
        <v>98</v>
      </c>
      <c r="C44" s="17">
        <f t="shared" si="0"/>
        <v>45865</v>
      </c>
      <c r="D44" s="6" t="s">
        <v>31</v>
      </c>
      <c r="E44" s="849" t="s">
        <v>29</v>
      </c>
      <c r="F44" s="6">
        <v>0</v>
      </c>
      <c r="G44" s="6"/>
      <c r="H44" s="29"/>
      <c r="I44" s="6" t="str">
        <f t="shared" si="1"/>
        <v>0:00</v>
      </c>
      <c r="J44" s="6"/>
      <c r="K44" s="6"/>
      <c r="L44" s="6" t="str">
        <f t="shared" si="2"/>
        <v>0:00</v>
      </c>
      <c r="M44" s="4"/>
      <c r="N44" s="4"/>
      <c r="O44" s="16"/>
      <c r="P44" s="19"/>
      <c r="Q44" s="21"/>
      <c r="R44" s="4"/>
      <c r="S44" s="6"/>
      <c r="T44" s="4"/>
      <c r="U44" s="4"/>
      <c r="V44" s="4"/>
      <c r="W44" s="4"/>
      <c r="X44" s="4"/>
      <c r="Y44" s="4"/>
      <c r="Z44" s="4"/>
      <c r="AA44" s="4"/>
    </row>
    <row r="45" spans="1:27" ht="15.95" customHeight="1" x14ac:dyDescent="0.2">
      <c r="A45" s="916"/>
      <c r="B45" s="6">
        <v>97</v>
      </c>
      <c r="C45" s="17">
        <f t="shared" si="0"/>
        <v>45866</v>
      </c>
      <c r="D45" s="6" t="s">
        <v>33</v>
      </c>
      <c r="E45" s="841" t="s">
        <v>385</v>
      </c>
      <c r="F45" s="6">
        <v>8</v>
      </c>
      <c r="G45" s="6"/>
      <c r="H45" s="29"/>
      <c r="I45" s="6" t="str">
        <f t="shared" si="1"/>
        <v>0:00</v>
      </c>
      <c r="J45" s="6"/>
      <c r="K45" s="6"/>
      <c r="L45" s="6" t="str">
        <f t="shared" si="2"/>
        <v>0:00</v>
      </c>
      <c r="M45" s="6"/>
      <c r="N45" s="6"/>
      <c r="O45" s="16"/>
      <c r="P45" s="19"/>
      <c r="Q45" s="21"/>
      <c r="R45" s="4"/>
      <c r="S45" s="6"/>
      <c r="T45" s="4"/>
      <c r="U45" s="4"/>
      <c r="V45" s="4"/>
      <c r="W45" s="4"/>
      <c r="X45" s="4"/>
      <c r="Y45" s="4"/>
      <c r="Z45" s="4"/>
      <c r="AA45" s="4"/>
    </row>
    <row r="46" spans="1:27" ht="15.95" customHeight="1" x14ac:dyDescent="0.2">
      <c r="A46" s="916"/>
      <c r="B46" s="6">
        <v>96</v>
      </c>
      <c r="C46" s="17">
        <f t="shared" si="0"/>
        <v>45867</v>
      </c>
      <c r="D46" s="6" t="s">
        <v>34</v>
      </c>
      <c r="E46" s="841" t="s">
        <v>348</v>
      </c>
      <c r="F46" s="6">
        <v>14</v>
      </c>
      <c r="G46" s="6"/>
      <c r="H46" s="29"/>
      <c r="I46" s="6" t="str">
        <f t="shared" si="1"/>
        <v>0:00</v>
      </c>
      <c r="J46" s="6"/>
      <c r="K46" s="6"/>
      <c r="L46" s="6" t="str">
        <f t="shared" si="2"/>
        <v>0:00</v>
      </c>
      <c r="M46" s="6"/>
      <c r="N46" s="6"/>
      <c r="O46" s="16"/>
      <c r="P46" s="19"/>
      <c r="Q46" s="21"/>
      <c r="R46" s="4"/>
      <c r="S46" s="6"/>
      <c r="T46" s="4"/>
      <c r="U46" s="4"/>
      <c r="V46" s="4"/>
      <c r="W46" s="4"/>
      <c r="X46" s="4"/>
      <c r="Y46" s="4"/>
      <c r="Z46" s="4"/>
      <c r="AA46" s="4"/>
    </row>
    <row r="47" spans="1:27" ht="15.95" customHeight="1" x14ac:dyDescent="0.2">
      <c r="A47" s="916"/>
      <c r="B47" s="6">
        <v>95</v>
      </c>
      <c r="C47" s="17">
        <f t="shared" si="0"/>
        <v>45868</v>
      </c>
      <c r="D47" s="6" t="s">
        <v>26</v>
      </c>
      <c r="E47" s="841" t="s">
        <v>385</v>
      </c>
      <c r="F47" s="6">
        <v>8</v>
      </c>
      <c r="G47" s="6"/>
      <c r="H47" s="29"/>
      <c r="I47" s="6" t="str">
        <f t="shared" si="1"/>
        <v>0:00</v>
      </c>
      <c r="J47" s="6"/>
      <c r="K47" s="6"/>
      <c r="L47" s="6" t="str">
        <f t="shared" si="2"/>
        <v>0:00</v>
      </c>
      <c r="M47" s="6"/>
      <c r="N47" s="6"/>
      <c r="O47" s="16"/>
      <c r="P47" s="22">
        <f>N48+P40</f>
        <v>0</v>
      </c>
      <c r="Q47" s="18"/>
      <c r="R47" s="4"/>
      <c r="S47" s="6"/>
      <c r="T47" s="4"/>
      <c r="U47" s="4"/>
      <c r="V47" s="4"/>
      <c r="W47" s="4"/>
      <c r="X47" s="4"/>
      <c r="Y47" s="4"/>
      <c r="Z47" s="4"/>
      <c r="AA47" s="4"/>
    </row>
    <row r="48" spans="1:27" ht="15.95" customHeight="1" x14ac:dyDescent="0.2">
      <c r="A48" s="916"/>
      <c r="B48" s="6">
        <v>94</v>
      </c>
      <c r="C48" s="17">
        <f t="shared" si="0"/>
        <v>45869</v>
      </c>
      <c r="D48" s="6" t="s">
        <v>27</v>
      </c>
      <c r="E48" s="841" t="s">
        <v>387</v>
      </c>
      <c r="F48" s="6">
        <v>10</v>
      </c>
      <c r="G48" s="6"/>
      <c r="H48" s="29"/>
      <c r="I48" s="6" t="str">
        <f t="shared" si="1"/>
        <v>0:00</v>
      </c>
      <c r="J48" s="6"/>
      <c r="K48" s="6"/>
      <c r="L48" s="6" t="str">
        <f t="shared" si="2"/>
        <v>0:00</v>
      </c>
      <c r="M48" s="6"/>
      <c r="N48" s="28">
        <f>SUM(H43:H49)</f>
        <v>0</v>
      </c>
      <c r="O48" s="16"/>
      <c r="P48" s="19">
        <f>P41+N49</f>
        <v>0</v>
      </c>
      <c r="Q48" s="20">
        <f>P48/P49</f>
        <v>0</v>
      </c>
      <c r="R48" s="4"/>
      <c r="T48" s="4"/>
      <c r="U48" s="4"/>
      <c r="V48" s="4"/>
      <c r="W48" s="4"/>
      <c r="X48" s="4"/>
      <c r="Y48" s="4"/>
      <c r="Z48" s="4"/>
      <c r="AA48" s="4"/>
    </row>
    <row r="49" spans="1:27" ht="15.95" customHeight="1" x14ac:dyDescent="0.2">
      <c r="A49" s="916"/>
      <c r="B49" s="6">
        <v>93</v>
      </c>
      <c r="C49" s="17">
        <f t="shared" si="0"/>
        <v>45870</v>
      </c>
      <c r="D49" s="6" t="s">
        <v>28</v>
      </c>
      <c r="E49" s="841" t="s">
        <v>384</v>
      </c>
      <c r="F49" s="6"/>
      <c r="G49" s="6"/>
      <c r="H49" s="29"/>
      <c r="I49" s="6" t="str">
        <f t="shared" si="1"/>
        <v>0:00</v>
      </c>
      <c r="J49" s="6"/>
      <c r="K49" s="6"/>
      <c r="L49" s="6" t="str">
        <f t="shared" si="2"/>
        <v>0:00</v>
      </c>
      <c r="M49" s="6">
        <v>63</v>
      </c>
      <c r="N49" s="6">
        <f>SUM(G43:G49)</f>
        <v>0</v>
      </c>
      <c r="O49" s="16"/>
      <c r="P49" s="19">
        <f>P42+M49</f>
        <v>289</v>
      </c>
      <c r="Q49" s="21"/>
      <c r="R49" s="4"/>
      <c r="T49" s="4"/>
      <c r="U49" s="4"/>
      <c r="V49" s="4"/>
      <c r="W49" s="4"/>
      <c r="X49" s="4"/>
      <c r="Y49" s="4"/>
      <c r="Z49" s="4"/>
      <c r="AA49" s="4"/>
    </row>
    <row r="50" spans="1:27" ht="15.95" customHeight="1" x14ac:dyDescent="0.2">
      <c r="A50" s="1274" t="s">
        <v>38</v>
      </c>
      <c r="B50" s="27">
        <v>92</v>
      </c>
      <c r="C50" s="829">
        <f t="shared" si="0"/>
        <v>45871</v>
      </c>
      <c r="D50" s="27" t="s">
        <v>30</v>
      </c>
      <c r="E50" s="845" t="s">
        <v>349</v>
      </c>
      <c r="F50" s="27">
        <v>17</v>
      </c>
      <c r="G50" s="27"/>
      <c r="H50" s="30"/>
      <c r="I50" s="27" t="str">
        <f t="shared" si="1"/>
        <v>0:00</v>
      </c>
      <c r="J50" s="27"/>
      <c r="K50" s="27"/>
      <c r="L50" s="27" t="str">
        <f t="shared" si="2"/>
        <v>0:00</v>
      </c>
      <c r="M50" s="830"/>
      <c r="N50" s="830"/>
      <c r="O50" s="832"/>
      <c r="P50" s="19"/>
      <c r="Q50" s="21"/>
      <c r="R50" s="4"/>
      <c r="T50" s="4"/>
      <c r="U50" s="4"/>
      <c r="V50" s="4"/>
      <c r="W50" s="4"/>
      <c r="X50" s="4"/>
      <c r="Y50" s="4"/>
      <c r="Z50" s="4"/>
      <c r="AA50" s="4"/>
    </row>
    <row r="51" spans="1:27" ht="15.95" customHeight="1" x14ac:dyDescent="0.2">
      <c r="A51" s="1274"/>
      <c r="B51" s="27">
        <v>91</v>
      </c>
      <c r="C51" s="829">
        <f t="shared" si="0"/>
        <v>45872</v>
      </c>
      <c r="D51" s="27" t="s">
        <v>31</v>
      </c>
      <c r="E51" s="848" t="s">
        <v>29</v>
      </c>
      <c r="F51" s="27">
        <v>0</v>
      </c>
      <c r="G51" s="27"/>
      <c r="H51" s="30"/>
      <c r="I51" s="27" t="str">
        <f t="shared" si="1"/>
        <v>0:00</v>
      </c>
      <c r="J51" s="27"/>
      <c r="K51" s="27"/>
      <c r="L51" s="27" t="str">
        <f t="shared" si="2"/>
        <v>0:00</v>
      </c>
      <c r="M51" s="830"/>
      <c r="N51" s="830"/>
      <c r="O51" s="832"/>
      <c r="P51" s="19"/>
      <c r="Q51" s="21"/>
      <c r="R51" s="4"/>
      <c r="T51" s="4"/>
      <c r="U51" s="4"/>
      <c r="V51" s="4"/>
      <c r="W51" s="4"/>
      <c r="X51" s="4"/>
      <c r="Y51" s="4"/>
      <c r="Z51" s="4"/>
      <c r="AA51" s="4"/>
    </row>
    <row r="52" spans="1:27" ht="15.95" customHeight="1" x14ac:dyDescent="0.2">
      <c r="A52" s="1274"/>
      <c r="B52" s="27">
        <v>90</v>
      </c>
      <c r="C52" s="829">
        <f t="shared" si="0"/>
        <v>45873</v>
      </c>
      <c r="D52" s="27" t="s">
        <v>33</v>
      </c>
      <c r="E52" s="845" t="s">
        <v>381</v>
      </c>
      <c r="F52" s="27">
        <v>6</v>
      </c>
      <c r="G52" s="27"/>
      <c r="H52" s="27"/>
      <c r="I52" s="27" t="str">
        <f t="shared" si="1"/>
        <v>0:00</v>
      </c>
      <c r="J52" s="27"/>
      <c r="K52" s="27"/>
      <c r="L52" s="27" t="str">
        <f t="shared" si="2"/>
        <v>0:00</v>
      </c>
      <c r="M52" s="27"/>
      <c r="N52" s="27"/>
      <c r="O52" s="832"/>
      <c r="P52" s="19"/>
      <c r="Q52" s="21"/>
      <c r="R52" s="4"/>
      <c r="T52" s="4"/>
      <c r="U52" s="4"/>
      <c r="V52" s="4"/>
      <c r="W52" s="4"/>
      <c r="X52" s="4"/>
      <c r="Y52" s="4"/>
      <c r="Z52" s="4"/>
      <c r="AA52" s="4"/>
    </row>
    <row r="53" spans="1:27" ht="15.95" customHeight="1" x14ac:dyDescent="0.2">
      <c r="A53" s="1274"/>
      <c r="B53" s="27">
        <v>89</v>
      </c>
      <c r="C53" s="829">
        <f t="shared" si="0"/>
        <v>45874</v>
      </c>
      <c r="D53" s="27" t="s">
        <v>34</v>
      </c>
      <c r="E53" s="845" t="s">
        <v>351</v>
      </c>
      <c r="F53" s="27">
        <v>15</v>
      </c>
      <c r="G53" s="846"/>
      <c r="H53" s="30"/>
      <c r="I53" s="27" t="str">
        <f t="shared" si="1"/>
        <v>0:00</v>
      </c>
      <c r="J53" s="27"/>
      <c r="K53" s="27"/>
      <c r="L53" s="27" t="str">
        <f t="shared" si="2"/>
        <v>0:00</v>
      </c>
      <c r="M53" s="27"/>
      <c r="N53" s="27"/>
      <c r="O53" s="832"/>
      <c r="P53" s="19"/>
      <c r="Q53" s="21"/>
      <c r="R53" s="4"/>
      <c r="T53" s="4"/>
      <c r="U53" s="4"/>
      <c r="V53" s="4"/>
      <c r="W53" s="4"/>
      <c r="X53" s="4"/>
      <c r="Y53" s="4"/>
      <c r="Z53" s="4"/>
      <c r="AA53" s="4"/>
    </row>
    <row r="54" spans="1:27" ht="15.95" customHeight="1" x14ac:dyDescent="0.2">
      <c r="A54" s="1274"/>
      <c r="B54" s="27">
        <v>88</v>
      </c>
      <c r="C54" s="829">
        <f t="shared" si="0"/>
        <v>45875</v>
      </c>
      <c r="D54" s="27" t="s">
        <v>26</v>
      </c>
      <c r="E54" s="845" t="s">
        <v>381</v>
      </c>
      <c r="F54" s="27">
        <v>6</v>
      </c>
      <c r="G54" s="27"/>
      <c r="H54" s="30"/>
      <c r="I54" s="27" t="str">
        <f t="shared" si="1"/>
        <v>0:00</v>
      </c>
      <c r="J54" s="27"/>
      <c r="K54" s="27"/>
      <c r="L54" s="27" t="str">
        <f t="shared" si="2"/>
        <v>0:00</v>
      </c>
      <c r="M54" s="27"/>
      <c r="N54" s="27"/>
      <c r="O54" s="832"/>
      <c r="P54" s="22">
        <f>N55+P47</f>
        <v>0</v>
      </c>
      <c r="Q54" s="18"/>
      <c r="R54" s="4"/>
      <c r="V54" s="4"/>
      <c r="W54" s="4"/>
      <c r="X54" s="4"/>
      <c r="Y54" s="4"/>
      <c r="Z54" s="4"/>
      <c r="AA54" s="4"/>
    </row>
    <row r="55" spans="1:27" ht="15.95" customHeight="1" x14ac:dyDescent="0.2">
      <c r="A55" s="1274"/>
      <c r="B55" s="27">
        <v>87</v>
      </c>
      <c r="C55" s="829">
        <f t="shared" si="0"/>
        <v>45876</v>
      </c>
      <c r="D55" s="27" t="s">
        <v>27</v>
      </c>
      <c r="E55" s="845" t="s">
        <v>385</v>
      </c>
      <c r="F55" s="27">
        <v>8</v>
      </c>
      <c r="G55" s="27"/>
      <c r="H55" s="30"/>
      <c r="I55" s="27" t="str">
        <f t="shared" si="1"/>
        <v>0:00</v>
      </c>
      <c r="J55" s="27"/>
      <c r="K55" s="27"/>
      <c r="L55" s="27" t="str">
        <f t="shared" si="2"/>
        <v>0:00</v>
      </c>
      <c r="M55" s="27"/>
      <c r="N55" s="831">
        <f>SUM(H50:H56)</f>
        <v>0</v>
      </c>
      <c r="O55" s="832"/>
      <c r="P55" s="19">
        <f>P48+N56</f>
        <v>0</v>
      </c>
      <c r="Q55" s="20">
        <f>P55/P56</f>
        <v>0</v>
      </c>
      <c r="R55" s="4"/>
      <c r="V55" s="4"/>
      <c r="W55" s="4"/>
      <c r="X55" s="4"/>
      <c r="Y55" s="4"/>
      <c r="Z55" s="4"/>
      <c r="AA55" s="4"/>
    </row>
    <row r="56" spans="1:27" ht="15.95" customHeight="1" x14ac:dyDescent="0.2">
      <c r="A56" s="1274"/>
      <c r="B56" s="27">
        <v>86</v>
      </c>
      <c r="C56" s="829">
        <f t="shared" si="0"/>
        <v>45877</v>
      </c>
      <c r="D56" s="27" t="s">
        <v>28</v>
      </c>
      <c r="E56" s="845" t="s">
        <v>429</v>
      </c>
      <c r="F56" s="27">
        <v>4</v>
      </c>
      <c r="G56" s="27"/>
      <c r="H56" s="30"/>
      <c r="I56" s="27" t="str">
        <f t="shared" si="1"/>
        <v>0:00</v>
      </c>
      <c r="J56" s="27"/>
      <c r="K56" s="27"/>
      <c r="L56" s="27" t="str">
        <f t="shared" si="2"/>
        <v>0:00</v>
      </c>
      <c r="M56" s="27">
        <v>56</v>
      </c>
      <c r="N56" s="27">
        <f>SUM(G50:G56)</f>
        <v>0</v>
      </c>
      <c r="O56" s="832"/>
      <c r="P56" s="19">
        <f>P49+M56</f>
        <v>345</v>
      </c>
      <c r="Q56" s="21"/>
      <c r="R56" s="25"/>
      <c r="V56" s="4"/>
      <c r="W56" s="4"/>
      <c r="X56" s="4"/>
      <c r="Y56" s="4"/>
      <c r="Z56" s="4"/>
      <c r="AA56" s="4"/>
    </row>
    <row r="57" spans="1:27" ht="15.95" customHeight="1" x14ac:dyDescent="0.2">
      <c r="A57" s="916" t="s">
        <v>344</v>
      </c>
      <c r="B57" s="6">
        <v>85</v>
      </c>
      <c r="C57" s="17">
        <f t="shared" si="0"/>
        <v>45878</v>
      </c>
      <c r="D57" s="6" t="s">
        <v>30</v>
      </c>
      <c r="E57" s="841" t="s">
        <v>350</v>
      </c>
      <c r="F57" s="6">
        <v>17</v>
      </c>
      <c r="G57" s="6"/>
      <c r="H57" s="29"/>
      <c r="I57" s="6" t="str">
        <f t="shared" si="1"/>
        <v>0:00</v>
      </c>
      <c r="J57" s="6"/>
      <c r="K57" s="6"/>
      <c r="L57" s="6" t="str">
        <f t="shared" si="2"/>
        <v>0:00</v>
      </c>
      <c r="M57" s="4"/>
      <c r="N57" s="4"/>
      <c r="O57" s="16"/>
      <c r="P57" s="19"/>
      <c r="Q57" s="21"/>
      <c r="R57" s="4"/>
      <c r="V57" s="4"/>
      <c r="W57" s="4"/>
      <c r="X57" s="4"/>
      <c r="Y57" s="4"/>
      <c r="Z57" s="4"/>
      <c r="AA57" s="4"/>
    </row>
    <row r="58" spans="1:27" ht="15.95" customHeight="1" x14ac:dyDescent="0.2">
      <c r="A58" s="916"/>
      <c r="B58" s="6">
        <v>84</v>
      </c>
      <c r="C58" s="17">
        <f t="shared" si="0"/>
        <v>45879</v>
      </c>
      <c r="D58" s="6" t="s">
        <v>31</v>
      </c>
      <c r="E58" s="849" t="s">
        <v>29</v>
      </c>
      <c r="F58" s="6">
        <v>0</v>
      </c>
      <c r="G58" s="6"/>
      <c r="H58" s="29"/>
      <c r="I58" s="6" t="str">
        <f t="shared" si="1"/>
        <v>0:00</v>
      </c>
      <c r="J58" s="6"/>
      <c r="K58" s="6"/>
      <c r="L58" s="6" t="str">
        <f t="shared" si="2"/>
        <v>0:00</v>
      </c>
      <c r="M58" s="4"/>
      <c r="N58" s="4"/>
      <c r="O58" s="16"/>
      <c r="P58" s="19"/>
      <c r="Q58" s="21"/>
      <c r="R58" s="4"/>
      <c r="V58" s="4"/>
      <c r="W58" s="4"/>
      <c r="X58" s="4"/>
      <c r="Y58" s="4"/>
      <c r="Z58" s="4"/>
      <c r="AA58" s="4"/>
    </row>
    <row r="59" spans="1:27" ht="15.95" customHeight="1" x14ac:dyDescent="0.2">
      <c r="A59" s="916"/>
      <c r="B59" s="6">
        <v>83</v>
      </c>
      <c r="C59" s="17">
        <f t="shared" si="0"/>
        <v>45880</v>
      </c>
      <c r="D59" s="6" t="s">
        <v>33</v>
      </c>
      <c r="E59" s="841" t="s">
        <v>385</v>
      </c>
      <c r="F59" s="6">
        <v>8</v>
      </c>
      <c r="G59" s="6"/>
      <c r="H59" s="6"/>
      <c r="I59" s="6" t="str">
        <f>CONCATENATE(FLOOR((HOUR(H59)*60+MINUTE(H59)+SECOND(H59)/60)/IF(ISBLANK(G59),1,G59),1),":",TEXT(ROUND((((HOUR(H59)*60+MINUTE(H59)+SECOND(H59)/60)/IF(ISBLANK(G59),1,G59))-(FLOOR((HOUR(H59)*60+MINUTE(H59)+SECOND(H59)/60)/IF(ISBLANK(G59),1,G59),1)))*60,0),"00"))</f>
        <v>0:00</v>
      </c>
      <c r="J59" s="6"/>
      <c r="K59" s="6"/>
      <c r="L59" s="6" t="str">
        <f t="shared" si="2"/>
        <v>0:00</v>
      </c>
      <c r="M59" s="6"/>
      <c r="N59" s="6"/>
      <c r="O59" s="16"/>
      <c r="P59" s="19"/>
      <c r="Q59" s="21"/>
      <c r="R59" s="4"/>
      <c r="V59" s="4"/>
      <c r="W59" s="4"/>
      <c r="X59" s="4"/>
      <c r="Y59" s="4"/>
      <c r="Z59" s="4"/>
      <c r="AA59" s="4"/>
    </row>
    <row r="60" spans="1:27" ht="15.95" customHeight="1" x14ac:dyDescent="0.2">
      <c r="A60" s="916"/>
      <c r="B60" s="6">
        <v>82</v>
      </c>
      <c r="C60" s="17">
        <f t="shared" si="0"/>
        <v>45881</v>
      </c>
      <c r="D60" s="6" t="s">
        <v>34</v>
      </c>
      <c r="E60" s="841" t="s">
        <v>352</v>
      </c>
      <c r="F60" s="6">
        <v>14</v>
      </c>
      <c r="G60" s="6"/>
      <c r="H60" s="29"/>
      <c r="I60" s="6" t="str">
        <f t="shared" ref="I60:I65" si="3">CONCATENATE(FLOOR((HOUR(H60)*60+MINUTE(H60)+SECOND(H60)/60)/IF(ISBLANK(G60),1,G60),1),":",TEXT(ROUND((((HOUR(H60)*60+MINUTE(H60)+SECOND(H60)/60)/IF(ISBLANK(G60),1,G60))-(FLOOR((HOUR(H60)*60+MINUTE(H60)+SECOND(H60)/60)/IF(ISBLANK(G60),1,G60),1)))*60,0),"00"))</f>
        <v>0:00</v>
      </c>
      <c r="J60" s="6"/>
      <c r="K60" s="6"/>
      <c r="L60" s="6" t="str">
        <f t="shared" si="2"/>
        <v>0:00</v>
      </c>
      <c r="M60" s="6"/>
      <c r="N60" s="6"/>
      <c r="O60" s="16"/>
      <c r="P60" s="19"/>
      <c r="Q60" s="21"/>
      <c r="R60" s="4"/>
      <c r="V60" s="4"/>
      <c r="W60" s="4"/>
      <c r="X60" s="4"/>
      <c r="Y60" s="4"/>
      <c r="Z60" s="4"/>
      <c r="AA60" s="4"/>
    </row>
    <row r="61" spans="1:27" ht="15.95" customHeight="1" x14ac:dyDescent="0.2">
      <c r="A61" s="916"/>
      <c r="B61" s="6">
        <v>81</v>
      </c>
      <c r="C61" s="17">
        <f t="shared" si="0"/>
        <v>45882</v>
      </c>
      <c r="D61" s="6" t="s">
        <v>26</v>
      </c>
      <c r="E61" s="841" t="s">
        <v>431</v>
      </c>
      <c r="F61" s="6">
        <v>10</v>
      </c>
      <c r="G61" s="6"/>
      <c r="H61" s="29"/>
      <c r="I61" s="6" t="str">
        <f t="shared" si="3"/>
        <v>0:00</v>
      </c>
      <c r="J61" s="6"/>
      <c r="K61" s="6"/>
      <c r="L61" s="6" t="str">
        <f t="shared" si="2"/>
        <v>0:00</v>
      </c>
      <c r="M61" s="6"/>
      <c r="N61" s="6"/>
      <c r="O61" s="16"/>
      <c r="P61" s="22">
        <f>N62+P54</f>
        <v>0</v>
      </c>
      <c r="Q61" s="18"/>
      <c r="R61" s="4"/>
      <c r="V61" s="4"/>
      <c r="W61" s="4"/>
      <c r="X61" s="4"/>
      <c r="Y61" s="4"/>
      <c r="Z61" s="4"/>
      <c r="AA61" s="4"/>
    </row>
    <row r="62" spans="1:27" ht="15.95" customHeight="1" x14ac:dyDescent="0.2">
      <c r="A62" s="916"/>
      <c r="B62" s="6">
        <v>80</v>
      </c>
      <c r="C62" s="17">
        <f t="shared" si="0"/>
        <v>45883</v>
      </c>
      <c r="D62" s="6" t="s">
        <v>27</v>
      </c>
      <c r="E62" s="841" t="s">
        <v>430</v>
      </c>
      <c r="F62" s="6">
        <v>12</v>
      </c>
      <c r="G62" s="6"/>
      <c r="H62" s="29"/>
      <c r="I62" s="6" t="str">
        <f t="shared" si="3"/>
        <v>0:00</v>
      </c>
      <c r="J62" s="6"/>
      <c r="K62" s="6"/>
      <c r="L62" s="6" t="str">
        <f t="shared" si="2"/>
        <v>0:00</v>
      </c>
      <c r="M62" s="6"/>
      <c r="N62" s="28">
        <f>SUM(H57:H63)</f>
        <v>0</v>
      </c>
      <c r="O62" s="16"/>
      <c r="P62" s="19">
        <f>P55+N63</f>
        <v>0</v>
      </c>
      <c r="Q62" s="20">
        <f>P62/P63</f>
        <v>0</v>
      </c>
      <c r="R62" s="4"/>
      <c r="V62" s="4"/>
      <c r="W62" s="4"/>
      <c r="X62" s="4"/>
      <c r="Y62" s="4"/>
      <c r="Z62" s="4"/>
      <c r="AA62" s="4"/>
    </row>
    <row r="63" spans="1:27" ht="15.95" customHeight="1" x14ac:dyDescent="0.2">
      <c r="A63" s="916"/>
      <c r="B63" s="6">
        <v>79</v>
      </c>
      <c r="C63" s="17">
        <f t="shared" si="0"/>
        <v>45884</v>
      </c>
      <c r="D63" s="6" t="s">
        <v>28</v>
      </c>
      <c r="E63" s="841" t="s">
        <v>432</v>
      </c>
      <c r="F63" s="6">
        <v>10</v>
      </c>
      <c r="G63" s="6"/>
      <c r="H63" s="29"/>
      <c r="I63" s="6" t="str">
        <f t="shared" si="3"/>
        <v>0:00</v>
      </c>
      <c r="J63" s="6"/>
      <c r="K63" s="6"/>
      <c r="L63" s="6" t="str">
        <f t="shared" si="2"/>
        <v>0:00</v>
      </c>
      <c r="M63" s="6">
        <v>70</v>
      </c>
      <c r="N63" s="6">
        <f>SUM(G57:G63)</f>
        <v>0</v>
      </c>
      <c r="O63" s="16"/>
      <c r="P63" s="19">
        <f>P56+M63</f>
        <v>415</v>
      </c>
      <c r="Q63" s="21"/>
      <c r="R63" s="4"/>
      <c r="V63" s="4"/>
      <c r="W63" s="4"/>
      <c r="X63" s="4"/>
      <c r="Y63" s="4"/>
      <c r="Z63" s="4"/>
      <c r="AA63" s="4"/>
    </row>
    <row r="64" spans="1:27" ht="15.95" customHeight="1" x14ac:dyDescent="0.2">
      <c r="A64" s="1274" t="s">
        <v>39</v>
      </c>
      <c r="B64" s="27">
        <v>78</v>
      </c>
      <c r="C64" s="829">
        <f t="shared" si="0"/>
        <v>45885</v>
      </c>
      <c r="D64" s="27" t="s">
        <v>30</v>
      </c>
      <c r="E64" s="845" t="s">
        <v>353</v>
      </c>
      <c r="F64" s="27">
        <v>16</v>
      </c>
      <c r="G64" s="27"/>
      <c r="H64" s="30"/>
      <c r="I64" s="27" t="str">
        <f t="shared" si="3"/>
        <v>0:00</v>
      </c>
      <c r="J64" s="27"/>
      <c r="K64" s="27"/>
      <c r="L64" s="27" t="str">
        <f t="shared" si="2"/>
        <v>0:00</v>
      </c>
      <c r="M64" s="830"/>
      <c r="N64" s="830"/>
      <c r="O64" s="832"/>
      <c r="P64" s="19"/>
      <c r="Q64" s="21"/>
      <c r="R64" s="4"/>
      <c r="S64" s="4"/>
      <c r="T64" s="4"/>
      <c r="U64" s="4"/>
      <c r="V64" s="4"/>
      <c r="W64" s="4"/>
      <c r="X64" s="4"/>
      <c r="Y64" s="4"/>
      <c r="Z64" s="4"/>
      <c r="AA64" s="4"/>
    </row>
    <row r="65" spans="1:27" ht="15.95" customHeight="1" x14ac:dyDescent="0.2">
      <c r="A65" s="1274"/>
      <c r="B65" s="27">
        <v>77</v>
      </c>
      <c r="C65" s="829">
        <f t="shared" si="0"/>
        <v>45886</v>
      </c>
      <c r="D65" s="27" t="s">
        <v>31</v>
      </c>
      <c r="E65" s="848" t="s">
        <v>29</v>
      </c>
      <c r="F65" s="27">
        <v>0</v>
      </c>
      <c r="G65" s="27"/>
      <c r="H65" s="30"/>
      <c r="I65" s="27" t="str">
        <f t="shared" si="3"/>
        <v>0:00</v>
      </c>
      <c r="J65" s="27"/>
      <c r="K65" s="27"/>
      <c r="L65" s="27" t="str">
        <f t="shared" si="2"/>
        <v>0:00</v>
      </c>
      <c r="M65" s="830"/>
      <c r="N65" s="830"/>
      <c r="O65" s="832"/>
      <c r="P65" s="19"/>
      <c r="Q65" s="21"/>
      <c r="R65" s="4"/>
      <c r="S65" s="4"/>
      <c r="T65" s="4"/>
      <c r="U65" s="4"/>
      <c r="V65" s="4"/>
      <c r="W65" s="4"/>
      <c r="X65" s="4"/>
      <c r="Y65" s="4"/>
      <c r="Z65" s="4"/>
      <c r="AA65" s="4"/>
    </row>
    <row r="66" spans="1:27" ht="15.95" customHeight="1" x14ac:dyDescent="0.2">
      <c r="A66" s="1274"/>
      <c r="B66" s="27">
        <v>76</v>
      </c>
      <c r="C66" s="829">
        <f t="shared" si="0"/>
        <v>45887</v>
      </c>
      <c r="D66" s="27" t="s">
        <v>33</v>
      </c>
      <c r="E66" s="845" t="s">
        <v>385</v>
      </c>
      <c r="F66" s="27">
        <v>8</v>
      </c>
      <c r="G66" s="27"/>
      <c r="H66" s="27"/>
      <c r="I66" s="27" t="str">
        <f>CONCATENATE(FLOOR((HOUR(H66)*60+MINUTE(H66)+SECOND(H66)/60)/IF(ISBLANK(G66),1,G66),1),":",TEXT(ROUND((((HOUR(H66)*60+MINUTE(H66)+SECOND(H66)/60)/IF(ISBLANK(G66),1,G66))-(FLOOR((HOUR(H66)*60+MINUTE(H66)+SECOND(H66)/60)/IF(ISBLANK(G66),1,G66),1)))*60,0),"00"))</f>
        <v>0:00</v>
      </c>
      <c r="J66" s="27"/>
      <c r="K66" s="27"/>
      <c r="L66" s="27" t="str">
        <f t="shared" si="2"/>
        <v>0:00</v>
      </c>
      <c r="M66" s="27"/>
      <c r="N66" s="27"/>
      <c r="O66" s="832"/>
      <c r="P66" s="19"/>
      <c r="Q66" s="21"/>
      <c r="R66" s="4"/>
      <c r="S66" s="4"/>
      <c r="T66" s="4"/>
      <c r="U66" s="4"/>
      <c r="V66" s="4"/>
      <c r="W66" s="4"/>
      <c r="X66" s="4"/>
      <c r="Y66" s="4"/>
      <c r="Z66" s="4"/>
      <c r="AA66" s="4"/>
    </row>
    <row r="67" spans="1:27" ht="15.95" customHeight="1" x14ac:dyDescent="0.2">
      <c r="A67" s="1274"/>
      <c r="B67" s="27">
        <v>75</v>
      </c>
      <c r="C67" s="829">
        <f t="shared" si="0"/>
        <v>45888</v>
      </c>
      <c r="D67" s="27" t="s">
        <v>34</v>
      </c>
      <c r="E67" s="845" t="s">
        <v>355</v>
      </c>
      <c r="F67" s="27">
        <v>15</v>
      </c>
      <c r="G67" s="27"/>
      <c r="H67" s="30"/>
      <c r="I67" s="27" t="str">
        <f t="shared" ref="I67:I130" si="4">CONCATENATE(FLOOR((HOUR(H67)*60+MINUTE(H67)+SECOND(H67)/60)/IF(ISBLANK(G67),1,G67),1),":",TEXT(ROUND((((HOUR(H67)*60+MINUTE(H67)+SECOND(H67)/60)/IF(ISBLANK(G67),1,G67))-(FLOOR((HOUR(H67)*60+MINUTE(H67)+SECOND(H67)/60)/IF(ISBLANK(G67),1,G67),1)))*60,0),"00"))</f>
        <v>0:00</v>
      </c>
      <c r="J67" s="27"/>
      <c r="K67" s="27"/>
      <c r="L67" s="27" t="str">
        <f t="shared" si="2"/>
        <v>0:00</v>
      </c>
      <c r="M67" s="27"/>
      <c r="N67" s="27"/>
      <c r="O67" s="832"/>
      <c r="P67" s="19"/>
      <c r="Q67" s="21"/>
      <c r="R67" s="4"/>
      <c r="S67" s="4"/>
      <c r="T67" s="4"/>
      <c r="U67" s="4"/>
      <c r="V67" s="4"/>
      <c r="W67" s="4"/>
      <c r="X67" s="4"/>
      <c r="Y67" s="4"/>
      <c r="Z67" s="4"/>
      <c r="AA67" s="4"/>
    </row>
    <row r="68" spans="1:27" ht="15.95" customHeight="1" x14ac:dyDescent="0.2">
      <c r="A68" s="1274"/>
      <c r="B68" s="27">
        <v>74</v>
      </c>
      <c r="C68" s="829">
        <f t="shared" si="0"/>
        <v>45889</v>
      </c>
      <c r="D68" s="27" t="s">
        <v>26</v>
      </c>
      <c r="E68" s="845" t="s">
        <v>384</v>
      </c>
      <c r="F68" s="27">
        <v>7</v>
      </c>
      <c r="G68" s="27"/>
      <c r="H68" s="30"/>
      <c r="I68" s="27" t="str">
        <f t="shared" si="4"/>
        <v>0:00</v>
      </c>
      <c r="J68" s="27"/>
      <c r="K68" s="27"/>
      <c r="L68" s="27" t="str">
        <f t="shared" si="2"/>
        <v>0:00</v>
      </c>
      <c r="M68" s="27"/>
      <c r="N68" s="27"/>
      <c r="O68" s="832"/>
      <c r="P68" s="22">
        <f>N69+P61</f>
        <v>0</v>
      </c>
      <c r="Q68" s="18"/>
      <c r="R68" s="4"/>
      <c r="S68" s="4"/>
      <c r="T68" s="4"/>
      <c r="U68" s="4"/>
      <c r="V68" s="4"/>
      <c r="W68" s="4"/>
      <c r="X68" s="4"/>
      <c r="Y68" s="4"/>
      <c r="Z68" s="4"/>
      <c r="AA68" s="4"/>
    </row>
    <row r="69" spans="1:27" ht="15.95" customHeight="1" x14ac:dyDescent="0.2">
      <c r="A69" s="1274"/>
      <c r="B69" s="27">
        <v>73</v>
      </c>
      <c r="C69" s="829">
        <f t="shared" si="0"/>
        <v>45890</v>
      </c>
      <c r="D69" s="27" t="s">
        <v>27</v>
      </c>
      <c r="E69" s="845" t="s">
        <v>387</v>
      </c>
      <c r="F69" s="27">
        <v>10</v>
      </c>
      <c r="G69" s="27"/>
      <c r="H69" s="30"/>
      <c r="I69" s="27" t="str">
        <f t="shared" si="4"/>
        <v>0:00</v>
      </c>
      <c r="J69" s="27"/>
      <c r="K69" s="27"/>
      <c r="L69" s="27" t="str">
        <f t="shared" si="2"/>
        <v>0:00</v>
      </c>
      <c r="M69" s="27"/>
      <c r="N69" s="831">
        <f>SUM(H64:H70)</f>
        <v>0</v>
      </c>
      <c r="O69" s="832"/>
      <c r="P69" s="19">
        <f>P62+N70</f>
        <v>0</v>
      </c>
      <c r="Q69" s="20">
        <f>P69/P70</f>
        <v>0</v>
      </c>
      <c r="R69" s="4"/>
      <c r="S69" s="4"/>
      <c r="T69" s="4"/>
      <c r="U69" s="4"/>
      <c r="V69" s="4"/>
      <c r="W69" s="4"/>
      <c r="X69" s="4"/>
      <c r="Y69" s="4"/>
      <c r="Z69" s="4"/>
      <c r="AA69" s="4"/>
    </row>
    <row r="70" spans="1:27" ht="15.95" customHeight="1" x14ac:dyDescent="0.2">
      <c r="A70" s="1274"/>
      <c r="B70" s="27">
        <v>72</v>
      </c>
      <c r="C70" s="829">
        <f t="shared" si="0"/>
        <v>45891</v>
      </c>
      <c r="D70" s="27" t="s">
        <v>28</v>
      </c>
      <c r="E70" s="845" t="s">
        <v>384</v>
      </c>
      <c r="F70" s="27">
        <v>7</v>
      </c>
      <c r="G70" s="27"/>
      <c r="H70" s="30"/>
      <c r="I70" s="27" t="str">
        <f t="shared" si="4"/>
        <v>0:00</v>
      </c>
      <c r="J70" s="27"/>
      <c r="K70" s="27"/>
      <c r="L70" s="27" t="str">
        <f t="shared" si="2"/>
        <v>0:00</v>
      </c>
      <c r="M70" s="27">
        <v>63</v>
      </c>
      <c r="N70" s="27">
        <f>SUM(G64:G70)</f>
        <v>0</v>
      </c>
      <c r="O70" s="832"/>
      <c r="P70" s="19">
        <f>P63+M70</f>
        <v>478</v>
      </c>
      <c r="Q70" s="21"/>
      <c r="R70" s="4"/>
      <c r="S70" s="4"/>
      <c r="T70" s="4"/>
      <c r="U70" s="4"/>
      <c r="V70" s="4"/>
      <c r="W70" s="4"/>
      <c r="X70" s="4"/>
      <c r="Y70" s="4"/>
      <c r="Z70" s="4"/>
      <c r="AA70" s="4"/>
    </row>
    <row r="71" spans="1:27" ht="15.95" customHeight="1" x14ac:dyDescent="0.2">
      <c r="A71" s="916" t="s">
        <v>40</v>
      </c>
      <c r="B71" s="6">
        <v>71</v>
      </c>
      <c r="C71" s="17">
        <f t="shared" si="0"/>
        <v>45892</v>
      </c>
      <c r="D71" s="6" t="s">
        <v>30</v>
      </c>
      <c r="E71" s="841" t="s">
        <v>356</v>
      </c>
      <c r="F71" s="6">
        <v>18</v>
      </c>
      <c r="G71" s="6"/>
      <c r="H71" s="29"/>
      <c r="I71" s="6" t="str">
        <f t="shared" si="4"/>
        <v>0:00</v>
      </c>
      <c r="J71" s="6"/>
      <c r="K71" s="6"/>
      <c r="L71" s="6" t="str">
        <f t="shared" si="2"/>
        <v>0:00</v>
      </c>
      <c r="M71" s="4"/>
      <c r="N71" s="4"/>
      <c r="O71" s="16"/>
      <c r="P71" s="19"/>
      <c r="Q71" s="21"/>
      <c r="R71" s="4"/>
      <c r="S71" s="4"/>
      <c r="T71" s="4"/>
      <c r="U71" s="4"/>
      <c r="V71" s="4"/>
      <c r="W71" s="4"/>
      <c r="X71" s="4"/>
      <c r="Y71" s="4"/>
      <c r="Z71" s="4"/>
      <c r="AA71" s="4"/>
    </row>
    <row r="72" spans="1:27" ht="15.95" customHeight="1" x14ac:dyDescent="0.2">
      <c r="A72" s="916"/>
      <c r="B72" s="6">
        <v>70</v>
      </c>
      <c r="C72" s="17">
        <f t="shared" si="0"/>
        <v>45893</v>
      </c>
      <c r="D72" s="6" t="s">
        <v>31</v>
      </c>
      <c r="E72" s="849" t="s">
        <v>29</v>
      </c>
      <c r="F72" s="6">
        <v>0</v>
      </c>
      <c r="G72" s="6"/>
      <c r="H72" s="29"/>
      <c r="I72" s="6" t="str">
        <f t="shared" si="4"/>
        <v>0:00</v>
      </c>
      <c r="J72" s="6"/>
      <c r="K72" s="6"/>
      <c r="L72" s="6" t="str">
        <f t="shared" si="2"/>
        <v>0:00</v>
      </c>
      <c r="M72" s="4"/>
      <c r="N72" s="4"/>
      <c r="O72" s="16"/>
      <c r="P72" s="19"/>
      <c r="Q72" s="21"/>
      <c r="R72" s="4"/>
      <c r="S72" s="4"/>
      <c r="T72" s="4"/>
      <c r="U72" s="4"/>
      <c r="V72" s="4"/>
      <c r="W72" s="4"/>
      <c r="X72" s="4"/>
      <c r="Y72" s="4"/>
      <c r="Z72" s="4"/>
      <c r="AA72" s="4"/>
    </row>
    <row r="73" spans="1:27" ht="15.95" customHeight="1" x14ac:dyDescent="0.2">
      <c r="A73" s="916"/>
      <c r="B73" s="6">
        <v>69</v>
      </c>
      <c r="C73" s="17">
        <f t="shared" si="0"/>
        <v>45894</v>
      </c>
      <c r="D73" s="6" t="s">
        <v>33</v>
      </c>
      <c r="E73" s="841" t="s">
        <v>384</v>
      </c>
      <c r="F73" s="6">
        <v>7</v>
      </c>
      <c r="G73" s="6"/>
      <c r="H73" s="29"/>
      <c r="I73" s="6" t="str">
        <f t="shared" si="4"/>
        <v>0:00</v>
      </c>
      <c r="J73" s="6"/>
      <c r="K73" s="6"/>
      <c r="L73" s="6" t="str">
        <f t="shared" si="2"/>
        <v>0:00</v>
      </c>
      <c r="M73" s="6"/>
      <c r="N73" s="6"/>
      <c r="O73" s="16"/>
      <c r="P73" s="19"/>
      <c r="Q73" s="21"/>
      <c r="R73" s="4"/>
      <c r="S73" s="4"/>
      <c r="T73" s="4"/>
      <c r="U73" s="4"/>
      <c r="V73" s="4"/>
      <c r="W73" s="4"/>
      <c r="X73" s="4"/>
      <c r="Y73" s="4"/>
      <c r="Z73" s="4"/>
      <c r="AA73" s="4"/>
    </row>
    <row r="74" spans="1:27" ht="15.95" customHeight="1" x14ac:dyDescent="0.2">
      <c r="A74" s="916"/>
      <c r="B74" s="6">
        <v>68</v>
      </c>
      <c r="C74" s="17">
        <f t="shared" si="0"/>
        <v>45895</v>
      </c>
      <c r="D74" s="6" t="s">
        <v>34</v>
      </c>
      <c r="E74" s="841" t="s">
        <v>358</v>
      </c>
      <c r="F74" s="6">
        <v>16</v>
      </c>
      <c r="G74" s="6"/>
      <c r="H74" s="29"/>
      <c r="I74" s="6" t="str">
        <f t="shared" si="4"/>
        <v>0:00</v>
      </c>
      <c r="J74" s="6"/>
      <c r="K74" s="6"/>
      <c r="L74" s="6" t="str">
        <f t="shared" si="2"/>
        <v>0:00</v>
      </c>
      <c r="M74" s="6"/>
      <c r="N74" s="6"/>
      <c r="O74" s="16"/>
      <c r="P74" s="19"/>
      <c r="Q74" s="21"/>
      <c r="R74" s="4"/>
      <c r="S74" s="4"/>
      <c r="T74" s="4"/>
      <c r="U74" s="4"/>
      <c r="V74" s="4"/>
      <c r="W74" s="4"/>
      <c r="X74" s="4"/>
      <c r="Y74" s="4"/>
      <c r="Z74" s="4"/>
      <c r="AA74" s="4"/>
    </row>
    <row r="75" spans="1:27" ht="15.95" customHeight="1" x14ac:dyDescent="0.2">
      <c r="A75" s="916"/>
      <c r="B75" s="6">
        <v>67</v>
      </c>
      <c r="C75" s="17">
        <f t="shared" si="0"/>
        <v>45896</v>
      </c>
      <c r="D75" s="6" t="s">
        <v>26</v>
      </c>
      <c r="E75" s="841" t="s">
        <v>385</v>
      </c>
      <c r="F75" s="6">
        <v>8</v>
      </c>
      <c r="G75" s="6"/>
      <c r="H75" s="29"/>
      <c r="I75" s="6" t="str">
        <f t="shared" si="4"/>
        <v>0:00</v>
      </c>
      <c r="J75" s="6"/>
      <c r="K75" s="6"/>
      <c r="L75" s="6" t="str">
        <f t="shared" si="2"/>
        <v>0:00</v>
      </c>
      <c r="M75" s="6"/>
      <c r="N75" s="6"/>
      <c r="O75" s="16"/>
      <c r="P75" s="22">
        <f>N76+P68</f>
        <v>0</v>
      </c>
      <c r="Q75" s="18"/>
      <c r="R75" s="4"/>
      <c r="S75" s="4"/>
      <c r="T75" s="4"/>
      <c r="U75" s="4"/>
      <c r="V75" s="4"/>
      <c r="W75" s="4"/>
      <c r="X75" s="4"/>
      <c r="Y75" s="4"/>
      <c r="Z75" s="4"/>
      <c r="AA75" s="4"/>
    </row>
    <row r="76" spans="1:27" ht="15.95" customHeight="1" x14ac:dyDescent="0.2">
      <c r="A76" s="916"/>
      <c r="B76" s="6">
        <v>66</v>
      </c>
      <c r="C76" s="17">
        <f t="shared" si="0"/>
        <v>45897</v>
      </c>
      <c r="D76" s="6" t="s">
        <v>27</v>
      </c>
      <c r="E76" s="841" t="s">
        <v>386</v>
      </c>
      <c r="F76" s="6">
        <v>8</v>
      </c>
      <c r="G76" s="6"/>
      <c r="H76" s="29"/>
      <c r="I76" s="6" t="str">
        <f t="shared" si="4"/>
        <v>0:00</v>
      </c>
      <c r="J76" s="6"/>
      <c r="K76" s="6"/>
      <c r="L76" s="6" t="str">
        <f t="shared" si="2"/>
        <v>0:00</v>
      </c>
      <c r="M76" s="6"/>
      <c r="N76" s="28">
        <f>SUM(H71:H77)</f>
        <v>0</v>
      </c>
      <c r="O76" s="16"/>
      <c r="P76" s="19">
        <f>P69+N77</f>
        <v>0</v>
      </c>
      <c r="Q76" s="20">
        <f>P76/P77</f>
        <v>0</v>
      </c>
      <c r="R76" s="4"/>
      <c r="S76" s="4"/>
      <c r="T76" s="4"/>
      <c r="U76" s="4"/>
      <c r="V76" s="4"/>
      <c r="W76" s="4"/>
      <c r="X76" s="4"/>
      <c r="Y76" s="4"/>
      <c r="Z76" s="4"/>
      <c r="AA76" s="4"/>
    </row>
    <row r="77" spans="1:27" ht="15.95" customHeight="1" x14ac:dyDescent="0.2">
      <c r="A77" s="916"/>
      <c r="B77" s="6">
        <v>65</v>
      </c>
      <c r="C77" s="17">
        <f t="shared" si="0"/>
        <v>45898</v>
      </c>
      <c r="D77" s="6" t="s">
        <v>28</v>
      </c>
      <c r="E77" s="841" t="s">
        <v>381</v>
      </c>
      <c r="F77" s="6">
        <v>6</v>
      </c>
      <c r="G77" s="6"/>
      <c r="H77" s="29"/>
      <c r="I77" s="6" t="str">
        <f t="shared" si="4"/>
        <v>0:00</v>
      </c>
      <c r="J77" s="6"/>
      <c r="K77" s="6"/>
      <c r="L77" s="6" t="str">
        <f t="shared" si="2"/>
        <v>0:00</v>
      </c>
      <c r="M77" s="6">
        <v>63</v>
      </c>
      <c r="N77" s="6">
        <f>SUM(G71:G77)</f>
        <v>0</v>
      </c>
      <c r="O77" s="16"/>
      <c r="P77" s="19">
        <f>P70+M77</f>
        <v>541</v>
      </c>
      <c r="Q77" s="21"/>
      <c r="R77" s="4"/>
      <c r="S77" s="4"/>
      <c r="T77" s="4"/>
      <c r="U77" s="4"/>
      <c r="V77" s="4"/>
      <c r="W77" s="4"/>
      <c r="X77" s="4"/>
      <c r="Y77" s="4"/>
      <c r="Z77" s="4"/>
      <c r="AA77" s="4"/>
    </row>
    <row r="78" spans="1:27" ht="15.95" customHeight="1" x14ac:dyDescent="0.2">
      <c r="A78" s="1274" t="s">
        <v>41</v>
      </c>
      <c r="B78" s="27">
        <v>64</v>
      </c>
      <c r="C78" s="829">
        <f t="shared" si="0"/>
        <v>45899</v>
      </c>
      <c r="D78" s="27" t="s">
        <v>30</v>
      </c>
      <c r="E78" s="845" t="s">
        <v>359</v>
      </c>
      <c r="F78" s="27">
        <v>16</v>
      </c>
      <c r="G78" s="27"/>
      <c r="H78" s="30"/>
      <c r="I78" s="27" t="str">
        <f t="shared" si="4"/>
        <v>0:00</v>
      </c>
      <c r="J78" s="27"/>
      <c r="K78" s="27"/>
      <c r="L78" s="27" t="str">
        <f t="shared" si="2"/>
        <v>0:00</v>
      </c>
      <c r="M78" s="830"/>
      <c r="N78" s="830"/>
      <c r="O78" s="832"/>
      <c r="P78" s="19"/>
      <c r="Q78" s="21"/>
      <c r="R78" s="4"/>
      <c r="S78" s="4"/>
      <c r="T78" s="4"/>
      <c r="U78" s="4"/>
      <c r="V78" s="4"/>
      <c r="W78" s="4"/>
      <c r="X78" s="4"/>
      <c r="Y78" s="4"/>
      <c r="Z78" s="4"/>
      <c r="AA78" s="4"/>
    </row>
    <row r="79" spans="1:27" ht="15.95" customHeight="1" x14ac:dyDescent="0.2">
      <c r="A79" s="1274"/>
      <c r="B79" s="27">
        <v>63</v>
      </c>
      <c r="C79" s="829">
        <f t="shared" si="0"/>
        <v>45900</v>
      </c>
      <c r="D79" s="27" t="s">
        <v>31</v>
      </c>
      <c r="E79" s="848" t="s">
        <v>29</v>
      </c>
      <c r="F79" s="27">
        <v>0</v>
      </c>
      <c r="G79" s="27"/>
      <c r="H79" s="30"/>
      <c r="I79" s="27" t="str">
        <f t="shared" si="4"/>
        <v>0:00</v>
      </c>
      <c r="J79" s="27"/>
      <c r="K79" s="27"/>
      <c r="L79" s="27" t="str">
        <f t="shared" si="2"/>
        <v>0:00</v>
      </c>
      <c r="M79" s="830"/>
      <c r="N79" s="830"/>
      <c r="O79" s="832"/>
      <c r="P79" s="19"/>
      <c r="Q79" s="21"/>
      <c r="R79" s="4"/>
      <c r="S79" s="4"/>
      <c r="T79" s="4"/>
      <c r="U79" s="4"/>
      <c r="V79" s="4"/>
      <c r="W79" s="4"/>
      <c r="X79" s="4"/>
      <c r="Y79" s="4"/>
      <c r="Z79" s="4"/>
      <c r="AA79" s="4"/>
    </row>
    <row r="80" spans="1:27" ht="15.95" customHeight="1" x14ac:dyDescent="0.2">
      <c r="A80" s="1274"/>
      <c r="B80" s="27">
        <v>62</v>
      </c>
      <c r="C80" s="829">
        <f t="shared" si="0"/>
        <v>45901</v>
      </c>
      <c r="D80" s="27" t="s">
        <v>33</v>
      </c>
      <c r="E80" s="845" t="s">
        <v>433</v>
      </c>
      <c r="F80" s="27">
        <v>9</v>
      </c>
      <c r="G80" s="27"/>
      <c r="H80" s="27"/>
      <c r="I80" s="27" t="str">
        <f t="shared" si="4"/>
        <v>0:00</v>
      </c>
      <c r="J80" s="27"/>
      <c r="K80" s="27"/>
      <c r="L80" s="27" t="str">
        <f t="shared" si="2"/>
        <v>0:00</v>
      </c>
      <c r="M80" s="27"/>
      <c r="N80" s="27"/>
      <c r="O80" s="832"/>
      <c r="P80" s="19"/>
      <c r="Q80" s="21"/>
      <c r="R80" s="4"/>
      <c r="S80" s="4"/>
      <c r="T80" s="4"/>
      <c r="U80" s="4"/>
      <c r="V80" s="4"/>
      <c r="W80" s="4"/>
      <c r="X80" s="4"/>
      <c r="Y80" s="4"/>
      <c r="Z80" s="4"/>
      <c r="AA80" s="4"/>
    </row>
    <row r="81" spans="1:27" ht="15.95" customHeight="1" x14ac:dyDescent="0.2">
      <c r="A81" s="1274"/>
      <c r="B81" s="27">
        <v>61</v>
      </c>
      <c r="C81" s="829">
        <f t="shared" si="0"/>
        <v>45902</v>
      </c>
      <c r="D81" s="27" t="s">
        <v>34</v>
      </c>
      <c r="E81" s="845" t="s">
        <v>360</v>
      </c>
      <c r="F81" s="27">
        <v>15</v>
      </c>
      <c r="G81" s="27"/>
      <c r="H81" s="30"/>
      <c r="I81" s="27" t="str">
        <f t="shared" si="4"/>
        <v>0:00</v>
      </c>
      <c r="J81" s="27"/>
      <c r="K81" s="27"/>
      <c r="L81" s="27" t="str">
        <f t="shared" si="2"/>
        <v>0:00</v>
      </c>
      <c r="M81" s="27"/>
      <c r="N81" s="27"/>
      <c r="O81" s="832"/>
      <c r="P81" s="19"/>
      <c r="Q81" s="21"/>
      <c r="R81" s="4"/>
      <c r="S81" s="4"/>
      <c r="T81" s="4"/>
      <c r="U81" s="4"/>
      <c r="V81" s="4"/>
      <c r="W81" s="4"/>
      <c r="X81" s="4"/>
      <c r="Y81" s="4"/>
      <c r="Z81" s="4"/>
      <c r="AA81" s="4"/>
    </row>
    <row r="82" spans="1:27" ht="15.95" customHeight="1" x14ac:dyDescent="0.2">
      <c r="A82" s="1274"/>
      <c r="B82" s="27">
        <v>60</v>
      </c>
      <c r="C82" s="829">
        <f t="shared" si="0"/>
        <v>45903</v>
      </c>
      <c r="D82" s="27" t="s">
        <v>26</v>
      </c>
      <c r="E82" s="845" t="s">
        <v>433</v>
      </c>
      <c r="F82" s="27">
        <v>9</v>
      </c>
      <c r="G82" s="27"/>
      <c r="H82" s="30"/>
      <c r="I82" s="27" t="str">
        <f t="shared" si="4"/>
        <v>0:00</v>
      </c>
      <c r="J82" s="27"/>
      <c r="K82" s="27"/>
      <c r="L82" s="27" t="str">
        <f t="shared" si="2"/>
        <v>0:00</v>
      </c>
      <c r="M82" s="27"/>
      <c r="N82" s="27"/>
      <c r="O82" s="832"/>
      <c r="P82" s="22">
        <f>N83+P75</f>
        <v>0</v>
      </c>
      <c r="Q82" s="18"/>
      <c r="R82" s="4"/>
      <c r="S82" s="4"/>
      <c r="T82" s="4"/>
      <c r="U82" s="4"/>
      <c r="V82" s="4"/>
      <c r="W82" s="4"/>
      <c r="X82" s="4"/>
      <c r="Y82" s="4"/>
      <c r="Z82" s="4"/>
      <c r="AA82" s="4"/>
    </row>
    <row r="83" spans="1:27" ht="15.95" customHeight="1" x14ac:dyDescent="0.2">
      <c r="A83" s="1274"/>
      <c r="B83" s="27">
        <v>59</v>
      </c>
      <c r="C83" s="829">
        <f t="shared" si="0"/>
        <v>45904</v>
      </c>
      <c r="D83" s="27" t="s">
        <v>27</v>
      </c>
      <c r="E83" s="845" t="s">
        <v>430</v>
      </c>
      <c r="F83" s="27">
        <v>12</v>
      </c>
      <c r="G83" s="27"/>
      <c r="H83" s="30"/>
      <c r="I83" s="27" t="str">
        <f t="shared" si="4"/>
        <v>0:00</v>
      </c>
      <c r="J83" s="27"/>
      <c r="K83" s="27"/>
      <c r="L83" s="27" t="str">
        <f t="shared" si="2"/>
        <v>0:00</v>
      </c>
      <c r="M83" s="27"/>
      <c r="N83" s="831">
        <f>SUM(H78:H84)</f>
        <v>0</v>
      </c>
      <c r="O83" s="832"/>
      <c r="P83" s="19">
        <f>P76+N84</f>
        <v>0</v>
      </c>
      <c r="Q83" s="20">
        <f>P83/P84</f>
        <v>0</v>
      </c>
      <c r="R83" s="4"/>
      <c r="S83" s="4"/>
      <c r="T83" s="4"/>
      <c r="U83" s="4"/>
      <c r="V83" s="4"/>
      <c r="W83" s="4"/>
      <c r="X83" s="4"/>
      <c r="Y83" s="4"/>
      <c r="Z83" s="4"/>
      <c r="AA83" s="4"/>
    </row>
    <row r="84" spans="1:27" ht="15.95" customHeight="1" x14ac:dyDescent="0.2">
      <c r="A84" s="1274"/>
      <c r="B84" s="27">
        <v>58</v>
      </c>
      <c r="C84" s="829">
        <f t="shared" si="0"/>
        <v>45905</v>
      </c>
      <c r="D84" s="27" t="s">
        <v>28</v>
      </c>
      <c r="E84" s="845" t="s">
        <v>433</v>
      </c>
      <c r="F84" s="27">
        <v>9</v>
      </c>
      <c r="G84" s="27"/>
      <c r="H84" s="30"/>
      <c r="I84" s="27" t="str">
        <f t="shared" si="4"/>
        <v>0:00</v>
      </c>
      <c r="J84" s="27"/>
      <c r="K84" s="27"/>
      <c r="L84" s="27" t="str">
        <f t="shared" si="2"/>
        <v>0:00</v>
      </c>
      <c r="M84" s="27">
        <v>70</v>
      </c>
      <c r="N84" s="27">
        <f>SUM(G78:G84)</f>
        <v>0</v>
      </c>
      <c r="O84" s="832"/>
      <c r="P84" s="19">
        <f>P77+M84</f>
        <v>611</v>
      </c>
      <c r="Q84" s="21"/>
      <c r="R84" s="4"/>
      <c r="T84" s="4"/>
      <c r="U84" s="4"/>
      <c r="V84" s="4"/>
      <c r="W84" s="4"/>
      <c r="X84" s="4"/>
      <c r="Y84" s="4"/>
      <c r="Z84" s="4"/>
      <c r="AA84" s="4"/>
    </row>
    <row r="85" spans="1:27" ht="15.95" customHeight="1" x14ac:dyDescent="0.2">
      <c r="A85" s="916" t="s">
        <v>345</v>
      </c>
      <c r="B85" s="6">
        <v>57</v>
      </c>
      <c r="C85" s="17">
        <f t="shared" si="0"/>
        <v>45906</v>
      </c>
      <c r="D85" s="6" t="s">
        <v>30</v>
      </c>
      <c r="E85" s="841" t="s">
        <v>361</v>
      </c>
      <c r="F85" s="6">
        <v>17</v>
      </c>
      <c r="G85" s="6"/>
      <c r="H85" s="29"/>
      <c r="I85" s="6" t="str">
        <f t="shared" si="4"/>
        <v>0:00</v>
      </c>
      <c r="J85" s="6"/>
      <c r="K85" s="6"/>
      <c r="L85" s="6" t="str">
        <f t="shared" si="2"/>
        <v>0:00</v>
      </c>
      <c r="M85" s="4"/>
      <c r="N85" s="4"/>
      <c r="O85" s="16"/>
      <c r="P85" s="19"/>
      <c r="Q85" s="21"/>
      <c r="R85" s="4"/>
      <c r="T85" s="4"/>
      <c r="U85" s="4"/>
      <c r="V85" s="4"/>
      <c r="W85" s="4"/>
      <c r="X85" s="4"/>
      <c r="Y85" s="4"/>
      <c r="Z85" s="4"/>
      <c r="AA85" s="4"/>
    </row>
    <row r="86" spans="1:27" ht="15.95" customHeight="1" x14ac:dyDescent="0.2">
      <c r="A86" s="916"/>
      <c r="B86" s="6">
        <v>56</v>
      </c>
      <c r="C86" s="17">
        <f t="shared" si="0"/>
        <v>45907</v>
      </c>
      <c r="D86" s="6" t="s">
        <v>31</v>
      </c>
      <c r="E86" s="849" t="s">
        <v>29</v>
      </c>
      <c r="F86" s="6">
        <v>0</v>
      </c>
      <c r="G86" s="6"/>
      <c r="H86" s="29"/>
      <c r="I86" s="6" t="str">
        <f t="shared" si="4"/>
        <v>0:00</v>
      </c>
      <c r="J86" s="6"/>
      <c r="K86" s="6"/>
      <c r="L86" s="6" t="str">
        <f t="shared" si="2"/>
        <v>0:00</v>
      </c>
      <c r="M86" s="4"/>
      <c r="N86" s="4"/>
      <c r="O86" s="16"/>
      <c r="P86" s="19"/>
      <c r="Q86" s="21"/>
      <c r="R86" s="4"/>
      <c r="T86" s="4"/>
      <c r="U86" s="4"/>
      <c r="V86" s="4"/>
      <c r="W86" s="4"/>
      <c r="X86" s="4"/>
      <c r="Y86" s="4"/>
      <c r="Z86" s="4"/>
      <c r="AA86" s="4"/>
    </row>
    <row r="87" spans="1:27" ht="15.95" customHeight="1" x14ac:dyDescent="0.2">
      <c r="A87" s="916"/>
      <c r="B87" s="6">
        <v>55</v>
      </c>
      <c r="C87" s="17">
        <f t="shared" si="0"/>
        <v>45908</v>
      </c>
      <c r="D87" s="6" t="s">
        <v>33</v>
      </c>
      <c r="E87" s="841" t="s">
        <v>385</v>
      </c>
      <c r="F87" s="6">
        <v>8</v>
      </c>
      <c r="G87" s="6"/>
      <c r="H87" s="29"/>
      <c r="I87" s="6" t="str">
        <f t="shared" si="4"/>
        <v>0:00</v>
      </c>
      <c r="J87" s="6"/>
      <c r="K87" s="6"/>
      <c r="L87" s="6" t="str">
        <f t="shared" si="2"/>
        <v>0:00</v>
      </c>
      <c r="M87" s="6"/>
      <c r="N87" s="6"/>
      <c r="O87" s="16"/>
      <c r="P87" s="19"/>
      <c r="Q87" s="21"/>
      <c r="R87" s="4"/>
      <c r="T87" s="4"/>
      <c r="U87" s="4"/>
      <c r="V87" s="4"/>
      <c r="W87" s="4"/>
      <c r="X87" s="4"/>
      <c r="Y87" s="4"/>
      <c r="Z87" s="4"/>
      <c r="AA87" s="4"/>
    </row>
    <row r="88" spans="1:27" ht="15.95" customHeight="1" x14ac:dyDescent="0.2">
      <c r="A88" s="916"/>
      <c r="B88" s="6">
        <v>54</v>
      </c>
      <c r="C88" s="17">
        <f t="shared" si="0"/>
        <v>45909</v>
      </c>
      <c r="D88" s="6" t="s">
        <v>34</v>
      </c>
      <c r="E88" s="841" t="s">
        <v>348</v>
      </c>
      <c r="F88" s="6">
        <v>16</v>
      </c>
      <c r="G88" s="6"/>
      <c r="H88" s="29"/>
      <c r="I88" s="6" t="str">
        <f t="shared" si="4"/>
        <v>0:00</v>
      </c>
      <c r="J88" s="6"/>
      <c r="K88" s="6"/>
      <c r="L88" s="6" t="str">
        <f t="shared" si="2"/>
        <v>0:00</v>
      </c>
      <c r="M88" s="6"/>
      <c r="N88" s="6"/>
      <c r="O88" s="16"/>
      <c r="P88" s="19"/>
      <c r="Q88" s="21"/>
      <c r="R88" s="4"/>
      <c r="T88" s="4"/>
      <c r="U88" s="4"/>
      <c r="V88" s="4"/>
      <c r="W88" s="4"/>
      <c r="X88" s="4"/>
      <c r="Y88" s="4"/>
      <c r="Z88" s="4"/>
      <c r="AA88" s="4"/>
    </row>
    <row r="89" spans="1:27" ht="15.95" customHeight="1" x14ac:dyDescent="0.2">
      <c r="A89" s="916"/>
      <c r="B89" s="6">
        <v>53</v>
      </c>
      <c r="C89" s="17">
        <f t="shared" si="0"/>
        <v>45910</v>
      </c>
      <c r="D89" s="6" t="s">
        <v>26</v>
      </c>
      <c r="E89" s="841" t="s">
        <v>433</v>
      </c>
      <c r="F89" s="6">
        <v>9</v>
      </c>
      <c r="G89" s="6"/>
      <c r="H89" s="29"/>
      <c r="I89" s="6" t="str">
        <f t="shared" si="4"/>
        <v>0:00</v>
      </c>
      <c r="J89" s="6"/>
      <c r="K89" s="6"/>
      <c r="L89" s="6" t="str">
        <f t="shared" si="2"/>
        <v>0:00</v>
      </c>
      <c r="M89" s="6"/>
      <c r="N89" s="6"/>
      <c r="O89" s="16"/>
      <c r="P89" s="22">
        <f>N90+P82</f>
        <v>0</v>
      </c>
      <c r="Q89" s="18"/>
      <c r="R89" s="4"/>
      <c r="T89" s="4"/>
      <c r="U89" s="4"/>
      <c r="V89" s="4"/>
      <c r="W89" s="4"/>
      <c r="X89" s="4"/>
      <c r="Y89" s="4"/>
      <c r="Z89" s="4"/>
      <c r="AA89" s="4"/>
    </row>
    <row r="90" spans="1:27" ht="15.95" customHeight="1" x14ac:dyDescent="0.2">
      <c r="A90" s="916"/>
      <c r="B90" s="6">
        <v>52</v>
      </c>
      <c r="C90" s="17">
        <f t="shared" si="0"/>
        <v>45911</v>
      </c>
      <c r="D90" s="6" t="s">
        <v>27</v>
      </c>
      <c r="E90" s="841" t="s">
        <v>434</v>
      </c>
      <c r="F90" s="6">
        <v>12</v>
      </c>
      <c r="G90" s="6"/>
      <c r="H90" s="29"/>
      <c r="I90" s="6" t="str">
        <f t="shared" si="4"/>
        <v>0:00</v>
      </c>
      <c r="J90" s="6"/>
      <c r="K90" s="6"/>
      <c r="L90" s="6" t="str">
        <f t="shared" si="2"/>
        <v>0:00</v>
      </c>
      <c r="M90" s="6"/>
      <c r="N90" s="28">
        <f>SUM(H85:H91)</f>
        <v>0</v>
      </c>
      <c r="O90" s="16"/>
      <c r="P90" s="19">
        <f>P83+N91</f>
        <v>0</v>
      </c>
      <c r="Q90" s="20">
        <f>P90/P91</f>
        <v>0</v>
      </c>
      <c r="R90" s="4"/>
      <c r="S90" s="4"/>
      <c r="T90" s="4"/>
      <c r="U90" s="4"/>
      <c r="V90" s="4"/>
      <c r="W90" s="4"/>
      <c r="X90" s="4"/>
      <c r="Y90" s="4"/>
      <c r="Z90" s="4"/>
      <c r="AA90" s="4"/>
    </row>
    <row r="91" spans="1:27" ht="15.95" customHeight="1" x14ac:dyDescent="0.2">
      <c r="A91" s="916"/>
      <c r="B91" s="6">
        <v>51</v>
      </c>
      <c r="C91" s="17">
        <f t="shared" si="0"/>
        <v>45912</v>
      </c>
      <c r="D91" s="6" t="s">
        <v>28</v>
      </c>
      <c r="E91" s="841" t="s">
        <v>385</v>
      </c>
      <c r="F91" s="6">
        <v>8</v>
      </c>
      <c r="G91" s="6"/>
      <c r="H91" s="29"/>
      <c r="I91" s="6" t="str">
        <f t="shared" si="4"/>
        <v>0:00</v>
      </c>
      <c r="J91" s="6"/>
      <c r="K91" s="6"/>
      <c r="L91" s="6" t="str">
        <f t="shared" si="2"/>
        <v>0:00</v>
      </c>
      <c r="M91" s="6">
        <v>70</v>
      </c>
      <c r="N91" s="6">
        <f>SUM(G85:G91)</f>
        <v>0</v>
      </c>
      <c r="O91" s="16"/>
      <c r="P91" s="19">
        <f>P84+M91</f>
        <v>681</v>
      </c>
      <c r="Q91" s="21"/>
      <c r="R91" s="4"/>
      <c r="S91" s="4"/>
      <c r="T91" s="4"/>
      <c r="U91" s="4"/>
      <c r="V91" s="4"/>
      <c r="W91" s="4"/>
      <c r="X91" s="4"/>
      <c r="Y91" s="4"/>
      <c r="Z91" s="4"/>
      <c r="AA91" s="4"/>
    </row>
    <row r="92" spans="1:27" ht="15.95" customHeight="1" x14ac:dyDescent="0.2">
      <c r="A92" s="1274" t="s">
        <v>42</v>
      </c>
      <c r="B92" s="27">
        <v>50</v>
      </c>
      <c r="C92" s="829">
        <f t="shared" si="0"/>
        <v>45913</v>
      </c>
      <c r="D92" s="27" t="s">
        <v>30</v>
      </c>
      <c r="E92" s="845" t="s">
        <v>364</v>
      </c>
      <c r="F92" s="27">
        <v>20</v>
      </c>
      <c r="G92" s="27"/>
      <c r="H92" s="30"/>
      <c r="I92" s="27" t="str">
        <f t="shared" si="4"/>
        <v>0:00</v>
      </c>
      <c r="J92" s="27"/>
      <c r="K92" s="27"/>
      <c r="L92" s="27" t="str">
        <f t="shared" si="2"/>
        <v>0:00</v>
      </c>
      <c r="M92" s="830"/>
      <c r="N92" s="830"/>
      <c r="O92" s="832"/>
      <c r="P92" s="19"/>
      <c r="Q92" s="21"/>
      <c r="R92" s="4"/>
      <c r="S92" s="4"/>
      <c r="T92" s="4"/>
      <c r="U92" s="4"/>
      <c r="V92" s="4"/>
      <c r="W92" s="4"/>
      <c r="X92" s="4"/>
      <c r="Y92" s="4"/>
      <c r="Z92" s="4"/>
      <c r="AA92" s="4"/>
    </row>
    <row r="93" spans="1:27" ht="15.95" customHeight="1" x14ac:dyDescent="0.2">
      <c r="A93" s="1274"/>
      <c r="B93" s="27">
        <v>49</v>
      </c>
      <c r="C93" s="829">
        <f t="shared" si="0"/>
        <v>45914</v>
      </c>
      <c r="D93" s="27" t="s">
        <v>31</v>
      </c>
      <c r="E93" s="848" t="s">
        <v>29</v>
      </c>
      <c r="F93" s="27"/>
      <c r="G93" s="27"/>
      <c r="H93" s="30"/>
      <c r="I93" s="27" t="str">
        <f t="shared" si="4"/>
        <v>0:00</v>
      </c>
      <c r="J93" s="27"/>
      <c r="K93" s="27"/>
      <c r="L93" s="27" t="str">
        <f t="shared" si="2"/>
        <v>0:00</v>
      </c>
      <c r="M93" s="830"/>
      <c r="N93" s="830"/>
      <c r="O93" s="832"/>
      <c r="P93" s="19"/>
      <c r="Q93" s="21"/>
      <c r="R93" s="4"/>
      <c r="S93" s="4"/>
      <c r="T93" s="4"/>
      <c r="U93" s="4"/>
      <c r="V93" s="4"/>
      <c r="W93" s="4"/>
      <c r="X93" s="4"/>
      <c r="Y93" s="4"/>
      <c r="Z93" s="4"/>
      <c r="AA93" s="4"/>
    </row>
    <row r="94" spans="1:27" ht="15.95" customHeight="1" x14ac:dyDescent="0.2">
      <c r="A94" s="1274"/>
      <c r="B94" s="27">
        <v>48</v>
      </c>
      <c r="C94" s="829">
        <f t="shared" si="0"/>
        <v>45915</v>
      </c>
      <c r="D94" s="27" t="s">
        <v>33</v>
      </c>
      <c r="E94" s="845" t="s">
        <v>385</v>
      </c>
      <c r="F94" s="27">
        <v>8</v>
      </c>
      <c r="G94" s="27"/>
      <c r="H94" s="30"/>
      <c r="I94" s="27" t="str">
        <f t="shared" si="4"/>
        <v>0:00</v>
      </c>
      <c r="J94" s="27"/>
      <c r="K94" s="27"/>
      <c r="L94" s="27" t="str">
        <f t="shared" si="2"/>
        <v>0:00</v>
      </c>
      <c r="M94" s="27"/>
      <c r="N94" s="27"/>
      <c r="O94" s="832"/>
      <c r="P94" s="19"/>
      <c r="Q94" s="21"/>
      <c r="R94" s="4"/>
      <c r="S94" s="4"/>
      <c r="T94" s="4"/>
      <c r="U94" s="4"/>
      <c r="V94" s="4"/>
      <c r="W94" s="4"/>
      <c r="X94" s="4"/>
      <c r="Y94" s="4"/>
      <c r="Z94" s="4"/>
      <c r="AA94" s="4"/>
    </row>
    <row r="95" spans="1:27" ht="15.95" customHeight="1" x14ac:dyDescent="0.2">
      <c r="A95" s="1274"/>
      <c r="B95" s="27">
        <v>47</v>
      </c>
      <c r="C95" s="829">
        <f t="shared" si="0"/>
        <v>45916</v>
      </c>
      <c r="D95" s="27" t="s">
        <v>34</v>
      </c>
      <c r="E95" s="845" t="s">
        <v>365</v>
      </c>
      <c r="F95" s="27">
        <v>16</v>
      </c>
      <c r="G95" s="27"/>
      <c r="H95" s="30"/>
      <c r="I95" s="27" t="str">
        <f t="shared" si="4"/>
        <v>0:00</v>
      </c>
      <c r="J95" s="27"/>
      <c r="K95" s="27"/>
      <c r="L95" s="27" t="str">
        <f t="shared" si="2"/>
        <v>0:00</v>
      </c>
      <c r="M95" s="27"/>
      <c r="N95" s="27"/>
      <c r="O95" s="832"/>
      <c r="P95" s="19"/>
      <c r="Q95" s="21"/>
      <c r="R95" s="4"/>
      <c r="S95" s="4"/>
      <c r="T95" s="4"/>
      <c r="U95" s="4"/>
      <c r="V95" s="4"/>
      <c r="W95" s="4"/>
      <c r="X95" s="4"/>
      <c r="Y95" s="4"/>
      <c r="Z95" s="4"/>
      <c r="AA95" s="4"/>
    </row>
    <row r="96" spans="1:27" ht="15.95" customHeight="1" x14ac:dyDescent="0.2">
      <c r="A96" s="1274"/>
      <c r="B96" s="27">
        <v>46</v>
      </c>
      <c r="C96" s="829">
        <f t="shared" si="0"/>
        <v>45917</v>
      </c>
      <c r="D96" s="27" t="s">
        <v>26</v>
      </c>
      <c r="E96" s="845" t="s">
        <v>384</v>
      </c>
      <c r="F96" s="27">
        <v>7</v>
      </c>
      <c r="G96" s="27"/>
      <c r="H96" s="30"/>
      <c r="I96" s="27" t="str">
        <f t="shared" si="4"/>
        <v>0:00</v>
      </c>
      <c r="J96" s="27"/>
      <c r="K96" s="27"/>
      <c r="L96" s="27" t="str">
        <f t="shared" si="2"/>
        <v>0:00</v>
      </c>
      <c r="M96" s="27"/>
      <c r="N96" s="27"/>
      <c r="O96" s="832"/>
      <c r="P96" s="22">
        <f>N97+P89</f>
        <v>0</v>
      </c>
      <c r="Q96" s="18"/>
      <c r="R96" s="4"/>
      <c r="S96" s="4"/>
      <c r="T96" s="4"/>
      <c r="U96" s="4"/>
      <c r="V96" s="4"/>
      <c r="W96" s="4"/>
      <c r="X96" s="4"/>
      <c r="Y96" s="4"/>
      <c r="Z96" s="4"/>
      <c r="AA96" s="4"/>
    </row>
    <row r="97" spans="1:27" ht="15.95" customHeight="1" x14ac:dyDescent="0.2">
      <c r="A97" s="1274"/>
      <c r="B97" s="27">
        <v>45</v>
      </c>
      <c r="C97" s="829">
        <f t="shared" si="0"/>
        <v>45918</v>
      </c>
      <c r="D97" s="27" t="s">
        <v>27</v>
      </c>
      <c r="E97" s="845" t="s">
        <v>435</v>
      </c>
      <c r="F97" s="27">
        <v>7</v>
      </c>
      <c r="G97" s="27"/>
      <c r="H97" s="30"/>
      <c r="I97" s="27" t="str">
        <f>CONCATENATE(FLOOR((HOUR(H97)*60+MINUTE(H97)+SECOND(H97)/60)/IF(ISBLANK(G97),1,G97),1),":",TEXT(ROUND((((HOUR(H97)*60+MINUTE(H97)+SECOND(H97)/60)/IF(ISBLANK(G97),1,G97))-(FLOOR((HOUR(H97)*60+MINUTE(H97)+SECOND(H97)/60)/IF(ISBLANK(G97),1,G97),1)))*60,0),"00"))</f>
        <v>0:00</v>
      </c>
      <c r="J97" s="27"/>
      <c r="K97" s="27"/>
      <c r="L97" s="27" t="str">
        <f t="shared" si="2"/>
        <v>0:00</v>
      </c>
      <c r="M97" s="27"/>
      <c r="N97" s="831">
        <f>SUM(H92:H98)</f>
        <v>0</v>
      </c>
      <c r="O97" s="832"/>
      <c r="P97" s="19">
        <f>P90+N98</f>
        <v>0</v>
      </c>
      <c r="Q97" s="20">
        <f>P97/P98</f>
        <v>0</v>
      </c>
      <c r="R97" s="4"/>
      <c r="S97" s="4"/>
      <c r="T97" s="4"/>
      <c r="U97" s="4"/>
      <c r="V97" s="4"/>
      <c r="W97" s="4"/>
      <c r="X97" s="4"/>
      <c r="Y97" s="4"/>
      <c r="Z97" s="4"/>
      <c r="AA97" s="4"/>
    </row>
    <row r="98" spans="1:27" ht="15.95" customHeight="1" x14ac:dyDescent="0.2">
      <c r="A98" s="1274"/>
      <c r="B98" s="27">
        <v>44</v>
      </c>
      <c r="C98" s="829">
        <f t="shared" si="0"/>
        <v>45919</v>
      </c>
      <c r="D98" s="27" t="s">
        <v>28</v>
      </c>
      <c r="E98" s="845" t="s">
        <v>380</v>
      </c>
      <c r="F98" s="27">
        <v>5</v>
      </c>
      <c r="G98" s="27"/>
      <c r="H98" s="30"/>
      <c r="I98" s="27" t="str">
        <f>CONCATENATE(FLOOR((HOUR(H98)*60+MINUTE(H98)+SECOND(H98)/60)/IF(ISBLANK(G98),1,G98),1),":",TEXT(ROUND((((HOUR(H98)*60+MINUTE(H98)+SECOND(H98)/60)/IF(ISBLANK(G98),1,G98))-(FLOOR((HOUR(H98)*60+MINUTE(H98)+SECOND(H98)/60)/IF(ISBLANK(G98),1,G98),1)))*60,0),"00"))</f>
        <v>0:00</v>
      </c>
      <c r="J98" s="27"/>
      <c r="K98" s="27"/>
      <c r="L98" s="27" t="str">
        <f t="shared" si="2"/>
        <v>0:00</v>
      </c>
      <c r="M98" s="27">
        <v>63</v>
      </c>
      <c r="N98" s="27">
        <f>SUM(G92:G98)</f>
        <v>0</v>
      </c>
      <c r="O98" s="832"/>
      <c r="P98" s="19">
        <f>P91+M98</f>
        <v>744</v>
      </c>
      <c r="Q98" s="21"/>
      <c r="R98" s="4"/>
      <c r="S98" s="6"/>
      <c r="T98" s="4"/>
      <c r="U98" s="4"/>
      <c r="V98" s="4"/>
      <c r="W98" s="4"/>
      <c r="X98" s="4"/>
      <c r="Y98" s="4"/>
      <c r="Z98" s="4"/>
      <c r="AA98" s="4"/>
    </row>
    <row r="99" spans="1:27" ht="15.95" customHeight="1" x14ac:dyDescent="0.2">
      <c r="A99" s="916" t="s">
        <v>43</v>
      </c>
      <c r="B99" s="6">
        <v>43</v>
      </c>
      <c r="C99" s="17">
        <f t="shared" si="0"/>
        <v>45920</v>
      </c>
      <c r="D99" s="6" t="s">
        <v>30</v>
      </c>
      <c r="E99" s="841" t="s">
        <v>366</v>
      </c>
      <c r="F99" s="6">
        <v>17</v>
      </c>
      <c r="G99" s="6"/>
      <c r="H99" s="29"/>
      <c r="I99" s="6" t="str">
        <f t="shared" si="4"/>
        <v>0:00</v>
      </c>
      <c r="J99" s="6"/>
      <c r="K99" s="6"/>
      <c r="L99" s="6" t="str">
        <f t="shared" si="2"/>
        <v>0:00</v>
      </c>
      <c r="M99" s="4"/>
      <c r="N99" s="4"/>
      <c r="O99" s="16"/>
      <c r="P99" s="19"/>
      <c r="Q99" s="21"/>
      <c r="R99" s="4"/>
      <c r="S99" s="6"/>
      <c r="T99" s="4"/>
      <c r="U99" s="4"/>
      <c r="V99" s="4"/>
      <c r="W99" s="4"/>
      <c r="X99" s="4"/>
      <c r="Y99" s="4"/>
      <c r="Z99" s="4"/>
      <c r="AA99" s="4"/>
    </row>
    <row r="100" spans="1:27" ht="15.95" customHeight="1" x14ac:dyDescent="0.2">
      <c r="A100" s="916"/>
      <c r="B100" s="6">
        <v>42</v>
      </c>
      <c r="C100" s="17">
        <f t="shared" si="0"/>
        <v>45921</v>
      </c>
      <c r="D100" s="6" t="s">
        <v>31</v>
      </c>
      <c r="E100" s="849" t="s">
        <v>29</v>
      </c>
      <c r="F100" s="6"/>
      <c r="G100" s="6"/>
      <c r="H100" s="29"/>
      <c r="I100" s="6" t="str">
        <f t="shared" si="4"/>
        <v>0:00</v>
      </c>
      <c r="J100" s="6"/>
      <c r="K100" s="6"/>
      <c r="L100" s="6" t="str">
        <f t="shared" si="2"/>
        <v>0:00</v>
      </c>
      <c r="M100" s="4"/>
      <c r="N100" s="4"/>
      <c r="O100" s="16"/>
      <c r="P100" s="19"/>
      <c r="Q100" s="21"/>
      <c r="R100" s="4"/>
      <c r="S100" s="4"/>
      <c r="T100" s="4"/>
      <c r="U100" s="4"/>
      <c r="V100" s="4"/>
      <c r="W100" s="4"/>
      <c r="X100" s="4"/>
      <c r="Y100" s="4"/>
      <c r="Z100" s="4"/>
      <c r="AA100" s="4"/>
    </row>
    <row r="101" spans="1:27" ht="15.95" customHeight="1" x14ac:dyDescent="0.2">
      <c r="A101" s="916"/>
      <c r="B101" s="6">
        <v>41</v>
      </c>
      <c r="C101" s="17">
        <f t="shared" si="0"/>
        <v>45922</v>
      </c>
      <c r="D101" s="6" t="s">
        <v>33</v>
      </c>
      <c r="E101" s="841" t="s">
        <v>433</v>
      </c>
      <c r="F101" s="6">
        <v>9</v>
      </c>
      <c r="G101" s="6"/>
      <c r="H101" s="29"/>
      <c r="I101" s="6" t="str">
        <f t="shared" si="4"/>
        <v>0:00</v>
      </c>
      <c r="J101" s="6"/>
      <c r="K101" s="6"/>
      <c r="L101" s="6" t="str">
        <f t="shared" si="2"/>
        <v>0:00</v>
      </c>
      <c r="M101" s="6"/>
      <c r="N101" s="6"/>
      <c r="O101" s="16"/>
      <c r="P101" s="19"/>
      <c r="Q101" s="21"/>
      <c r="R101" s="4"/>
      <c r="S101" s="4"/>
      <c r="T101" s="4"/>
      <c r="U101" s="4"/>
      <c r="V101" s="4"/>
      <c r="W101" s="4"/>
      <c r="X101" s="4"/>
      <c r="Y101" s="4"/>
      <c r="Z101" s="4"/>
      <c r="AA101" s="4"/>
    </row>
    <row r="102" spans="1:27" ht="15.95" customHeight="1" x14ac:dyDescent="0.2">
      <c r="A102" s="916"/>
      <c r="B102" s="6">
        <v>40</v>
      </c>
      <c r="C102" s="17">
        <f t="shared" si="0"/>
        <v>45923</v>
      </c>
      <c r="D102" s="6" t="s">
        <v>34</v>
      </c>
      <c r="E102" s="841" t="s">
        <v>367</v>
      </c>
      <c r="F102" s="6">
        <v>17</v>
      </c>
      <c r="G102" s="6"/>
      <c r="H102" s="29"/>
      <c r="I102" s="6" t="str">
        <f t="shared" si="4"/>
        <v>0:00</v>
      </c>
      <c r="J102" s="6"/>
      <c r="K102" s="6"/>
      <c r="L102" s="6" t="str">
        <f t="shared" si="2"/>
        <v>0:00</v>
      </c>
      <c r="M102" s="6"/>
      <c r="N102" s="6"/>
      <c r="O102" s="16"/>
      <c r="P102" s="19"/>
      <c r="Q102" s="21"/>
      <c r="R102" s="4"/>
      <c r="S102" s="4"/>
      <c r="T102" s="4"/>
      <c r="U102" s="4"/>
      <c r="V102" s="4"/>
      <c r="W102" s="4"/>
      <c r="X102" s="4"/>
      <c r="Y102" s="4"/>
      <c r="Z102" s="4"/>
    </row>
    <row r="103" spans="1:27" ht="15.95" customHeight="1" x14ac:dyDescent="0.2">
      <c r="A103" s="916"/>
      <c r="B103" s="6">
        <v>39</v>
      </c>
      <c r="C103" s="17">
        <f t="shared" si="0"/>
        <v>45924</v>
      </c>
      <c r="D103" s="6" t="s">
        <v>26</v>
      </c>
      <c r="E103" s="841" t="s">
        <v>433</v>
      </c>
      <c r="F103" s="6">
        <v>9</v>
      </c>
      <c r="G103" s="6"/>
      <c r="H103" s="29"/>
      <c r="I103" s="6" t="str">
        <f t="shared" si="4"/>
        <v>0:00</v>
      </c>
      <c r="J103" s="6"/>
      <c r="K103" s="6"/>
      <c r="L103" s="6" t="str">
        <f t="shared" si="2"/>
        <v>0:00</v>
      </c>
      <c r="M103" s="6"/>
      <c r="N103" s="6"/>
      <c r="O103" s="16"/>
      <c r="P103" s="22">
        <f>N104+P96</f>
        <v>0</v>
      </c>
      <c r="Q103" s="18"/>
      <c r="R103" s="4"/>
      <c r="S103" s="4"/>
      <c r="T103" s="4"/>
      <c r="U103" s="4"/>
      <c r="V103" s="4"/>
      <c r="W103" s="4"/>
      <c r="X103" s="4"/>
      <c r="Y103" s="4"/>
      <c r="Z103" s="4"/>
      <c r="AA103" s="4"/>
    </row>
    <row r="104" spans="1:27" ht="15.95" customHeight="1" x14ac:dyDescent="0.2">
      <c r="A104" s="916"/>
      <c r="B104" s="6">
        <v>38</v>
      </c>
      <c r="C104" s="17">
        <f t="shared" si="0"/>
        <v>45925</v>
      </c>
      <c r="D104" s="6" t="s">
        <v>27</v>
      </c>
      <c r="E104" s="841" t="s">
        <v>430</v>
      </c>
      <c r="F104" s="6">
        <v>12</v>
      </c>
      <c r="G104" s="6"/>
      <c r="H104" s="29"/>
      <c r="I104" s="6" t="str">
        <f t="shared" si="4"/>
        <v>0:00</v>
      </c>
      <c r="J104" s="6"/>
      <c r="K104" s="6"/>
      <c r="L104" s="6" t="str">
        <f t="shared" si="2"/>
        <v>0:00</v>
      </c>
      <c r="M104" s="6"/>
      <c r="N104" s="28">
        <f>SUM(H99:H105)</f>
        <v>0</v>
      </c>
      <c r="O104" s="16"/>
      <c r="P104" s="19">
        <f>P97+N105</f>
        <v>0</v>
      </c>
      <c r="Q104" s="20">
        <f>P104/P105</f>
        <v>0</v>
      </c>
      <c r="R104" s="4"/>
      <c r="S104" s="4"/>
      <c r="T104" s="4"/>
      <c r="U104" s="4"/>
      <c r="V104" s="4"/>
      <c r="W104" s="4"/>
      <c r="X104" s="4"/>
      <c r="Y104" s="4"/>
      <c r="Z104" s="4"/>
      <c r="AA104" s="4"/>
    </row>
    <row r="105" spans="1:27" ht="15.95" customHeight="1" x14ac:dyDescent="0.2">
      <c r="A105" s="916"/>
      <c r="B105" s="6">
        <v>37</v>
      </c>
      <c r="C105" s="17">
        <f t="shared" si="0"/>
        <v>45926</v>
      </c>
      <c r="D105" s="6" t="s">
        <v>28</v>
      </c>
      <c r="E105" s="841" t="s">
        <v>381</v>
      </c>
      <c r="F105" s="6">
        <v>6</v>
      </c>
      <c r="G105" s="6"/>
      <c r="H105" s="29"/>
      <c r="I105" s="6" t="str">
        <f t="shared" si="4"/>
        <v>0:00</v>
      </c>
      <c r="J105" s="6"/>
      <c r="K105" s="6"/>
      <c r="L105" s="6" t="str">
        <f t="shared" si="2"/>
        <v>0:00</v>
      </c>
      <c r="M105" s="6">
        <v>70</v>
      </c>
      <c r="N105" s="6">
        <f>SUM(G99:G105)</f>
        <v>0</v>
      </c>
      <c r="O105" s="16"/>
      <c r="P105" s="19">
        <f>P98+M105</f>
        <v>814</v>
      </c>
      <c r="Q105" s="21"/>
      <c r="R105" s="4"/>
      <c r="S105" s="4"/>
      <c r="T105" s="4"/>
      <c r="U105" s="4"/>
      <c r="V105" s="4"/>
      <c r="W105" s="4"/>
      <c r="X105" s="4"/>
      <c r="Y105" s="4"/>
      <c r="Z105" s="4"/>
      <c r="AA105" s="4"/>
    </row>
    <row r="106" spans="1:27" ht="15.95" customHeight="1" x14ac:dyDescent="0.2">
      <c r="A106" s="1274" t="s">
        <v>44</v>
      </c>
      <c r="B106" s="27">
        <v>36</v>
      </c>
      <c r="C106" s="829">
        <f t="shared" si="0"/>
        <v>45927</v>
      </c>
      <c r="D106" s="27" t="s">
        <v>30</v>
      </c>
      <c r="E106" s="845" t="s">
        <v>368</v>
      </c>
      <c r="F106" s="27">
        <v>17</v>
      </c>
      <c r="G106" s="27"/>
      <c r="H106" s="30"/>
      <c r="I106" s="27" t="str">
        <f t="shared" si="4"/>
        <v>0:00</v>
      </c>
      <c r="J106" s="27"/>
      <c r="K106" s="27"/>
      <c r="L106" s="27" t="str">
        <f t="shared" si="2"/>
        <v>0:00</v>
      </c>
      <c r="M106" s="830"/>
      <c r="N106" s="830"/>
      <c r="O106" s="832"/>
      <c r="P106" s="19"/>
      <c r="Q106" s="21"/>
      <c r="R106" s="4"/>
      <c r="S106" s="4"/>
      <c r="T106" s="4"/>
      <c r="U106" s="4"/>
      <c r="V106" s="4"/>
      <c r="W106" s="4"/>
      <c r="X106" s="4"/>
      <c r="Y106" s="4"/>
      <c r="Z106" s="4"/>
      <c r="AA106" s="4"/>
    </row>
    <row r="107" spans="1:27" ht="15.95" customHeight="1" x14ac:dyDescent="0.2">
      <c r="A107" s="1274"/>
      <c r="B107" s="27">
        <v>35</v>
      </c>
      <c r="C107" s="829">
        <f t="shared" si="0"/>
        <v>45928</v>
      </c>
      <c r="D107" s="27" t="s">
        <v>31</v>
      </c>
      <c r="E107" s="848" t="s">
        <v>29</v>
      </c>
      <c r="F107" s="27"/>
      <c r="G107" s="27"/>
      <c r="H107" s="30"/>
      <c r="I107" s="27" t="str">
        <f t="shared" si="4"/>
        <v>0:00</v>
      </c>
      <c r="J107" s="27"/>
      <c r="K107" s="27"/>
      <c r="L107" s="27" t="str">
        <f t="shared" si="2"/>
        <v>0:00</v>
      </c>
      <c r="M107" s="830"/>
      <c r="N107" s="830"/>
      <c r="O107" s="832"/>
      <c r="P107" s="19"/>
      <c r="Q107" s="21"/>
      <c r="R107" s="4"/>
      <c r="S107" s="4"/>
      <c r="T107" s="4"/>
      <c r="U107" s="4"/>
      <c r="V107" s="4"/>
      <c r="W107" s="4"/>
      <c r="X107" s="4"/>
      <c r="Y107" s="4"/>
      <c r="Z107" s="4"/>
      <c r="AA107" s="4"/>
    </row>
    <row r="108" spans="1:27" ht="15.95" customHeight="1" x14ac:dyDescent="0.2">
      <c r="A108" s="1274"/>
      <c r="B108" s="27">
        <v>34</v>
      </c>
      <c r="C108" s="829">
        <f t="shared" si="0"/>
        <v>45929</v>
      </c>
      <c r="D108" s="27" t="s">
        <v>33</v>
      </c>
      <c r="E108" s="845" t="s">
        <v>381</v>
      </c>
      <c r="F108" s="27">
        <v>6</v>
      </c>
      <c r="G108" s="27"/>
      <c r="H108" s="30"/>
      <c r="I108" s="27" t="str">
        <f t="shared" si="4"/>
        <v>0:00</v>
      </c>
      <c r="J108" s="27"/>
      <c r="K108" s="27"/>
      <c r="L108" s="27" t="str">
        <f t="shared" si="2"/>
        <v>0:00</v>
      </c>
      <c r="M108" s="27"/>
      <c r="N108" s="27"/>
      <c r="O108" s="832"/>
      <c r="P108" s="19"/>
      <c r="Q108" s="21"/>
      <c r="R108" s="4"/>
      <c r="S108" s="4"/>
      <c r="T108" s="4"/>
      <c r="U108" s="4"/>
      <c r="V108" s="4"/>
      <c r="W108" s="4"/>
      <c r="X108" s="4"/>
      <c r="Y108" s="4"/>
      <c r="Z108" s="4"/>
      <c r="AA108" s="4"/>
    </row>
    <row r="109" spans="1:27" ht="15.95" customHeight="1" x14ac:dyDescent="0.2">
      <c r="A109" s="1274"/>
      <c r="B109" s="27">
        <v>33</v>
      </c>
      <c r="C109" s="829">
        <f t="shared" si="0"/>
        <v>45930</v>
      </c>
      <c r="D109" s="27" t="s">
        <v>34</v>
      </c>
      <c r="E109" s="845" t="s">
        <v>369</v>
      </c>
      <c r="F109" s="27">
        <v>16</v>
      </c>
      <c r="G109" s="27"/>
      <c r="H109" s="30"/>
      <c r="I109" s="27" t="str">
        <f t="shared" si="4"/>
        <v>0:00</v>
      </c>
      <c r="J109" s="27"/>
      <c r="K109" s="27"/>
      <c r="L109" s="27" t="str">
        <f t="shared" si="2"/>
        <v>0:00</v>
      </c>
      <c r="M109" s="27"/>
      <c r="N109" s="27"/>
      <c r="O109" s="832"/>
      <c r="P109" s="19"/>
      <c r="Q109" s="21"/>
      <c r="R109" s="4"/>
      <c r="S109" s="4"/>
      <c r="T109" s="4"/>
      <c r="U109" s="4"/>
      <c r="V109" s="4"/>
      <c r="W109" s="4"/>
      <c r="X109" s="4"/>
      <c r="Y109" s="4"/>
      <c r="Z109" s="4"/>
      <c r="AA109" s="4"/>
    </row>
    <row r="110" spans="1:27" ht="15.95" customHeight="1" x14ac:dyDescent="0.2">
      <c r="A110" s="1274"/>
      <c r="B110" s="27">
        <v>32</v>
      </c>
      <c r="C110" s="829">
        <f t="shared" si="0"/>
        <v>45931</v>
      </c>
      <c r="D110" s="27" t="s">
        <v>26</v>
      </c>
      <c r="E110" s="845" t="s">
        <v>385</v>
      </c>
      <c r="F110" s="27">
        <v>8</v>
      </c>
      <c r="G110" s="27"/>
      <c r="H110" s="30"/>
      <c r="I110" s="27" t="str">
        <f t="shared" si="4"/>
        <v>0:00</v>
      </c>
      <c r="J110" s="27"/>
      <c r="K110" s="27"/>
      <c r="L110" s="27" t="str">
        <f t="shared" si="2"/>
        <v>0:00</v>
      </c>
      <c r="M110" s="27"/>
      <c r="N110" s="27"/>
      <c r="O110" s="832"/>
      <c r="P110" s="22">
        <f>N111+P103</f>
        <v>0</v>
      </c>
      <c r="Q110" s="18"/>
      <c r="R110" s="4"/>
      <c r="S110" s="4"/>
      <c r="T110" s="4"/>
      <c r="U110" s="4"/>
      <c r="V110" s="4"/>
      <c r="W110" s="4"/>
      <c r="X110" s="4"/>
      <c r="Y110" s="4"/>
      <c r="Z110" s="4"/>
      <c r="AA110" s="4"/>
    </row>
    <row r="111" spans="1:27" ht="15.95" customHeight="1" x14ac:dyDescent="0.2">
      <c r="A111" s="1274"/>
      <c r="B111" s="27">
        <v>31</v>
      </c>
      <c r="C111" s="829">
        <f t="shared" si="0"/>
        <v>45932</v>
      </c>
      <c r="D111" s="27" t="s">
        <v>27</v>
      </c>
      <c r="E111" s="845" t="s">
        <v>436</v>
      </c>
      <c r="F111" s="27">
        <v>10</v>
      </c>
      <c r="G111" s="27"/>
      <c r="H111" s="30"/>
      <c r="I111" s="27" t="str">
        <f t="shared" si="4"/>
        <v>0:00</v>
      </c>
      <c r="J111" s="27"/>
      <c r="K111" s="27"/>
      <c r="L111" s="27" t="str">
        <f t="shared" si="2"/>
        <v>0:00</v>
      </c>
      <c r="M111" s="27"/>
      <c r="N111" s="831">
        <f>SUM(H106:H112)</f>
        <v>0</v>
      </c>
      <c r="O111" s="832"/>
      <c r="P111" s="19">
        <f>P104+N112</f>
        <v>0</v>
      </c>
      <c r="Q111" s="20">
        <f>P111/P112</f>
        <v>0</v>
      </c>
      <c r="R111" s="4"/>
      <c r="S111" s="4"/>
      <c r="T111" s="4"/>
      <c r="U111" s="4"/>
      <c r="V111" s="4"/>
      <c r="W111" s="4"/>
      <c r="X111" s="4"/>
      <c r="Y111" s="4"/>
      <c r="Z111" s="4"/>
      <c r="AA111" s="4"/>
    </row>
    <row r="112" spans="1:27" ht="15.95" customHeight="1" x14ac:dyDescent="0.2">
      <c r="A112" s="1274"/>
      <c r="B112" s="27">
        <v>30</v>
      </c>
      <c r="C112" s="829">
        <f t="shared" si="0"/>
        <v>45933</v>
      </c>
      <c r="D112" s="27" t="s">
        <v>28</v>
      </c>
      <c r="E112" s="845" t="s">
        <v>381</v>
      </c>
      <c r="F112" s="27">
        <v>6</v>
      </c>
      <c r="G112" s="27"/>
      <c r="H112" s="30"/>
      <c r="I112" s="27" t="str">
        <f t="shared" si="4"/>
        <v>0:00</v>
      </c>
      <c r="J112" s="27"/>
      <c r="K112" s="27"/>
      <c r="L112" s="27" t="str">
        <f t="shared" si="2"/>
        <v>0:00</v>
      </c>
      <c r="M112" s="27">
        <v>63</v>
      </c>
      <c r="N112" s="27">
        <f>SUM(G106:G112)</f>
        <v>0</v>
      </c>
      <c r="O112" s="832"/>
      <c r="P112" s="19">
        <f>P105+M112</f>
        <v>877</v>
      </c>
      <c r="Q112" s="21"/>
      <c r="R112" s="4"/>
      <c r="S112" s="4"/>
      <c r="T112" s="4"/>
      <c r="U112" s="4"/>
      <c r="V112" s="4"/>
      <c r="W112" s="4"/>
      <c r="X112" s="4"/>
      <c r="Y112" s="4"/>
      <c r="Z112" s="4"/>
      <c r="AA112" s="4"/>
    </row>
    <row r="113" spans="1:27" ht="15.95" customHeight="1" x14ac:dyDescent="0.2">
      <c r="A113" s="916" t="s">
        <v>45</v>
      </c>
      <c r="B113" s="6">
        <v>29</v>
      </c>
      <c r="C113" s="17">
        <f t="shared" si="0"/>
        <v>45934</v>
      </c>
      <c r="D113" s="6" t="s">
        <v>30</v>
      </c>
      <c r="E113" s="841" t="s">
        <v>370</v>
      </c>
      <c r="F113" s="6">
        <v>20</v>
      </c>
      <c r="G113" s="6"/>
      <c r="H113" s="29"/>
      <c r="I113" s="6" t="str">
        <f t="shared" si="4"/>
        <v>0:00</v>
      </c>
      <c r="J113" s="6"/>
      <c r="K113" s="6"/>
      <c r="L113" s="6" t="str">
        <f t="shared" si="2"/>
        <v>0:00</v>
      </c>
      <c r="M113" s="4"/>
      <c r="N113" s="4"/>
      <c r="O113" s="16"/>
      <c r="P113" s="19"/>
      <c r="Q113" s="21"/>
      <c r="R113" s="4"/>
      <c r="S113" s="4"/>
      <c r="T113" s="4"/>
      <c r="U113" s="4"/>
      <c r="V113" s="4"/>
      <c r="W113" s="4"/>
      <c r="X113" s="4"/>
      <c r="Y113" s="4"/>
      <c r="Z113" s="4"/>
      <c r="AA113" s="4"/>
    </row>
    <row r="114" spans="1:27" ht="15.95" customHeight="1" x14ac:dyDescent="0.2">
      <c r="A114" s="916"/>
      <c r="B114" s="6">
        <v>28</v>
      </c>
      <c r="C114" s="17">
        <f t="shared" si="0"/>
        <v>45935</v>
      </c>
      <c r="D114" s="6" t="s">
        <v>31</v>
      </c>
      <c r="E114" s="849" t="s">
        <v>29</v>
      </c>
      <c r="F114" s="6"/>
      <c r="G114" s="6"/>
      <c r="H114" s="6"/>
      <c r="I114" s="6" t="str">
        <f t="shared" si="4"/>
        <v>0:00</v>
      </c>
      <c r="J114" s="6"/>
      <c r="K114" s="6"/>
      <c r="L114" s="6" t="str">
        <f t="shared" si="2"/>
        <v>0:00</v>
      </c>
      <c r="M114" s="4"/>
      <c r="N114" s="4"/>
      <c r="O114" s="16"/>
      <c r="P114" s="19"/>
      <c r="Q114" s="21"/>
      <c r="R114" s="4"/>
      <c r="S114" s="4"/>
      <c r="T114" s="4"/>
      <c r="U114" s="4"/>
      <c r="V114" s="4"/>
      <c r="W114" s="4"/>
      <c r="X114" s="4"/>
      <c r="Y114" s="4"/>
      <c r="Z114" s="4"/>
      <c r="AA114" s="4"/>
    </row>
    <row r="115" spans="1:27" ht="15.95" customHeight="1" x14ac:dyDescent="0.2">
      <c r="A115" s="916"/>
      <c r="B115" s="6">
        <v>27</v>
      </c>
      <c r="C115" s="17">
        <f t="shared" si="0"/>
        <v>45936</v>
      </c>
      <c r="D115" s="6" t="s">
        <v>33</v>
      </c>
      <c r="E115" s="841" t="s">
        <v>381</v>
      </c>
      <c r="F115" s="6">
        <v>6</v>
      </c>
      <c r="G115" s="6"/>
      <c r="H115" s="29"/>
      <c r="I115" s="6" t="str">
        <f t="shared" si="4"/>
        <v>0:00</v>
      </c>
      <c r="J115" s="6"/>
      <c r="K115" s="6"/>
      <c r="L115" s="6" t="str">
        <f t="shared" si="2"/>
        <v>0:00</v>
      </c>
      <c r="M115" s="6"/>
      <c r="N115" s="6"/>
      <c r="O115" s="16"/>
      <c r="P115" s="19"/>
      <c r="Q115" s="21"/>
      <c r="R115" s="4"/>
      <c r="S115" s="4"/>
      <c r="T115" s="4"/>
      <c r="U115" s="4"/>
      <c r="V115" s="4"/>
      <c r="W115" s="4"/>
      <c r="X115" s="4"/>
      <c r="Y115" s="4"/>
      <c r="Z115" s="4"/>
      <c r="AA115" s="4"/>
    </row>
    <row r="116" spans="1:27" ht="15.95" customHeight="1" x14ac:dyDescent="0.2">
      <c r="A116" s="916"/>
      <c r="B116" s="6">
        <v>26</v>
      </c>
      <c r="C116" s="17">
        <f t="shared" si="0"/>
        <v>45937</v>
      </c>
      <c r="D116" s="6" t="s">
        <v>34</v>
      </c>
      <c r="E116" s="841" t="s">
        <v>371</v>
      </c>
      <c r="F116" s="6">
        <v>15</v>
      </c>
      <c r="G116" s="6"/>
      <c r="H116" s="29"/>
      <c r="I116" s="6" t="str">
        <f t="shared" si="4"/>
        <v>0:00</v>
      </c>
      <c r="J116" s="6"/>
      <c r="K116" s="6"/>
      <c r="L116" s="6" t="str">
        <f t="shared" si="2"/>
        <v>0:00</v>
      </c>
      <c r="M116" s="6"/>
      <c r="N116" s="6"/>
      <c r="O116" s="16"/>
      <c r="P116" s="19"/>
      <c r="Q116" s="21"/>
      <c r="R116" s="4"/>
      <c r="S116" s="4"/>
      <c r="T116" s="4"/>
      <c r="U116" s="4"/>
      <c r="V116" s="4"/>
      <c r="W116" s="4"/>
      <c r="X116" s="4"/>
      <c r="Y116" s="4"/>
      <c r="Z116" s="4"/>
      <c r="AA116" s="4"/>
    </row>
    <row r="117" spans="1:27" ht="15.95" customHeight="1" x14ac:dyDescent="0.2">
      <c r="A117" s="916"/>
      <c r="B117" s="6">
        <v>25</v>
      </c>
      <c r="C117" s="17">
        <f t="shared" si="0"/>
        <v>45938</v>
      </c>
      <c r="D117" s="6" t="s">
        <v>26</v>
      </c>
      <c r="E117" s="841" t="s">
        <v>385</v>
      </c>
      <c r="F117" s="6">
        <v>8</v>
      </c>
      <c r="G117" s="6"/>
      <c r="H117" s="29"/>
      <c r="I117" s="6" t="str">
        <f t="shared" si="4"/>
        <v>0:00</v>
      </c>
      <c r="J117" s="6"/>
      <c r="K117" s="6"/>
      <c r="L117" s="6" t="str">
        <f t="shared" si="2"/>
        <v>0:00</v>
      </c>
      <c r="M117" s="6"/>
      <c r="N117" s="6"/>
      <c r="O117" s="16"/>
      <c r="P117" s="22">
        <f>N118+P110</f>
        <v>0</v>
      </c>
      <c r="Q117" s="18"/>
      <c r="R117" s="4"/>
      <c r="S117" s="4"/>
      <c r="T117" s="4"/>
      <c r="U117" s="4"/>
      <c r="V117" s="4"/>
      <c r="W117" s="4"/>
      <c r="X117" s="4"/>
      <c r="Y117" s="4"/>
      <c r="Z117" s="4"/>
      <c r="AA117" s="4"/>
    </row>
    <row r="118" spans="1:27" ht="15.95" customHeight="1" x14ac:dyDescent="0.2">
      <c r="A118" s="916"/>
      <c r="B118" s="6">
        <v>24</v>
      </c>
      <c r="C118" s="17">
        <f t="shared" si="0"/>
        <v>45939</v>
      </c>
      <c r="D118" s="6" t="s">
        <v>27</v>
      </c>
      <c r="E118" s="841" t="s">
        <v>386</v>
      </c>
      <c r="F118" s="6">
        <v>8</v>
      </c>
      <c r="G118" s="6"/>
      <c r="H118" s="29"/>
      <c r="I118" s="6" t="str">
        <f t="shared" si="4"/>
        <v>0:00</v>
      </c>
      <c r="J118" s="6"/>
      <c r="K118" s="6"/>
      <c r="L118" s="6" t="str">
        <f t="shared" si="2"/>
        <v>0:00</v>
      </c>
      <c r="M118" s="6"/>
      <c r="N118" s="28">
        <f>SUM(H113:H119)</f>
        <v>0</v>
      </c>
      <c r="O118" s="16"/>
      <c r="P118" s="19">
        <f>P111+N119</f>
        <v>0</v>
      </c>
      <c r="Q118" s="20">
        <f>P118/P119</f>
        <v>0</v>
      </c>
      <c r="R118" s="4"/>
      <c r="S118" s="4"/>
      <c r="T118" s="4"/>
      <c r="U118" s="4"/>
      <c r="V118" s="4"/>
      <c r="W118" s="4"/>
      <c r="X118" s="4"/>
      <c r="Y118" s="4"/>
      <c r="Z118" s="4"/>
      <c r="AA118" s="4"/>
    </row>
    <row r="119" spans="1:27" ht="15.95" customHeight="1" x14ac:dyDescent="0.2">
      <c r="A119" s="916"/>
      <c r="B119" s="6">
        <v>23</v>
      </c>
      <c r="C119" s="17">
        <f t="shared" si="0"/>
        <v>45940</v>
      </c>
      <c r="D119" s="6" t="s">
        <v>28</v>
      </c>
      <c r="E119" s="841" t="s">
        <v>381</v>
      </c>
      <c r="F119" s="6">
        <v>6</v>
      </c>
      <c r="G119" s="6"/>
      <c r="H119" s="29"/>
      <c r="I119" s="6" t="str">
        <f t="shared" si="4"/>
        <v>0:00</v>
      </c>
      <c r="J119" s="6"/>
      <c r="K119" s="6"/>
      <c r="L119" s="6" t="str">
        <f t="shared" si="2"/>
        <v>0:00</v>
      </c>
      <c r="M119" s="6">
        <v>63</v>
      </c>
      <c r="N119" s="6">
        <f>SUM(G113:G119)</f>
        <v>0</v>
      </c>
      <c r="O119" s="16"/>
      <c r="P119" s="19">
        <f>P112+M119</f>
        <v>940</v>
      </c>
      <c r="Q119" s="21"/>
      <c r="R119" s="4"/>
      <c r="S119" s="4"/>
      <c r="T119" s="4"/>
      <c r="U119" s="4"/>
      <c r="V119" s="4"/>
      <c r="W119" s="4"/>
      <c r="X119" s="4"/>
      <c r="Y119" s="4"/>
      <c r="Z119" s="4"/>
      <c r="AA119" s="4"/>
    </row>
    <row r="120" spans="1:27" ht="15.95" customHeight="1" x14ac:dyDescent="0.2">
      <c r="A120" s="1274" t="s">
        <v>46</v>
      </c>
      <c r="B120" s="27">
        <v>22</v>
      </c>
      <c r="C120" s="829">
        <f t="shared" si="0"/>
        <v>45941</v>
      </c>
      <c r="D120" s="27" t="s">
        <v>30</v>
      </c>
      <c r="E120" s="845" t="s">
        <v>372</v>
      </c>
      <c r="F120" s="27">
        <v>17</v>
      </c>
      <c r="G120" s="27"/>
      <c r="H120" s="30"/>
      <c r="I120" s="27" t="str">
        <f t="shared" si="4"/>
        <v>0:00</v>
      </c>
      <c r="J120" s="27"/>
      <c r="K120" s="27"/>
      <c r="L120" s="27" t="str">
        <f t="shared" si="2"/>
        <v>0:00</v>
      </c>
      <c r="M120" s="830"/>
      <c r="N120" s="830"/>
      <c r="O120" s="832"/>
      <c r="P120" s="19"/>
      <c r="Q120" s="21"/>
      <c r="R120" s="4"/>
      <c r="S120" s="4"/>
      <c r="T120" s="4"/>
      <c r="U120" s="4"/>
      <c r="V120" s="4"/>
      <c r="W120" s="4"/>
      <c r="X120" s="4"/>
      <c r="Y120" s="4"/>
      <c r="Z120" s="4"/>
      <c r="AA120" s="4"/>
    </row>
    <row r="121" spans="1:27" ht="15.95" customHeight="1" x14ac:dyDescent="0.2">
      <c r="A121" s="1274"/>
      <c r="B121" s="27">
        <v>21</v>
      </c>
      <c r="C121" s="829">
        <f t="shared" si="0"/>
        <v>45942</v>
      </c>
      <c r="D121" s="27" t="s">
        <v>31</v>
      </c>
      <c r="E121" s="848" t="s">
        <v>29</v>
      </c>
      <c r="F121" s="27"/>
      <c r="G121" s="27"/>
      <c r="H121" s="30"/>
      <c r="I121" s="27" t="str">
        <f t="shared" si="4"/>
        <v>0:00</v>
      </c>
      <c r="J121" s="27"/>
      <c r="K121" s="27"/>
      <c r="L121" s="27" t="str">
        <f t="shared" si="2"/>
        <v>0:00</v>
      </c>
      <c r="M121" s="830"/>
      <c r="N121" s="830"/>
      <c r="O121" s="832"/>
      <c r="P121" s="19"/>
      <c r="Q121" s="21"/>
      <c r="R121" s="4"/>
      <c r="S121" s="4"/>
      <c r="T121" s="4"/>
      <c r="U121" s="4"/>
      <c r="V121" s="4"/>
      <c r="W121" s="4"/>
      <c r="X121" s="4"/>
      <c r="Y121" s="4"/>
      <c r="Z121" s="4"/>
      <c r="AA121" s="4"/>
    </row>
    <row r="122" spans="1:27" ht="15.95" customHeight="1" x14ac:dyDescent="0.2">
      <c r="A122" s="1274"/>
      <c r="B122" s="27">
        <v>20</v>
      </c>
      <c r="C122" s="829">
        <f t="shared" si="0"/>
        <v>45943</v>
      </c>
      <c r="D122" s="27" t="s">
        <v>33</v>
      </c>
      <c r="E122" s="845" t="s">
        <v>381</v>
      </c>
      <c r="F122" s="27">
        <v>6</v>
      </c>
      <c r="G122" s="27"/>
      <c r="H122" s="30"/>
      <c r="I122" s="27" t="str">
        <f t="shared" si="4"/>
        <v>0:00</v>
      </c>
      <c r="J122" s="27"/>
      <c r="K122" s="27"/>
      <c r="L122" s="27" t="str">
        <f t="shared" si="2"/>
        <v>0:00</v>
      </c>
      <c r="M122" s="27"/>
      <c r="N122" s="27"/>
      <c r="O122" s="832"/>
      <c r="P122" s="19"/>
      <c r="Q122" s="21"/>
      <c r="R122" s="4"/>
      <c r="S122" s="4"/>
      <c r="T122" s="4"/>
      <c r="U122" s="4"/>
      <c r="V122" s="4"/>
      <c r="W122" s="4"/>
      <c r="X122" s="4"/>
      <c r="Y122" s="4"/>
      <c r="Z122" s="4"/>
      <c r="AA122" s="4"/>
    </row>
    <row r="123" spans="1:27" ht="15.95" customHeight="1" x14ac:dyDescent="0.2">
      <c r="A123" s="1274"/>
      <c r="B123" s="27">
        <v>19</v>
      </c>
      <c r="C123" s="829">
        <f t="shared" si="0"/>
        <v>45944</v>
      </c>
      <c r="D123" s="27" t="s">
        <v>34</v>
      </c>
      <c r="E123" s="845" t="s">
        <v>373</v>
      </c>
      <c r="F123" s="27">
        <v>12</v>
      </c>
      <c r="G123" s="27"/>
      <c r="H123" s="30"/>
      <c r="I123" s="27" t="str">
        <f t="shared" si="4"/>
        <v>0:00</v>
      </c>
      <c r="J123" s="27"/>
      <c r="K123" s="27"/>
      <c r="L123" s="27" t="str">
        <f t="shared" si="2"/>
        <v>0:00</v>
      </c>
      <c r="M123" s="27"/>
      <c r="N123" s="27"/>
      <c r="O123" s="832"/>
      <c r="P123" s="19"/>
      <c r="Q123" s="21"/>
      <c r="R123" s="4"/>
      <c r="S123" s="4"/>
      <c r="T123" s="4"/>
      <c r="U123" s="4"/>
      <c r="V123" s="4"/>
      <c r="W123" s="4"/>
      <c r="X123" s="4"/>
      <c r="Y123" s="4"/>
      <c r="Z123" s="4"/>
      <c r="AA123" s="4"/>
    </row>
    <row r="124" spans="1:27" ht="15.95" customHeight="1" x14ac:dyDescent="0.2">
      <c r="A124" s="1274"/>
      <c r="B124" s="27">
        <v>18</v>
      </c>
      <c r="C124" s="829">
        <f t="shared" si="0"/>
        <v>45945</v>
      </c>
      <c r="D124" s="27" t="s">
        <v>26</v>
      </c>
      <c r="E124" s="845" t="s">
        <v>384</v>
      </c>
      <c r="F124" s="27">
        <v>7</v>
      </c>
      <c r="G124" s="27"/>
      <c r="H124" s="30"/>
      <c r="I124" s="27" t="str">
        <f t="shared" si="4"/>
        <v>0:00</v>
      </c>
      <c r="J124" s="27"/>
      <c r="K124" s="27"/>
      <c r="L124" s="27" t="str">
        <f t="shared" si="2"/>
        <v>0:00</v>
      </c>
      <c r="M124" s="27"/>
      <c r="N124" s="27"/>
      <c r="O124" s="832"/>
      <c r="P124" s="22">
        <f>N125+P117</f>
        <v>0</v>
      </c>
      <c r="Q124" s="18"/>
      <c r="R124" s="4"/>
      <c r="S124" s="4"/>
      <c r="T124" s="4"/>
      <c r="U124" s="4"/>
      <c r="V124" s="4"/>
      <c r="W124" s="4"/>
      <c r="X124" s="4"/>
      <c r="Y124" s="4"/>
      <c r="Z124" s="4"/>
      <c r="AA124" s="4"/>
    </row>
    <row r="125" spans="1:27" ht="15.95" customHeight="1" x14ac:dyDescent="0.2">
      <c r="A125" s="1274"/>
      <c r="B125" s="27">
        <v>17</v>
      </c>
      <c r="C125" s="829">
        <f t="shared" si="0"/>
        <v>45946</v>
      </c>
      <c r="D125" s="27" t="s">
        <v>27</v>
      </c>
      <c r="E125" s="845" t="s">
        <v>386</v>
      </c>
      <c r="F125" s="27">
        <v>8</v>
      </c>
      <c r="G125" s="27"/>
      <c r="H125" s="30"/>
      <c r="I125" s="27" t="str">
        <f t="shared" si="4"/>
        <v>0:00</v>
      </c>
      <c r="J125" s="30"/>
      <c r="K125" s="27"/>
      <c r="L125" s="27" t="str">
        <f t="shared" si="2"/>
        <v>0:00</v>
      </c>
      <c r="M125" s="27"/>
      <c r="N125" s="831">
        <f>SUM(H120:H126)</f>
        <v>0</v>
      </c>
      <c r="O125" s="832"/>
      <c r="P125" s="19">
        <f>P118+N126</f>
        <v>0</v>
      </c>
      <c r="Q125" s="20">
        <f>P125/P126</f>
        <v>0</v>
      </c>
      <c r="R125" s="4"/>
      <c r="S125" s="4"/>
      <c r="T125" s="4"/>
      <c r="U125" s="4"/>
      <c r="V125" s="4"/>
      <c r="W125" s="4"/>
      <c r="X125" s="4"/>
      <c r="Y125" s="4"/>
      <c r="Z125" s="4"/>
      <c r="AA125" s="4"/>
    </row>
    <row r="126" spans="1:27" ht="15.95" customHeight="1" x14ac:dyDescent="0.2">
      <c r="A126" s="1274"/>
      <c r="B126" s="27">
        <v>16</v>
      </c>
      <c r="C126" s="829">
        <f t="shared" si="0"/>
        <v>45947</v>
      </c>
      <c r="D126" s="27" t="s">
        <v>28</v>
      </c>
      <c r="E126" s="845" t="s">
        <v>381</v>
      </c>
      <c r="F126" s="27">
        <v>6</v>
      </c>
      <c r="G126" s="27"/>
      <c r="H126" s="30"/>
      <c r="I126" s="27" t="str">
        <f t="shared" si="4"/>
        <v>0:00</v>
      </c>
      <c r="J126" s="27"/>
      <c r="K126" s="27"/>
      <c r="L126" s="27" t="str">
        <f t="shared" si="2"/>
        <v>0:00</v>
      </c>
      <c r="M126" s="27">
        <v>56</v>
      </c>
      <c r="N126" s="27">
        <f>SUM(G120:G126)</f>
        <v>0</v>
      </c>
      <c r="O126" s="832"/>
      <c r="P126" s="19">
        <f>P119+M126</f>
        <v>996</v>
      </c>
      <c r="Q126" s="21"/>
      <c r="R126" s="4"/>
      <c r="S126" s="4"/>
      <c r="T126" s="4"/>
      <c r="U126" s="4"/>
      <c r="V126" s="4"/>
      <c r="W126" s="4"/>
      <c r="X126" s="4"/>
      <c r="Y126" s="4"/>
      <c r="Z126" s="4"/>
      <c r="AA126" s="4"/>
    </row>
    <row r="127" spans="1:27" ht="15.95" customHeight="1" x14ac:dyDescent="0.2">
      <c r="A127" s="916" t="s">
        <v>47</v>
      </c>
      <c r="B127" s="6">
        <v>15</v>
      </c>
      <c r="C127" s="17">
        <f t="shared" si="0"/>
        <v>45948</v>
      </c>
      <c r="D127" s="6" t="s">
        <v>30</v>
      </c>
      <c r="E127" s="841" t="s">
        <v>374</v>
      </c>
      <c r="F127" s="6">
        <v>15</v>
      </c>
      <c r="G127" s="6"/>
      <c r="H127" s="29"/>
      <c r="I127" s="6" t="str">
        <f t="shared" si="4"/>
        <v>0:00</v>
      </c>
      <c r="J127" s="6"/>
      <c r="K127" s="6"/>
      <c r="L127" s="6" t="str">
        <f t="shared" si="2"/>
        <v>0:00</v>
      </c>
      <c r="M127" s="4"/>
      <c r="N127" s="4"/>
      <c r="O127" s="16"/>
      <c r="P127" s="19"/>
      <c r="Q127" s="21"/>
      <c r="R127" s="4"/>
      <c r="S127" s="4"/>
      <c r="T127" s="4"/>
      <c r="U127" s="4"/>
      <c r="V127" s="4"/>
      <c r="W127" s="4"/>
      <c r="X127" s="4"/>
      <c r="Y127" s="4"/>
      <c r="Z127" s="4"/>
      <c r="AA127" s="4"/>
    </row>
    <row r="128" spans="1:27" ht="15.95" customHeight="1" x14ac:dyDescent="0.2">
      <c r="A128" s="916"/>
      <c r="B128" s="6">
        <v>14</v>
      </c>
      <c r="C128" s="17">
        <f t="shared" si="0"/>
        <v>45949</v>
      </c>
      <c r="D128" s="6" t="s">
        <v>31</v>
      </c>
      <c r="E128" s="849" t="s">
        <v>29</v>
      </c>
      <c r="F128" s="6"/>
      <c r="G128" s="6"/>
      <c r="H128" s="6"/>
      <c r="I128" s="6" t="str">
        <f t="shared" si="4"/>
        <v>0:00</v>
      </c>
      <c r="J128" s="6"/>
      <c r="K128" s="6"/>
      <c r="L128" s="6" t="str">
        <f t="shared" si="2"/>
        <v>0:00</v>
      </c>
      <c r="M128" s="4"/>
      <c r="N128" s="4"/>
      <c r="O128" s="16"/>
      <c r="P128" s="19"/>
      <c r="Q128" s="21"/>
      <c r="R128" s="4"/>
      <c r="S128" s="4"/>
      <c r="T128" s="4"/>
      <c r="U128" s="4"/>
      <c r="V128" s="4"/>
      <c r="W128" s="4"/>
      <c r="X128" s="4"/>
      <c r="Y128" s="4"/>
      <c r="Z128" s="4"/>
      <c r="AA128" s="4"/>
    </row>
    <row r="129" spans="1:27" ht="15.95" customHeight="1" x14ac:dyDescent="0.2">
      <c r="A129" s="916"/>
      <c r="B129" s="6">
        <v>13</v>
      </c>
      <c r="C129" s="17">
        <f t="shared" si="0"/>
        <v>45950</v>
      </c>
      <c r="D129" s="6" t="s">
        <v>33</v>
      </c>
      <c r="E129" s="841" t="s">
        <v>385</v>
      </c>
      <c r="F129" s="6">
        <v>8</v>
      </c>
      <c r="G129" s="6"/>
      <c r="H129" s="29"/>
      <c r="I129" s="6" t="str">
        <f>CONCATENATE(FLOOR((HOUR(H129)*60+MINUTE(H129)+SECOND(H129)/60)/IF(ISBLANK(G129),1,G129),1),":",TEXT(ROUND((((HOUR(H129)*60+MINUTE(H129)+SECOND(H129)/60)/IF(ISBLANK(G129),1,G129))-(FLOOR((HOUR(H129)*60+MINUTE(H129)+SECOND(H129)/60)/IF(ISBLANK(G129),1,G129),1)))*60,0),"00"))</f>
        <v>0:00</v>
      </c>
      <c r="J129" s="6"/>
      <c r="K129" s="6"/>
      <c r="L129" s="6" t="str">
        <f t="shared" si="2"/>
        <v>0:00</v>
      </c>
      <c r="M129" s="6"/>
      <c r="N129" s="6"/>
      <c r="O129" s="16"/>
      <c r="P129" s="19"/>
      <c r="Q129" s="21"/>
      <c r="R129" s="4"/>
      <c r="S129" s="4"/>
      <c r="T129" s="4"/>
      <c r="U129" s="4"/>
      <c r="V129" s="4"/>
      <c r="W129" s="4"/>
      <c r="X129" s="4"/>
      <c r="Y129" s="4"/>
      <c r="Z129" s="4"/>
      <c r="AA129" s="4"/>
    </row>
    <row r="130" spans="1:27" ht="15.95" customHeight="1" x14ac:dyDescent="0.2">
      <c r="A130" s="916"/>
      <c r="B130" s="6">
        <v>12</v>
      </c>
      <c r="C130" s="17">
        <f t="shared" si="0"/>
        <v>45951</v>
      </c>
      <c r="D130" s="6" t="s">
        <v>34</v>
      </c>
      <c r="E130" s="841" t="s">
        <v>375</v>
      </c>
      <c r="F130" s="6">
        <v>11</v>
      </c>
      <c r="G130" s="6"/>
      <c r="H130" s="29"/>
      <c r="I130" s="6" t="str">
        <f t="shared" si="4"/>
        <v>0:00</v>
      </c>
      <c r="J130" s="6"/>
      <c r="K130" s="6"/>
      <c r="L130" s="6" t="str">
        <f t="shared" si="2"/>
        <v>0:00</v>
      </c>
      <c r="M130" s="6"/>
      <c r="N130" s="6"/>
      <c r="O130" s="16"/>
      <c r="P130" s="19"/>
      <c r="Q130" s="21"/>
      <c r="R130" s="4"/>
      <c r="S130" s="4"/>
      <c r="T130" s="4"/>
      <c r="U130" s="4"/>
      <c r="V130" s="4"/>
      <c r="W130" s="4"/>
      <c r="X130" s="4"/>
      <c r="Y130" s="4"/>
      <c r="Z130" s="4"/>
      <c r="AA130" s="4"/>
    </row>
    <row r="131" spans="1:27" ht="15.95" customHeight="1" x14ac:dyDescent="0.2">
      <c r="A131" s="916"/>
      <c r="B131" s="6">
        <v>11</v>
      </c>
      <c r="C131" s="17">
        <f t="shared" si="0"/>
        <v>45952</v>
      </c>
      <c r="D131" s="6" t="s">
        <v>26</v>
      </c>
      <c r="E131" s="841" t="s">
        <v>385</v>
      </c>
      <c r="F131" s="6">
        <v>8</v>
      </c>
      <c r="G131" s="6"/>
      <c r="H131" s="29"/>
      <c r="I131" s="6" t="str">
        <f>CONCATENATE(FLOOR((HOUR(H131)*60+MINUTE(H131)+SECOND(H131)/60)/IF(ISBLANK(G131),1,G131),1),":",TEXT(ROUND((((HOUR(H131)*60+MINUTE(H131)+SECOND(H131)/60)/IF(ISBLANK(G131),1,G131))-(FLOOR((HOUR(H131)*60+MINUTE(H131)+SECOND(H131)/60)/IF(ISBLANK(G131),1,G131),1)))*60,0),"00"))</f>
        <v>0:00</v>
      </c>
      <c r="J131" s="6"/>
      <c r="K131" s="6"/>
      <c r="L131" s="6" t="str">
        <f t="shared" si="2"/>
        <v>0:00</v>
      </c>
      <c r="M131" s="6"/>
      <c r="N131" s="6"/>
      <c r="O131" s="16"/>
      <c r="P131" s="22">
        <f>N132+P124</f>
        <v>0</v>
      </c>
      <c r="Q131" s="18"/>
      <c r="R131" s="4"/>
      <c r="S131" s="4"/>
      <c r="T131" s="4"/>
      <c r="U131" s="4"/>
      <c r="V131" s="4"/>
      <c r="W131" s="4"/>
      <c r="X131" s="4"/>
      <c r="Y131" s="4"/>
      <c r="Z131" s="4"/>
      <c r="AA131" s="4"/>
    </row>
    <row r="132" spans="1:27" ht="15.95" customHeight="1" x14ac:dyDescent="0.2">
      <c r="A132" s="916"/>
      <c r="B132" s="6">
        <v>10</v>
      </c>
      <c r="C132" s="17">
        <f t="shared" si="0"/>
        <v>45953</v>
      </c>
      <c r="D132" s="6" t="s">
        <v>27</v>
      </c>
      <c r="E132" s="841" t="s">
        <v>386</v>
      </c>
      <c r="F132" s="6">
        <v>8</v>
      </c>
      <c r="G132" s="6"/>
      <c r="H132" s="29"/>
      <c r="I132" s="6" t="str">
        <f t="shared" ref="I132:I141" si="5">CONCATENATE(FLOOR((HOUR(H132)*60+MINUTE(H132)+SECOND(H132)/60)/IF(ISBLANK(G132),1,G132),1),":",TEXT(ROUND((((HOUR(H132)*60+MINUTE(H132)+SECOND(H132)/60)/IF(ISBLANK(G132),1,G132))-(FLOOR((HOUR(H132)*60+MINUTE(H132)+SECOND(H132)/60)/IF(ISBLANK(G132),1,G132),1)))*60,0),"00"))</f>
        <v>0:00</v>
      </c>
      <c r="J132" s="6"/>
      <c r="K132" s="6"/>
      <c r="L132" s="6" t="str">
        <f t="shared" si="2"/>
        <v>0:00</v>
      </c>
      <c r="M132" s="6"/>
      <c r="N132" s="28">
        <f>SUM(H127:H133)</f>
        <v>0</v>
      </c>
      <c r="O132" s="16"/>
      <c r="P132" s="19">
        <f>P125+N133</f>
        <v>0</v>
      </c>
      <c r="Q132" s="20">
        <f>P132/P133</f>
        <v>0</v>
      </c>
      <c r="R132" s="4"/>
      <c r="S132" s="4"/>
      <c r="T132" s="4"/>
      <c r="U132" s="4"/>
      <c r="V132" s="4"/>
      <c r="W132" s="4"/>
      <c r="X132" s="4"/>
      <c r="Y132" s="4"/>
      <c r="Z132" s="4"/>
      <c r="AA132" s="4"/>
    </row>
    <row r="133" spans="1:27" ht="15.95" customHeight="1" x14ac:dyDescent="0.2">
      <c r="A133" s="916"/>
      <c r="B133" s="6">
        <v>9</v>
      </c>
      <c r="C133" s="17">
        <f t="shared" si="0"/>
        <v>45954</v>
      </c>
      <c r="D133" s="6" t="s">
        <v>28</v>
      </c>
      <c r="E133" s="841" t="s">
        <v>381</v>
      </c>
      <c r="F133" s="6">
        <v>6</v>
      </c>
      <c r="G133" s="6"/>
      <c r="H133" s="29"/>
      <c r="I133" s="6" t="str">
        <f t="shared" si="5"/>
        <v>0:00</v>
      </c>
      <c r="J133" s="6"/>
      <c r="K133" s="6"/>
      <c r="L133" s="6" t="str">
        <f t="shared" si="2"/>
        <v>0:00</v>
      </c>
      <c r="M133" s="6">
        <v>56</v>
      </c>
      <c r="N133" s="6">
        <f>SUM(G127:G133)</f>
        <v>0</v>
      </c>
      <c r="O133" s="16"/>
      <c r="P133" s="19">
        <f>P126+M133</f>
        <v>1052</v>
      </c>
      <c r="Q133" s="21"/>
      <c r="R133" s="4"/>
      <c r="S133" s="4"/>
      <c r="T133" s="4"/>
      <c r="U133" s="4"/>
      <c r="V133" s="4"/>
      <c r="W133" s="4"/>
      <c r="X133" s="4"/>
      <c r="Y133" s="4"/>
      <c r="Z133" s="4"/>
      <c r="AA133" s="4"/>
    </row>
    <row r="134" spans="1:27" ht="15.95" customHeight="1" x14ac:dyDescent="0.2">
      <c r="A134" s="1274" t="s">
        <v>48</v>
      </c>
      <c r="B134" s="27">
        <v>8</v>
      </c>
      <c r="C134" s="829">
        <f t="shared" si="0"/>
        <v>45955</v>
      </c>
      <c r="D134" s="27" t="s">
        <v>30</v>
      </c>
      <c r="E134" s="847" t="s">
        <v>29</v>
      </c>
      <c r="F134" s="27"/>
      <c r="G134" s="27"/>
      <c r="H134" s="30"/>
      <c r="I134" s="27" t="str">
        <f t="shared" si="5"/>
        <v>0:00</v>
      </c>
      <c r="J134" s="27"/>
      <c r="K134" s="27"/>
      <c r="L134" s="27" t="str">
        <f t="shared" si="2"/>
        <v>0:00</v>
      </c>
      <c r="M134" s="830"/>
      <c r="N134" s="830"/>
      <c r="O134" s="832"/>
      <c r="P134" s="19"/>
      <c r="Q134" s="21"/>
      <c r="R134" s="4"/>
      <c r="S134" s="4"/>
      <c r="T134" s="4"/>
      <c r="U134" s="4"/>
      <c r="V134" s="4"/>
      <c r="W134" s="4"/>
      <c r="X134" s="4"/>
      <c r="Y134" s="4"/>
      <c r="Z134" s="4"/>
      <c r="AA134" s="4"/>
    </row>
    <row r="135" spans="1:27" ht="15.95" customHeight="1" x14ac:dyDescent="0.2">
      <c r="A135" s="1274"/>
      <c r="B135" s="27">
        <v>7</v>
      </c>
      <c r="C135" s="829">
        <f t="shared" si="0"/>
        <v>45956</v>
      </c>
      <c r="D135" s="27" t="s">
        <v>31</v>
      </c>
      <c r="E135" s="847" t="s">
        <v>422</v>
      </c>
      <c r="F135" s="27">
        <v>13</v>
      </c>
      <c r="G135" s="27"/>
      <c r="H135" s="27"/>
      <c r="I135" s="27" t="str">
        <f t="shared" si="5"/>
        <v>0:00</v>
      </c>
      <c r="J135" s="27"/>
      <c r="K135" s="27"/>
      <c r="L135" s="27" t="str">
        <f t="shared" si="2"/>
        <v>0:00</v>
      </c>
      <c r="M135" s="830"/>
      <c r="N135" s="830"/>
      <c r="O135" s="832"/>
      <c r="P135" s="19"/>
      <c r="Q135" s="21"/>
      <c r="R135" s="4"/>
      <c r="S135" s="4"/>
      <c r="T135" s="4"/>
      <c r="U135" s="4"/>
      <c r="V135" s="4"/>
      <c r="W135" s="4"/>
      <c r="X135" s="4"/>
      <c r="Y135" s="4"/>
      <c r="Z135" s="4"/>
      <c r="AA135" s="4"/>
    </row>
    <row r="136" spans="1:27" ht="15.95" customHeight="1" x14ac:dyDescent="0.2">
      <c r="A136" s="1274"/>
      <c r="B136" s="27">
        <v>6</v>
      </c>
      <c r="C136" s="829">
        <f t="shared" si="0"/>
        <v>45957</v>
      </c>
      <c r="D136" s="27" t="s">
        <v>33</v>
      </c>
      <c r="E136" s="847" t="s">
        <v>423</v>
      </c>
      <c r="F136" s="27">
        <v>8</v>
      </c>
      <c r="G136" s="27"/>
      <c r="H136" s="30"/>
      <c r="I136" s="27" t="str">
        <f t="shared" si="5"/>
        <v>0:00</v>
      </c>
      <c r="J136" s="27"/>
      <c r="K136" s="27"/>
      <c r="L136" s="27" t="str">
        <f t="shared" si="2"/>
        <v>0:00</v>
      </c>
      <c r="M136" s="27"/>
      <c r="N136" s="27"/>
      <c r="O136" s="832"/>
      <c r="P136" s="19"/>
      <c r="Q136" s="21"/>
      <c r="R136" s="4"/>
      <c r="S136" s="4"/>
      <c r="T136" s="4"/>
      <c r="U136" s="4"/>
      <c r="V136" s="4"/>
      <c r="W136" s="4"/>
      <c r="X136" s="4"/>
      <c r="Y136" s="4"/>
      <c r="Z136" s="4"/>
      <c r="AA136" s="4"/>
    </row>
    <row r="137" spans="1:27" ht="15.95" customHeight="1" x14ac:dyDescent="0.2">
      <c r="A137" s="1274"/>
      <c r="B137" s="27">
        <v>5</v>
      </c>
      <c r="C137" s="829">
        <f t="shared" si="0"/>
        <v>45958</v>
      </c>
      <c r="D137" s="27" t="s">
        <v>34</v>
      </c>
      <c r="E137" s="847" t="s">
        <v>424</v>
      </c>
      <c r="F137" s="27">
        <v>7</v>
      </c>
      <c r="G137" s="27"/>
      <c r="H137" s="30"/>
      <c r="I137" s="27" t="str">
        <f t="shared" si="5"/>
        <v>0:00</v>
      </c>
      <c r="J137" s="27"/>
      <c r="K137" s="27"/>
      <c r="L137" s="27" t="str">
        <f t="shared" si="2"/>
        <v>0:00</v>
      </c>
      <c r="M137" s="27"/>
      <c r="N137" s="27"/>
      <c r="O137" s="832"/>
      <c r="P137" s="19"/>
      <c r="Q137" s="21"/>
      <c r="R137" s="4"/>
      <c r="S137" s="4"/>
      <c r="T137" s="4"/>
      <c r="U137" s="4"/>
      <c r="V137" s="4"/>
      <c r="W137" s="4"/>
      <c r="X137" s="4"/>
      <c r="Y137" s="4"/>
      <c r="Z137" s="4"/>
      <c r="AA137" s="4"/>
    </row>
    <row r="138" spans="1:27" ht="15.95" customHeight="1" x14ac:dyDescent="0.2">
      <c r="A138" s="1274"/>
      <c r="B138" s="27">
        <v>4</v>
      </c>
      <c r="C138" s="829">
        <f t="shared" si="0"/>
        <v>45959</v>
      </c>
      <c r="D138" s="27" t="s">
        <v>26</v>
      </c>
      <c r="E138" s="847" t="s">
        <v>425</v>
      </c>
      <c r="F138" s="27">
        <v>5</v>
      </c>
      <c r="G138" s="27"/>
      <c r="H138" s="30"/>
      <c r="I138" s="27" t="str">
        <f t="shared" si="5"/>
        <v>0:00</v>
      </c>
      <c r="J138" s="27"/>
      <c r="K138" s="27"/>
      <c r="L138" s="27" t="str">
        <f t="shared" si="2"/>
        <v>0:00</v>
      </c>
      <c r="M138" s="27"/>
      <c r="N138" s="27"/>
      <c r="O138" s="832"/>
      <c r="P138" s="19"/>
      <c r="Q138" s="18"/>
      <c r="R138" s="4"/>
      <c r="S138" s="4"/>
      <c r="T138" s="4"/>
      <c r="U138" s="4"/>
      <c r="V138" s="4"/>
      <c r="W138" s="4"/>
      <c r="X138" s="4"/>
      <c r="Y138" s="4"/>
      <c r="Z138" s="4"/>
      <c r="AA138" s="4"/>
    </row>
    <row r="139" spans="1:27" ht="15.95" customHeight="1" x14ac:dyDescent="0.2">
      <c r="A139" s="1274"/>
      <c r="B139" s="27">
        <v>3</v>
      </c>
      <c r="C139" s="829">
        <f t="shared" si="0"/>
        <v>45960</v>
      </c>
      <c r="D139" s="27" t="s">
        <v>27</v>
      </c>
      <c r="E139" s="847" t="s">
        <v>426</v>
      </c>
      <c r="F139" s="27">
        <v>3</v>
      </c>
      <c r="G139" s="27"/>
      <c r="H139" s="30"/>
      <c r="I139" s="27" t="str">
        <f t="shared" si="5"/>
        <v>0:00</v>
      </c>
      <c r="J139" s="27"/>
      <c r="K139" s="27"/>
      <c r="L139" s="27" t="str">
        <f t="shared" si="2"/>
        <v>0:00</v>
      </c>
      <c r="M139" s="27"/>
      <c r="N139" s="27"/>
      <c r="O139" s="832"/>
      <c r="P139" s="19"/>
      <c r="Q139" s="18"/>
      <c r="R139" s="4"/>
      <c r="S139" s="4"/>
      <c r="T139" s="4"/>
      <c r="U139" s="4"/>
      <c r="V139" s="4"/>
      <c r="W139" s="4"/>
      <c r="X139" s="4"/>
      <c r="Y139" s="4"/>
      <c r="Z139" s="4"/>
      <c r="AA139" s="4"/>
    </row>
    <row r="140" spans="1:27" ht="15.95" customHeight="1" x14ac:dyDescent="0.2">
      <c r="A140" s="1274"/>
      <c r="B140" s="27">
        <v>2</v>
      </c>
      <c r="C140" s="829">
        <f t="shared" si="0"/>
        <v>45961</v>
      </c>
      <c r="D140" s="27" t="s">
        <v>28</v>
      </c>
      <c r="E140" s="847" t="s">
        <v>427</v>
      </c>
      <c r="F140" s="27">
        <v>0</v>
      </c>
      <c r="G140" s="27"/>
      <c r="H140" s="30"/>
      <c r="I140" s="27" t="str">
        <f t="shared" si="5"/>
        <v>0:00</v>
      </c>
      <c r="J140" s="27"/>
      <c r="K140" s="27"/>
      <c r="L140" s="27" t="str">
        <f t="shared" si="2"/>
        <v>0:00</v>
      </c>
      <c r="M140" s="27"/>
      <c r="N140" s="27"/>
      <c r="O140" s="832"/>
      <c r="P140" s="22">
        <f>N141+P131</f>
        <v>0</v>
      </c>
      <c r="Q140" s="18"/>
      <c r="R140" s="4"/>
      <c r="S140" s="4"/>
      <c r="T140" s="4"/>
      <c r="U140" s="4"/>
      <c r="V140" s="4"/>
      <c r="W140" s="4"/>
      <c r="X140" s="4"/>
      <c r="Y140" s="4"/>
      <c r="Z140" s="4"/>
      <c r="AA140" s="4"/>
    </row>
    <row r="141" spans="1:27" ht="15.95" customHeight="1" x14ac:dyDescent="0.2">
      <c r="A141" s="1274"/>
      <c r="B141" s="27">
        <v>1</v>
      </c>
      <c r="C141" s="829">
        <f t="shared" si="0"/>
        <v>45962</v>
      </c>
      <c r="D141" s="27" t="s">
        <v>30</v>
      </c>
      <c r="E141" s="847" t="s">
        <v>428</v>
      </c>
      <c r="F141" s="27">
        <v>3</v>
      </c>
      <c r="G141" s="27"/>
      <c r="H141" s="30"/>
      <c r="I141" s="27" t="str">
        <f t="shared" si="5"/>
        <v>0:00</v>
      </c>
      <c r="J141" s="27"/>
      <c r="K141" s="27"/>
      <c r="L141" s="27" t="str">
        <f t="shared" si="2"/>
        <v>0:00</v>
      </c>
      <c r="M141" s="27">
        <v>47</v>
      </c>
      <c r="N141" s="831">
        <f>SUM(H134:H141)</f>
        <v>0</v>
      </c>
      <c r="O141" s="832"/>
      <c r="P141" s="19">
        <f>P132+N142</f>
        <v>0</v>
      </c>
      <c r="Q141" s="20">
        <f>P141/P142</f>
        <v>0</v>
      </c>
      <c r="R141" s="4"/>
      <c r="S141" s="4"/>
      <c r="T141" s="4"/>
      <c r="U141" s="4"/>
      <c r="V141" s="4"/>
      <c r="W141" s="4"/>
      <c r="X141" s="4"/>
      <c r="Y141" s="4"/>
      <c r="Z141" s="4"/>
      <c r="AA141" s="4"/>
    </row>
    <row r="142" spans="1:27" ht="15.95" customHeight="1" x14ac:dyDescent="0.2">
      <c r="A142" s="833" t="s">
        <v>49</v>
      </c>
      <c r="B142" s="834">
        <v>0</v>
      </c>
      <c r="C142" s="835">
        <f t="shared" si="0"/>
        <v>45963</v>
      </c>
      <c r="D142" s="834" t="s">
        <v>31</v>
      </c>
      <c r="E142" s="836"/>
      <c r="F142" s="834"/>
      <c r="G142" s="834"/>
      <c r="H142" s="31"/>
      <c r="I142" s="834" t="str">
        <f>CONCATENATE(FLOOR((HOUR(H142)*60+MINUTE(H142)+SECOND(H142)/60)/IF(ISBLANK(G142),1,G142),1),":",TEXT(ROUND((((HOUR(H142)*60+MINUTE(H142)+SECOND(H142)/60)/IF(ISBLANK(G142),1,G142))-(FLOOR((HOUR(H142)*60+MINUTE(H142)+SECOND(H142)/60)/IF(ISBLANK(G142),1,G142),1)))*60,0),"00"))</f>
        <v>0:00</v>
      </c>
      <c r="J142" s="834"/>
      <c r="K142" s="834"/>
      <c r="L142" s="834" t="str">
        <f t="shared" si="2"/>
        <v>0:00</v>
      </c>
      <c r="M142" s="834">
        <v>26.2</v>
      </c>
      <c r="N142" s="834">
        <f>SUM(G136:G142)</f>
        <v>0</v>
      </c>
      <c r="O142" s="837"/>
      <c r="P142" s="19">
        <f>P133+M142</f>
        <v>1078.2</v>
      </c>
      <c r="Q142" s="18"/>
      <c r="R142" s="4"/>
      <c r="S142" s="4"/>
      <c r="T142" s="4"/>
      <c r="U142" s="4"/>
      <c r="V142" s="4"/>
      <c r="W142" s="4"/>
      <c r="X142" s="4"/>
      <c r="Y142" s="4"/>
      <c r="Z142" s="4"/>
      <c r="AA142" s="4"/>
    </row>
    <row r="143" spans="1:27" ht="14.1" customHeight="1" x14ac:dyDescent="0.2">
      <c r="A143" s="16"/>
      <c r="B143" s="6"/>
      <c r="C143" s="17"/>
      <c r="D143" s="6"/>
      <c r="E143" s="4"/>
      <c r="F143" s="6"/>
      <c r="G143" s="6"/>
      <c r="H143" s="6"/>
      <c r="I143" s="6"/>
      <c r="J143" s="6"/>
      <c r="K143" s="6"/>
      <c r="L143" s="6"/>
      <c r="M143" s="6"/>
      <c r="N143" s="6"/>
      <c r="O143" s="16"/>
      <c r="R143" s="4"/>
      <c r="S143" s="4"/>
      <c r="T143" s="4"/>
      <c r="U143" s="4"/>
      <c r="V143" s="4"/>
      <c r="W143" s="4"/>
      <c r="X143" s="4"/>
      <c r="Y143" s="4"/>
      <c r="Z143" s="4"/>
      <c r="AA143" s="4"/>
    </row>
    <row r="144" spans="1:27" ht="14.1" customHeight="1" x14ac:dyDescent="0.2">
      <c r="A144" s="16"/>
      <c r="B144" s="6"/>
      <c r="C144" s="17"/>
      <c r="D144" s="6"/>
      <c r="E144" s="4"/>
      <c r="F144" s="6"/>
      <c r="G144" s="6"/>
      <c r="H144" s="6"/>
      <c r="I144" s="6"/>
      <c r="J144" s="6"/>
      <c r="K144" s="6"/>
      <c r="L144" s="6"/>
      <c r="M144" s="6"/>
      <c r="N144" s="6"/>
      <c r="O144" s="16"/>
      <c r="P144" s="6"/>
      <c r="Q144" s="4"/>
      <c r="R144" s="4"/>
      <c r="S144" s="4"/>
      <c r="T144" s="4"/>
      <c r="U144" s="4"/>
      <c r="V144" s="4"/>
      <c r="W144" s="4"/>
      <c r="X144" s="4"/>
      <c r="Y144" s="4"/>
      <c r="Z144" s="4"/>
      <c r="AA144" s="4"/>
    </row>
    <row r="145" spans="1:27" ht="14.1" customHeight="1" x14ac:dyDescent="0.2">
      <c r="A145" s="16"/>
      <c r="B145" s="6"/>
      <c r="C145" s="17"/>
      <c r="D145" s="6"/>
      <c r="E145" s="4"/>
      <c r="F145" s="6"/>
      <c r="G145" s="6"/>
      <c r="H145" s="6"/>
      <c r="I145" s="6"/>
      <c r="J145" s="6"/>
      <c r="K145" s="6"/>
      <c r="L145" s="6"/>
      <c r="M145" s="6"/>
      <c r="N145" s="6"/>
      <c r="O145" s="16"/>
      <c r="P145" s="6"/>
      <c r="Q145" s="4"/>
      <c r="R145" s="4"/>
      <c r="S145" s="4"/>
      <c r="T145" s="4"/>
      <c r="U145" s="4"/>
      <c r="V145" s="4"/>
      <c r="W145" s="4"/>
      <c r="X145" s="4"/>
      <c r="Y145" s="4"/>
      <c r="Z145" s="4"/>
      <c r="AA145" s="4"/>
    </row>
    <row r="146" spans="1:27" ht="14.1" customHeight="1" x14ac:dyDescent="0.2">
      <c r="A146" s="16"/>
      <c r="B146" s="6"/>
      <c r="C146" s="17"/>
      <c r="D146" s="6"/>
      <c r="E146" s="4"/>
      <c r="F146" s="6"/>
      <c r="G146" s="6"/>
      <c r="H146" s="6"/>
      <c r="I146" s="6"/>
      <c r="J146" s="6"/>
      <c r="K146" s="6"/>
      <c r="L146" s="6"/>
      <c r="M146" s="6"/>
      <c r="N146" s="6"/>
      <c r="O146" s="16"/>
      <c r="P146" s="6"/>
      <c r="Q146" s="4"/>
      <c r="R146" s="4"/>
      <c r="S146" s="4"/>
      <c r="T146" s="4"/>
      <c r="U146" s="4"/>
      <c r="V146" s="4"/>
      <c r="W146" s="4"/>
      <c r="X146" s="4"/>
      <c r="Y146" s="4"/>
      <c r="Z146" s="4"/>
      <c r="AA146" s="4"/>
    </row>
    <row r="147" spans="1:27" ht="14.1" customHeight="1" x14ac:dyDescent="0.2">
      <c r="A147" s="16"/>
      <c r="B147" s="6"/>
      <c r="C147" s="17"/>
      <c r="D147" s="6"/>
      <c r="E147" s="4"/>
      <c r="F147" s="6"/>
      <c r="G147" s="6"/>
      <c r="H147" s="6"/>
      <c r="I147" s="6"/>
      <c r="J147" s="6"/>
      <c r="K147" s="6"/>
      <c r="L147" s="6"/>
      <c r="M147" s="6"/>
      <c r="N147" s="6"/>
      <c r="O147" s="16"/>
      <c r="P147" s="6"/>
      <c r="Q147" s="4"/>
      <c r="R147" s="4"/>
      <c r="S147" s="4"/>
      <c r="T147" s="4"/>
      <c r="U147" s="4"/>
      <c r="V147" s="4"/>
      <c r="W147" s="4"/>
      <c r="X147" s="4"/>
      <c r="Y147" s="4"/>
      <c r="Z147" s="4"/>
      <c r="AA147" s="4"/>
    </row>
    <row r="148" spans="1:27" ht="12.75" x14ac:dyDescent="0.2">
      <c r="A148" s="16"/>
      <c r="B148" s="6"/>
      <c r="C148" s="17"/>
      <c r="D148" s="6"/>
      <c r="E148" s="4"/>
      <c r="F148" s="6"/>
      <c r="G148" s="6"/>
      <c r="H148" s="6"/>
      <c r="I148" s="6"/>
      <c r="J148" s="6"/>
      <c r="K148" s="6"/>
      <c r="L148" s="6"/>
      <c r="M148" s="6"/>
      <c r="N148" s="6"/>
      <c r="O148" s="16"/>
      <c r="P148" s="6"/>
      <c r="Q148" s="4"/>
      <c r="R148" s="4"/>
      <c r="S148" s="4"/>
      <c r="T148" s="4"/>
      <c r="U148" s="4"/>
      <c r="V148" s="4"/>
      <c r="W148" s="4"/>
      <c r="X148" s="4"/>
      <c r="Y148" s="4"/>
      <c r="Z148" s="4"/>
      <c r="AA148" s="4"/>
    </row>
    <row r="149" spans="1:27" ht="12.75" x14ac:dyDescent="0.2">
      <c r="A149" s="16"/>
      <c r="B149" s="6"/>
      <c r="C149" s="17"/>
      <c r="D149" s="6"/>
      <c r="E149" s="4"/>
      <c r="F149" s="6"/>
      <c r="G149" s="6"/>
      <c r="H149" s="6"/>
      <c r="I149" s="6"/>
      <c r="J149" s="6"/>
      <c r="K149" s="6"/>
      <c r="L149" s="6"/>
      <c r="M149" s="6"/>
      <c r="N149" s="6"/>
      <c r="O149" s="16"/>
      <c r="P149" s="6"/>
      <c r="Q149" s="4"/>
      <c r="R149" s="4"/>
      <c r="S149" s="4"/>
      <c r="T149" s="4"/>
      <c r="U149" s="4"/>
      <c r="V149" s="4"/>
      <c r="W149" s="4"/>
      <c r="X149" s="4"/>
      <c r="Y149" s="4"/>
      <c r="Z149" s="4"/>
      <c r="AA149" s="4"/>
    </row>
    <row r="150" spans="1:27" ht="12.75" x14ac:dyDescent="0.2">
      <c r="A150" s="16"/>
      <c r="B150" s="6"/>
      <c r="C150" s="17"/>
      <c r="D150" s="6"/>
      <c r="E150" s="4"/>
      <c r="F150" s="6"/>
      <c r="G150" s="6"/>
      <c r="H150" s="6"/>
      <c r="I150" s="6"/>
      <c r="J150" s="6"/>
      <c r="K150" s="6"/>
      <c r="L150" s="6"/>
      <c r="M150" s="6"/>
      <c r="N150" s="6"/>
      <c r="O150" s="16"/>
      <c r="P150" s="6"/>
      <c r="Q150" s="4"/>
      <c r="R150" s="4"/>
      <c r="S150" s="4"/>
      <c r="T150" s="4"/>
      <c r="U150" s="4"/>
      <c r="V150" s="4"/>
      <c r="W150" s="4"/>
      <c r="X150" s="4"/>
      <c r="Y150" s="4"/>
      <c r="Z150" s="4"/>
      <c r="AA150" s="4"/>
    </row>
    <row r="151" spans="1:27" ht="12.75" x14ac:dyDescent="0.2">
      <c r="A151" s="16"/>
      <c r="B151" s="6"/>
      <c r="C151" s="17"/>
      <c r="D151" s="6"/>
      <c r="E151" s="4"/>
      <c r="F151" s="6"/>
      <c r="G151" s="6"/>
      <c r="H151" s="6"/>
      <c r="I151" s="6"/>
      <c r="J151" s="6"/>
      <c r="K151" s="6"/>
      <c r="L151" s="6"/>
      <c r="M151" s="6"/>
      <c r="N151" s="6"/>
      <c r="O151" s="16"/>
      <c r="P151" s="6"/>
      <c r="Q151" s="4"/>
      <c r="R151" s="4"/>
      <c r="S151" s="4"/>
      <c r="T151" s="4"/>
      <c r="U151" s="4"/>
      <c r="V151" s="4"/>
      <c r="W151" s="4"/>
      <c r="X151" s="4"/>
      <c r="Y151" s="4"/>
      <c r="Z151" s="4"/>
      <c r="AA151" s="4"/>
    </row>
    <row r="152" spans="1:27" ht="12.75" x14ac:dyDescent="0.2">
      <c r="A152" s="16"/>
      <c r="B152" s="6"/>
      <c r="C152" s="17"/>
      <c r="D152" s="6"/>
      <c r="E152" s="4"/>
      <c r="F152" s="6"/>
      <c r="G152" s="6"/>
      <c r="H152" s="6"/>
      <c r="I152" s="6"/>
      <c r="J152" s="6"/>
      <c r="K152" s="6"/>
      <c r="L152" s="6"/>
      <c r="M152" s="6"/>
      <c r="N152" s="6"/>
      <c r="O152" s="16"/>
      <c r="P152" s="6"/>
      <c r="Q152" s="4"/>
      <c r="R152" s="4"/>
      <c r="S152" s="4"/>
      <c r="T152" s="4"/>
      <c r="U152" s="4"/>
      <c r="V152" s="4"/>
      <c r="W152" s="4"/>
      <c r="X152" s="4"/>
      <c r="Y152" s="4"/>
      <c r="Z152" s="4"/>
      <c r="AA152" s="4"/>
    </row>
    <row r="153" spans="1:27" ht="12.75" x14ac:dyDescent="0.2">
      <c r="A153" s="16"/>
      <c r="B153" s="6"/>
      <c r="C153" s="17"/>
      <c r="D153" s="6"/>
      <c r="E153" s="4"/>
      <c r="F153" s="6"/>
      <c r="G153" s="6"/>
      <c r="H153" s="6"/>
      <c r="I153" s="6"/>
      <c r="J153" s="6"/>
      <c r="K153" s="6"/>
      <c r="L153" s="6"/>
      <c r="M153" s="6"/>
      <c r="N153" s="6"/>
      <c r="O153" s="16"/>
      <c r="P153" s="6"/>
      <c r="Q153" s="4"/>
      <c r="R153" s="4"/>
      <c r="S153" s="4"/>
      <c r="T153" s="4"/>
      <c r="U153" s="4"/>
      <c r="V153" s="4"/>
      <c r="W153" s="4"/>
      <c r="X153" s="4"/>
      <c r="Y153" s="4"/>
      <c r="Z153" s="4"/>
      <c r="AA153" s="4"/>
    </row>
    <row r="154" spans="1:27" ht="12.75" x14ac:dyDescent="0.2">
      <c r="A154" s="16"/>
      <c r="B154" s="6"/>
      <c r="C154" s="17"/>
      <c r="D154" s="6"/>
      <c r="E154" s="4"/>
      <c r="F154" s="6"/>
      <c r="G154" s="6"/>
      <c r="H154" s="6"/>
      <c r="I154" s="6"/>
      <c r="J154" s="6"/>
      <c r="K154" s="6"/>
      <c r="L154" s="6"/>
      <c r="M154" s="6"/>
      <c r="N154" s="6"/>
      <c r="O154" s="16"/>
      <c r="P154" s="6"/>
      <c r="Q154" s="4"/>
      <c r="R154" s="4"/>
      <c r="S154" s="4"/>
      <c r="T154" s="4"/>
      <c r="U154" s="4"/>
      <c r="V154" s="4"/>
      <c r="W154" s="4"/>
      <c r="X154" s="4"/>
      <c r="Y154" s="4"/>
      <c r="Z154" s="4"/>
      <c r="AA154" s="4"/>
    </row>
    <row r="155" spans="1:27" ht="12.75" x14ac:dyDescent="0.2">
      <c r="A155" s="16"/>
      <c r="B155" s="6"/>
      <c r="C155" s="17"/>
      <c r="D155" s="6"/>
      <c r="E155" s="4"/>
      <c r="F155" s="6"/>
      <c r="G155" s="6"/>
      <c r="H155" s="6"/>
      <c r="I155" s="6"/>
      <c r="J155" s="6"/>
      <c r="K155" s="6"/>
      <c r="L155" s="6"/>
      <c r="M155" s="6"/>
      <c r="N155" s="6"/>
      <c r="O155" s="16"/>
      <c r="P155" s="6"/>
      <c r="Q155" s="4"/>
      <c r="R155" s="4"/>
      <c r="S155" s="4"/>
      <c r="T155" s="4"/>
      <c r="U155" s="4"/>
      <c r="V155" s="4"/>
      <c r="W155" s="4"/>
      <c r="X155" s="4"/>
      <c r="Y155" s="4"/>
      <c r="Z155" s="4"/>
      <c r="AA155" s="4"/>
    </row>
    <row r="156" spans="1:27" ht="12.75" x14ac:dyDescent="0.2">
      <c r="A156" s="16"/>
      <c r="B156" s="6"/>
      <c r="C156" s="17"/>
      <c r="D156" s="6"/>
      <c r="E156" s="4"/>
      <c r="F156" s="6"/>
      <c r="G156" s="6"/>
      <c r="H156" s="6"/>
      <c r="I156" s="6"/>
      <c r="J156" s="6"/>
      <c r="K156" s="6"/>
      <c r="L156" s="6"/>
      <c r="M156" s="6"/>
      <c r="N156" s="6"/>
      <c r="O156" s="16"/>
      <c r="P156" s="6"/>
      <c r="Q156" s="4"/>
      <c r="R156" s="4"/>
      <c r="S156" s="4"/>
      <c r="T156" s="4"/>
      <c r="U156" s="4"/>
      <c r="V156" s="4"/>
      <c r="W156" s="4"/>
      <c r="X156" s="4"/>
      <c r="Y156" s="4"/>
      <c r="Z156" s="4"/>
      <c r="AA156" s="4"/>
    </row>
    <row r="157" spans="1:27" ht="12.75" x14ac:dyDescent="0.2">
      <c r="A157" s="16"/>
      <c r="B157" s="6"/>
      <c r="C157" s="17"/>
      <c r="D157" s="6"/>
      <c r="E157" s="4"/>
      <c r="F157" s="6"/>
      <c r="G157" s="6"/>
      <c r="H157" s="6"/>
      <c r="I157" s="6"/>
      <c r="J157" s="6"/>
      <c r="K157" s="6"/>
      <c r="L157" s="6"/>
      <c r="M157" s="6"/>
      <c r="N157" s="6"/>
      <c r="O157" s="16"/>
      <c r="P157" s="6"/>
      <c r="Q157" s="4"/>
      <c r="R157" s="4"/>
      <c r="S157" s="4"/>
      <c r="T157" s="4"/>
      <c r="U157" s="4"/>
      <c r="V157" s="4"/>
      <c r="W157" s="4"/>
      <c r="X157" s="4"/>
      <c r="Y157" s="4"/>
      <c r="Z157" s="4"/>
      <c r="AA157" s="4"/>
    </row>
    <row r="158" spans="1:27" ht="12.75" x14ac:dyDescent="0.2">
      <c r="A158" s="16"/>
      <c r="B158" s="6"/>
      <c r="C158" s="17"/>
      <c r="D158" s="6"/>
      <c r="E158" s="4"/>
      <c r="F158" s="6"/>
      <c r="G158" s="6"/>
      <c r="H158" s="6"/>
      <c r="I158" s="6"/>
      <c r="J158" s="6"/>
      <c r="K158" s="6"/>
      <c r="L158" s="6"/>
      <c r="M158" s="6"/>
      <c r="N158" s="6"/>
      <c r="O158" s="16"/>
      <c r="P158" s="6"/>
      <c r="Q158" s="4"/>
      <c r="R158" s="4"/>
      <c r="S158" s="4"/>
      <c r="T158" s="4"/>
      <c r="U158" s="4"/>
      <c r="V158" s="4"/>
      <c r="W158" s="4"/>
      <c r="X158" s="4"/>
      <c r="Y158" s="4"/>
      <c r="Z158" s="4"/>
      <c r="AA158" s="4"/>
    </row>
    <row r="159" spans="1:27" ht="12.75" x14ac:dyDescent="0.2">
      <c r="A159" s="16"/>
      <c r="B159" s="6"/>
      <c r="C159" s="17"/>
      <c r="D159" s="6"/>
      <c r="E159" s="4"/>
      <c r="F159" s="6"/>
      <c r="G159" s="6"/>
      <c r="H159" s="6"/>
      <c r="I159" s="6"/>
      <c r="J159" s="6"/>
      <c r="K159" s="6"/>
      <c r="L159" s="6"/>
      <c r="M159" s="6"/>
      <c r="N159" s="6"/>
      <c r="O159" s="16"/>
      <c r="P159" s="6"/>
      <c r="Q159" s="4"/>
      <c r="R159" s="4"/>
      <c r="S159" s="4"/>
      <c r="T159" s="4"/>
      <c r="U159" s="4"/>
      <c r="V159" s="4"/>
      <c r="W159" s="4"/>
      <c r="X159" s="4"/>
      <c r="Y159" s="4"/>
      <c r="Z159" s="4"/>
      <c r="AA159" s="4"/>
    </row>
    <row r="160" spans="1:27" ht="12.75" x14ac:dyDescent="0.2">
      <c r="A160" s="16"/>
      <c r="B160" s="6"/>
      <c r="C160" s="17"/>
      <c r="D160" s="6"/>
      <c r="E160" s="4"/>
      <c r="F160" s="6"/>
      <c r="G160" s="6"/>
      <c r="H160" s="6"/>
      <c r="I160" s="6"/>
      <c r="J160" s="6"/>
      <c r="K160" s="6"/>
      <c r="L160" s="6"/>
      <c r="M160" s="6"/>
      <c r="N160" s="6"/>
      <c r="O160" s="16"/>
      <c r="P160" s="6"/>
      <c r="Q160" s="4"/>
      <c r="R160" s="4"/>
      <c r="S160" s="4"/>
      <c r="T160" s="4"/>
      <c r="U160" s="4"/>
      <c r="V160" s="4"/>
      <c r="W160" s="4"/>
      <c r="X160" s="4"/>
      <c r="Y160" s="4"/>
      <c r="Z160" s="4"/>
      <c r="AA160" s="4"/>
    </row>
    <row r="161" spans="1:27" ht="12.75" x14ac:dyDescent="0.2">
      <c r="A161" s="16"/>
      <c r="B161" s="6"/>
      <c r="C161" s="17"/>
      <c r="D161" s="6"/>
      <c r="E161" s="4"/>
      <c r="F161" s="6"/>
      <c r="G161" s="6"/>
      <c r="H161" s="6"/>
      <c r="I161" s="6"/>
      <c r="J161" s="6"/>
      <c r="K161" s="6"/>
      <c r="L161" s="6"/>
      <c r="M161" s="6"/>
      <c r="N161" s="6"/>
      <c r="O161" s="16"/>
      <c r="P161" s="6"/>
      <c r="Q161" s="4"/>
      <c r="R161" s="4"/>
      <c r="S161" s="4"/>
      <c r="T161" s="4"/>
      <c r="U161" s="4"/>
      <c r="V161" s="4"/>
      <c r="W161" s="4"/>
      <c r="X161" s="4"/>
      <c r="Y161" s="4"/>
      <c r="Z161" s="4"/>
      <c r="AA161" s="4"/>
    </row>
    <row r="162" spans="1:27" ht="12.75" x14ac:dyDescent="0.2">
      <c r="A162" s="16"/>
      <c r="B162" s="6"/>
      <c r="C162" s="17"/>
      <c r="D162" s="6"/>
      <c r="E162" s="4"/>
      <c r="F162" s="6"/>
      <c r="G162" s="6"/>
      <c r="H162" s="6"/>
      <c r="I162" s="6"/>
      <c r="J162" s="6"/>
      <c r="K162" s="6"/>
      <c r="L162" s="6"/>
      <c r="M162" s="6"/>
      <c r="N162" s="6"/>
      <c r="O162" s="16"/>
      <c r="P162" s="6"/>
      <c r="Q162" s="4"/>
      <c r="R162" s="4"/>
      <c r="S162" s="4"/>
      <c r="T162" s="4"/>
      <c r="U162" s="4"/>
      <c r="V162" s="4"/>
      <c r="W162" s="4"/>
      <c r="X162" s="4"/>
      <c r="Y162" s="4"/>
      <c r="Z162" s="4"/>
      <c r="AA162" s="4"/>
    </row>
    <row r="163" spans="1:27" ht="12.75" x14ac:dyDescent="0.2">
      <c r="A163" s="16"/>
      <c r="B163" s="6"/>
      <c r="C163" s="17"/>
      <c r="D163" s="6"/>
      <c r="E163" s="4"/>
      <c r="F163" s="6"/>
      <c r="G163" s="6"/>
      <c r="H163" s="6"/>
      <c r="I163" s="6"/>
      <c r="J163" s="6"/>
      <c r="K163" s="6"/>
      <c r="L163" s="6"/>
      <c r="M163" s="6"/>
      <c r="N163" s="6"/>
      <c r="O163" s="16"/>
      <c r="P163" s="6"/>
      <c r="Q163" s="4"/>
      <c r="R163" s="4"/>
      <c r="S163" s="4"/>
      <c r="T163" s="4"/>
      <c r="U163" s="4"/>
      <c r="V163" s="4"/>
      <c r="W163" s="4"/>
      <c r="X163" s="4"/>
      <c r="Y163" s="4"/>
      <c r="Z163" s="4"/>
      <c r="AA163" s="4"/>
    </row>
    <row r="164" spans="1:27" ht="12.75" x14ac:dyDescent="0.2">
      <c r="A164" s="16"/>
      <c r="B164" s="6"/>
      <c r="C164" s="17"/>
      <c r="D164" s="6"/>
      <c r="E164" s="4"/>
      <c r="F164" s="6"/>
      <c r="G164" s="6"/>
      <c r="H164" s="6"/>
      <c r="I164" s="6"/>
      <c r="J164" s="6"/>
      <c r="K164" s="6"/>
      <c r="L164" s="6"/>
      <c r="M164" s="6"/>
      <c r="N164" s="6"/>
      <c r="O164" s="16"/>
      <c r="P164" s="6"/>
      <c r="Q164" s="4"/>
      <c r="R164" s="4"/>
      <c r="S164" s="4"/>
      <c r="T164" s="4"/>
      <c r="U164" s="4"/>
      <c r="V164" s="4"/>
      <c r="W164" s="4"/>
      <c r="X164" s="4"/>
      <c r="Y164" s="4"/>
      <c r="Z164" s="4"/>
      <c r="AA164" s="4"/>
    </row>
    <row r="165" spans="1:27" ht="12.75" x14ac:dyDescent="0.2">
      <c r="A165" s="16"/>
      <c r="B165" s="6"/>
      <c r="C165" s="17"/>
      <c r="D165" s="6"/>
      <c r="E165" s="4"/>
      <c r="F165" s="6"/>
      <c r="G165" s="6"/>
      <c r="H165" s="6"/>
      <c r="I165" s="6"/>
      <c r="J165" s="6"/>
      <c r="K165" s="6"/>
      <c r="L165" s="6"/>
      <c r="M165" s="6"/>
      <c r="N165" s="6"/>
      <c r="O165" s="16"/>
      <c r="P165" s="6"/>
      <c r="Q165" s="4"/>
      <c r="R165" s="4"/>
      <c r="S165" s="4"/>
      <c r="T165" s="4"/>
      <c r="U165" s="4"/>
      <c r="V165" s="4"/>
      <c r="W165" s="4"/>
      <c r="X165" s="4"/>
      <c r="Y165" s="4"/>
      <c r="Z165" s="4"/>
      <c r="AA165" s="4"/>
    </row>
    <row r="166" spans="1:27" ht="12.75" x14ac:dyDescent="0.2">
      <c r="A166" s="16"/>
      <c r="B166" s="6"/>
      <c r="C166" s="17"/>
      <c r="D166" s="6"/>
      <c r="E166" s="4"/>
      <c r="F166" s="6"/>
      <c r="G166" s="6"/>
      <c r="H166" s="6"/>
      <c r="I166" s="6"/>
      <c r="J166" s="6"/>
      <c r="K166" s="6"/>
      <c r="L166" s="6"/>
      <c r="M166" s="6"/>
      <c r="N166" s="6"/>
      <c r="O166" s="16"/>
      <c r="P166" s="6"/>
      <c r="Q166" s="4"/>
      <c r="R166" s="4"/>
      <c r="S166" s="4"/>
      <c r="T166" s="4"/>
      <c r="U166" s="4"/>
      <c r="V166" s="4"/>
      <c r="W166" s="4"/>
      <c r="X166" s="4"/>
      <c r="Y166" s="4"/>
      <c r="Z166" s="4"/>
      <c r="AA166" s="4"/>
    </row>
    <row r="167" spans="1:27" ht="12.75" x14ac:dyDescent="0.2">
      <c r="A167" s="16"/>
      <c r="B167" s="6"/>
      <c r="C167" s="17"/>
      <c r="D167" s="6"/>
      <c r="E167" s="4"/>
      <c r="F167" s="6"/>
      <c r="G167" s="6"/>
      <c r="H167" s="6"/>
      <c r="I167" s="6"/>
      <c r="J167" s="6"/>
      <c r="K167" s="6"/>
      <c r="L167" s="6"/>
      <c r="M167" s="6"/>
      <c r="N167" s="6"/>
      <c r="O167" s="16"/>
      <c r="P167" s="6"/>
      <c r="Q167" s="4"/>
      <c r="R167" s="4"/>
      <c r="S167" s="4"/>
      <c r="T167" s="4"/>
      <c r="U167" s="4"/>
      <c r="V167" s="4"/>
      <c r="W167" s="4"/>
      <c r="X167" s="4"/>
      <c r="Y167" s="4"/>
      <c r="Z167" s="4"/>
      <c r="AA167" s="4"/>
    </row>
    <row r="168" spans="1:27" ht="12.75" x14ac:dyDescent="0.2">
      <c r="A168" s="16"/>
      <c r="B168" s="6"/>
      <c r="C168" s="17"/>
      <c r="D168" s="6"/>
      <c r="E168" s="4"/>
      <c r="F168" s="6"/>
      <c r="G168" s="6"/>
      <c r="H168" s="6"/>
      <c r="I168" s="6"/>
      <c r="J168" s="6"/>
      <c r="K168" s="6"/>
      <c r="L168" s="6"/>
      <c r="M168" s="6"/>
      <c r="N168" s="6"/>
      <c r="O168" s="16"/>
      <c r="P168" s="6"/>
      <c r="Q168" s="4"/>
      <c r="R168" s="4"/>
      <c r="S168" s="4"/>
      <c r="T168" s="4"/>
      <c r="U168" s="4"/>
      <c r="V168" s="4"/>
      <c r="W168" s="4"/>
      <c r="X168" s="4"/>
      <c r="Y168" s="4"/>
      <c r="Z168" s="4"/>
      <c r="AA168" s="4"/>
    </row>
    <row r="169" spans="1:27" ht="12.75" x14ac:dyDescent="0.2">
      <c r="A169" s="16"/>
      <c r="B169" s="6"/>
      <c r="C169" s="17"/>
      <c r="D169" s="6"/>
      <c r="E169" s="4"/>
      <c r="F169" s="6"/>
      <c r="G169" s="6"/>
      <c r="H169" s="6"/>
      <c r="I169" s="6"/>
      <c r="J169" s="6"/>
      <c r="K169" s="6"/>
      <c r="L169" s="6"/>
      <c r="M169" s="6"/>
      <c r="N169" s="6"/>
      <c r="O169" s="16"/>
      <c r="P169" s="6"/>
      <c r="Q169" s="4"/>
      <c r="R169" s="4"/>
      <c r="S169" s="4"/>
      <c r="T169" s="4"/>
      <c r="U169" s="4"/>
      <c r="V169" s="4"/>
      <c r="W169" s="4"/>
      <c r="X169" s="4"/>
      <c r="Y169" s="4"/>
      <c r="Z169" s="4"/>
      <c r="AA169" s="4"/>
    </row>
    <row r="170" spans="1:27" ht="12.75" x14ac:dyDescent="0.2">
      <c r="A170" s="16"/>
      <c r="B170" s="6"/>
      <c r="C170" s="17"/>
      <c r="D170" s="6"/>
      <c r="E170" s="4"/>
      <c r="F170" s="6"/>
      <c r="G170" s="6"/>
      <c r="H170" s="6"/>
      <c r="I170" s="6"/>
      <c r="J170" s="6"/>
      <c r="K170" s="6"/>
      <c r="L170" s="6"/>
      <c r="M170" s="6"/>
      <c r="N170" s="6"/>
      <c r="O170" s="16"/>
      <c r="P170" s="6"/>
      <c r="Q170" s="4"/>
      <c r="R170" s="4"/>
      <c r="S170" s="4"/>
      <c r="T170" s="4"/>
      <c r="U170" s="4"/>
      <c r="V170" s="4"/>
      <c r="W170" s="4"/>
      <c r="X170" s="4"/>
      <c r="Y170" s="4"/>
      <c r="Z170" s="4"/>
      <c r="AA170" s="4"/>
    </row>
    <row r="171" spans="1:27" ht="12.75" x14ac:dyDescent="0.2">
      <c r="A171" s="16"/>
      <c r="B171" s="6"/>
      <c r="C171" s="17"/>
      <c r="D171" s="6"/>
      <c r="E171" s="4"/>
      <c r="F171" s="6"/>
      <c r="G171" s="6"/>
      <c r="H171" s="6"/>
      <c r="I171" s="6"/>
      <c r="J171" s="6"/>
      <c r="K171" s="6"/>
      <c r="L171" s="6"/>
      <c r="M171" s="6"/>
      <c r="N171" s="6"/>
      <c r="O171" s="16"/>
      <c r="P171" s="6"/>
      <c r="Q171" s="4"/>
      <c r="R171" s="4"/>
      <c r="S171" s="4"/>
      <c r="T171" s="4"/>
      <c r="U171" s="4"/>
      <c r="V171" s="4"/>
      <c r="W171" s="4"/>
      <c r="X171" s="4"/>
      <c r="Y171" s="4"/>
      <c r="Z171" s="4"/>
      <c r="AA171" s="4"/>
    </row>
    <row r="172" spans="1:27" ht="12.75" x14ac:dyDescent="0.2">
      <c r="A172" s="16"/>
      <c r="B172" s="6"/>
      <c r="C172" s="17"/>
      <c r="D172" s="6"/>
      <c r="E172" s="4"/>
      <c r="F172" s="6"/>
      <c r="G172" s="6"/>
      <c r="H172" s="6"/>
      <c r="I172" s="6"/>
      <c r="J172" s="6"/>
      <c r="K172" s="6"/>
      <c r="L172" s="6"/>
      <c r="M172" s="6"/>
      <c r="N172" s="6"/>
      <c r="O172" s="16"/>
      <c r="P172" s="6"/>
      <c r="Q172" s="4"/>
      <c r="R172" s="4"/>
      <c r="S172" s="4"/>
      <c r="T172" s="4"/>
      <c r="U172" s="4"/>
      <c r="V172" s="4"/>
      <c r="W172" s="4"/>
      <c r="X172" s="4"/>
      <c r="Y172" s="4"/>
      <c r="Z172" s="4"/>
      <c r="AA172" s="4"/>
    </row>
    <row r="173" spans="1:27" ht="12.75" x14ac:dyDescent="0.2">
      <c r="A173" s="16"/>
      <c r="B173" s="6"/>
      <c r="C173" s="17"/>
      <c r="D173" s="6"/>
      <c r="E173" s="4"/>
      <c r="F173" s="6"/>
      <c r="G173" s="6"/>
      <c r="H173" s="6"/>
      <c r="I173" s="6"/>
      <c r="J173" s="6"/>
      <c r="K173" s="6"/>
      <c r="L173" s="6"/>
      <c r="M173" s="6"/>
      <c r="N173" s="6"/>
      <c r="O173" s="16"/>
      <c r="P173" s="6"/>
      <c r="Q173" s="4"/>
      <c r="R173" s="4"/>
      <c r="S173" s="4"/>
      <c r="T173" s="4"/>
      <c r="U173" s="4"/>
      <c r="V173" s="4"/>
      <c r="W173" s="4"/>
      <c r="X173" s="4"/>
      <c r="Y173" s="4"/>
      <c r="Z173" s="4"/>
      <c r="AA173" s="4"/>
    </row>
    <row r="174" spans="1:27" ht="12.75" x14ac:dyDescent="0.2">
      <c r="A174" s="16"/>
      <c r="B174" s="6"/>
      <c r="C174" s="17"/>
      <c r="D174" s="6"/>
      <c r="E174" s="4"/>
      <c r="F174" s="6"/>
      <c r="G174" s="6"/>
      <c r="H174" s="6"/>
      <c r="I174" s="6"/>
      <c r="J174" s="6"/>
      <c r="K174" s="6"/>
      <c r="L174" s="6"/>
      <c r="M174" s="6"/>
      <c r="N174" s="6"/>
      <c r="O174" s="16"/>
      <c r="P174" s="6"/>
      <c r="Q174" s="4"/>
      <c r="R174" s="4"/>
      <c r="S174" s="4"/>
      <c r="T174" s="4"/>
      <c r="U174" s="4"/>
      <c r="V174" s="4"/>
      <c r="W174" s="4"/>
      <c r="X174" s="4"/>
      <c r="Y174" s="4"/>
      <c r="Z174" s="4"/>
      <c r="AA174" s="4"/>
    </row>
    <row r="175" spans="1:27" ht="12.75" x14ac:dyDescent="0.2">
      <c r="A175" s="16"/>
      <c r="B175" s="6"/>
      <c r="C175" s="17"/>
      <c r="D175" s="6"/>
      <c r="E175" s="4"/>
      <c r="F175" s="6"/>
      <c r="G175" s="6"/>
      <c r="H175" s="6"/>
      <c r="I175" s="6"/>
      <c r="J175" s="6"/>
      <c r="K175" s="6"/>
      <c r="L175" s="6"/>
      <c r="M175" s="6"/>
      <c r="N175" s="6"/>
      <c r="O175" s="16"/>
      <c r="P175" s="6"/>
      <c r="Q175" s="4"/>
      <c r="R175" s="4"/>
      <c r="S175" s="4"/>
      <c r="T175" s="4"/>
      <c r="U175" s="4"/>
      <c r="V175" s="4"/>
      <c r="W175" s="4"/>
      <c r="X175" s="4"/>
      <c r="Y175" s="4"/>
      <c r="Z175" s="4"/>
      <c r="AA175" s="4"/>
    </row>
    <row r="176" spans="1:27" ht="12.75" x14ac:dyDescent="0.2">
      <c r="A176" s="16"/>
      <c r="B176" s="6"/>
      <c r="C176" s="17"/>
      <c r="D176" s="6"/>
      <c r="E176" s="4"/>
      <c r="F176" s="6"/>
      <c r="G176" s="6"/>
      <c r="H176" s="6"/>
      <c r="I176" s="6"/>
      <c r="J176" s="6"/>
      <c r="K176" s="6"/>
      <c r="L176" s="6"/>
      <c r="M176" s="6"/>
      <c r="N176" s="6"/>
      <c r="O176" s="16"/>
      <c r="P176" s="6"/>
      <c r="Q176" s="4"/>
      <c r="R176" s="4"/>
      <c r="S176" s="4"/>
      <c r="T176" s="4"/>
      <c r="U176" s="4"/>
      <c r="V176" s="4"/>
      <c r="W176" s="4"/>
      <c r="X176" s="4"/>
      <c r="Y176" s="4"/>
      <c r="Z176" s="4"/>
      <c r="AA176" s="4"/>
    </row>
    <row r="177" spans="1:27" ht="12.75" x14ac:dyDescent="0.2">
      <c r="A177" s="16"/>
      <c r="B177" s="6"/>
      <c r="C177" s="17"/>
      <c r="D177" s="6"/>
      <c r="E177" s="4"/>
      <c r="F177" s="6"/>
      <c r="G177" s="6"/>
      <c r="H177" s="6"/>
      <c r="I177" s="6"/>
      <c r="J177" s="6"/>
      <c r="K177" s="6"/>
      <c r="L177" s="6"/>
      <c r="M177" s="6"/>
      <c r="N177" s="6"/>
      <c r="O177" s="16"/>
      <c r="P177" s="6"/>
      <c r="Q177" s="4"/>
      <c r="R177" s="4"/>
      <c r="S177" s="4"/>
      <c r="T177" s="4"/>
      <c r="U177" s="4"/>
      <c r="V177" s="4"/>
      <c r="W177" s="4"/>
      <c r="X177" s="4"/>
      <c r="Y177" s="4"/>
      <c r="Z177" s="4"/>
      <c r="AA177" s="4"/>
    </row>
    <row r="178" spans="1:27" ht="12.75" x14ac:dyDescent="0.2">
      <c r="A178" s="16"/>
      <c r="B178" s="6"/>
      <c r="C178" s="17"/>
      <c r="D178" s="6"/>
      <c r="E178" s="4"/>
      <c r="F178" s="6"/>
      <c r="G178" s="6"/>
      <c r="H178" s="6"/>
      <c r="I178" s="6"/>
      <c r="J178" s="6"/>
      <c r="K178" s="6"/>
      <c r="L178" s="6"/>
      <c r="M178" s="6"/>
      <c r="N178" s="6"/>
      <c r="O178" s="16"/>
      <c r="P178" s="6"/>
      <c r="Q178" s="4"/>
      <c r="R178" s="4"/>
      <c r="S178" s="4"/>
      <c r="T178" s="4"/>
      <c r="U178" s="4"/>
      <c r="V178" s="4"/>
      <c r="W178" s="4"/>
      <c r="X178" s="4"/>
      <c r="Y178" s="4"/>
      <c r="Z178" s="4"/>
      <c r="AA178" s="4"/>
    </row>
    <row r="179" spans="1:27" ht="12.75" x14ac:dyDescent="0.2">
      <c r="A179" s="16"/>
      <c r="B179" s="6"/>
      <c r="C179" s="17"/>
      <c r="D179" s="6"/>
      <c r="E179" s="4"/>
      <c r="F179" s="6"/>
      <c r="G179" s="6"/>
      <c r="H179" s="6"/>
      <c r="I179" s="6"/>
      <c r="J179" s="6"/>
      <c r="K179" s="6"/>
      <c r="L179" s="6"/>
      <c r="M179" s="6"/>
      <c r="N179" s="6"/>
      <c r="O179" s="16"/>
      <c r="P179" s="6"/>
      <c r="Q179" s="4"/>
      <c r="R179" s="4"/>
      <c r="S179" s="4"/>
      <c r="T179" s="4"/>
      <c r="U179" s="4"/>
      <c r="V179" s="4"/>
      <c r="W179" s="4"/>
      <c r="X179" s="4"/>
      <c r="Y179" s="4"/>
      <c r="Z179" s="4"/>
      <c r="AA179" s="4"/>
    </row>
    <row r="180" spans="1:27" ht="12.75" x14ac:dyDescent="0.2">
      <c r="A180" s="16"/>
      <c r="B180" s="6"/>
      <c r="C180" s="17"/>
      <c r="D180" s="6"/>
      <c r="E180" s="4"/>
      <c r="F180" s="6"/>
      <c r="G180" s="6"/>
      <c r="H180" s="6"/>
      <c r="I180" s="6"/>
      <c r="J180" s="6"/>
      <c r="K180" s="6"/>
      <c r="L180" s="6"/>
      <c r="M180" s="6"/>
      <c r="N180" s="6"/>
      <c r="O180" s="16"/>
      <c r="P180" s="6"/>
      <c r="Q180" s="4"/>
      <c r="R180" s="4"/>
      <c r="S180" s="4"/>
      <c r="T180" s="4"/>
      <c r="U180" s="4"/>
      <c r="V180" s="4"/>
      <c r="W180" s="4"/>
      <c r="X180" s="4"/>
      <c r="Y180" s="4"/>
      <c r="Z180" s="4"/>
      <c r="AA180" s="4"/>
    </row>
    <row r="181" spans="1:27" ht="12.75" x14ac:dyDescent="0.2">
      <c r="A181" s="16"/>
      <c r="B181" s="6"/>
      <c r="C181" s="17"/>
      <c r="D181" s="6"/>
      <c r="E181" s="4"/>
      <c r="F181" s="6"/>
      <c r="G181" s="6"/>
      <c r="H181" s="6"/>
      <c r="I181" s="6"/>
      <c r="J181" s="6"/>
      <c r="K181" s="6"/>
      <c r="L181" s="6"/>
      <c r="M181" s="6"/>
      <c r="N181" s="6"/>
      <c r="O181" s="16"/>
      <c r="P181" s="6"/>
      <c r="Q181" s="4"/>
      <c r="R181" s="4"/>
      <c r="S181" s="4"/>
      <c r="T181" s="4"/>
      <c r="U181" s="4"/>
      <c r="V181" s="4"/>
      <c r="W181" s="4"/>
      <c r="X181" s="4"/>
      <c r="Y181" s="4"/>
      <c r="Z181" s="4"/>
      <c r="AA181" s="4"/>
    </row>
    <row r="182" spans="1:27" ht="12.75" x14ac:dyDescent="0.2">
      <c r="A182" s="16"/>
      <c r="B182" s="6"/>
      <c r="C182" s="17"/>
      <c r="D182" s="6"/>
      <c r="E182" s="4"/>
      <c r="F182" s="6"/>
      <c r="G182" s="6"/>
      <c r="H182" s="6"/>
      <c r="I182" s="6"/>
      <c r="J182" s="6"/>
      <c r="K182" s="6"/>
      <c r="L182" s="6"/>
      <c r="M182" s="6"/>
      <c r="N182" s="6"/>
      <c r="O182" s="16"/>
      <c r="P182" s="6"/>
      <c r="Q182" s="4"/>
      <c r="R182" s="4"/>
      <c r="S182" s="4"/>
      <c r="T182" s="4"/>
      <c r="U182" s="4"/>
      <c r="V182" s="4"/>
      <c r="W182" s="4"/>
      <c r="X182" s="4"/>
      <c r="Y182" s="4"/>
      <c r="Z182" s="4"/>
      <c r="AA182" s="4"/>
    </row>
    <row r="183" spans="1:27" ht="12.75" x14ac:dyDescent="0.2">
      <c r="A183" s="16"/>
      <c r="B183" s="6"/>
      <c r="C183" s="17"/>
      <c r="D183" s="6"/>
      <c r="E183" s="4"/>
      <c r="F183" s="6"/>
      <c r="G183" s="6"/>
      <c r="H183" s="6"/>
      <c r="I183" s="6"/>
      <c r="J183" s="6"/>
      <c r="K183" s="6"/>
      <c r="L183" s="6"/>
      <c r="M183" s="6"/>
      <c r="N183" s="6"/>
      <c r="O183" s="16"/>
      <c r="P183" s="6"/>
      <c r="Q183" s="4"/>
      <c r="R183" s="4"/>
      <c r="S183" s="4"/>
      <c r="T183" s="4"/>
      <c r="U183" s="4"/>
      <c r="V183" s="4"/>
      <c r="W183" s="4"/>
      <c r="X183" s="4"/>
      <c r="Y183" s="4"/>
      <c r="Z183" s="4"/>
      <c r="AA183" s="4"/>
    </row>
    <row r="184" spans="1:27" ht="12.75" x14ac:dyDescent="0.2">
      <c r="A184" s="16"/>
      <c r="B184" s="6"/>
      <c r="C184" s="17"/>
      <c r="D184" s="6"/>
      <c r="E184" s="4"/>
      <c r="F184" s="6"/>
      <c r="G184" s="6"/>
      <c r="H184" s="6"/>
      <c r="I184" s="6"/>
      <c r="J184" s="6"/>
      <c r="K184" s="6"/>
      <c r="L184" s="6"/>
      <c r="M184" s="6"/>
      <c r="N184" s="6"/>
      <c r="O184" s="16"/>
      <c r="P184" s="6"/>
      <c r="Q184" s="4"/>
      <c r="R184" s="4"/>
      <c r="S184" s="4"/>
      <c r="T184" s="4"/>
      <c r="U184" s="4"/>
      <c r="V184" s="4"/>
      <c r="W184" s="4"/>
      <c r="X184" s="4"/>
      <c r="Y184" s="4"/>
      <c r="Z184" s="4"/>
      <c r="AA184" s="4"/>
    </row>
    <row r="185" spans="1:27" ht="12.75" x14ac:dyDescent="0.2">
      <c r="A185" s="16"/>
      <c r="B185" s="6"/>
      <c r="C185" s="17"/>
      <c r="D185" s="6"/>
      <c r="E185" s="4"/>
      <c r="F185" s="6"/>
      <c r="G185" s="6"/>
      <c r="H185" s="6"/>
      <c r="I185" s="6"/>
      <c r="J185" s="6"/>
      <c r="K185" s="6"/>
      <c r="L185" s="6"/>
      <c r="M185" s="6"/>
      <c r="N185" s="6"/>
      <c r="O185" s="16"/>
      <c r="P185" s="6"/>
      <c r="Q185" s="4"/>
      <c r="R185" s="4"/>
      <c r="S185" s="4"/>
      <c r="T185" s="4"/>
      <c r="U185" s="4"/>
      <c r="V185" s="4"/>
      <c r="W185" s="4"/>
      <c r="X185" s="4"/>
      <c r="Y185" s="4"/>
      <c r="Z185" s="4"/>
      <c r="AA185" s="4"/>
    </row>
    <row r="186" spans="1:27" ht="12.75" x14ac:dyDescent="0.2">
      <c r="A186" s="16"/>
      <c r="B186" s="6"/>
      <c r="C186" s="17"/>
      <c r="D186" s="6"/>
      <c r="E186" s="4"/>
      <c r="F186" s="6"/>
      <c r="G186" s="6"/>
      <c r="H186" s="6"/>
      <c r="I186" s="6"/>
      <c r="J186" s="6"/>
      <c r="K186" s="6"/>
      <c r="L186" s="6"/>
      <c r="M186" s="6"/>
      <c r="N186" s="6"/>
      <c r="O186" s="16"/>
      <c r="P186" s="6"/>
      <c r="Q186" s="4"/>
      <c r="R186" s="4"/>
      <c r="S186" s="4"/>
      <c r="T186" s="4"/>
      <c r="U186" s="4"/>
      <c r="V186" s="4"/>
      <c r="W186" s="4"/>
      <c r="X186" s="4"/>
      <c r="Y186" s="4"/>
      <c r="Z186" s="4"/>
      <c r="AA186" s="4"/>
    </row>
    <row r="187" spans="1:27" ht="12.75" x14ac:dyDescent="0.2">
      <c r="A187" s="16"/>
      <c r="B187" s="6"/>
      <c r="C187" s="17"/>
      <c r="D187" s="6"/>
      <c r="E187" s="4"/>
      <c r="F187" s="6"/>
      <c r="G187" s="6"/>
      <c r="H187" s="6"/>
      <c r="I187" s="6"/>
      <c r="J187" s="6"/>
      <c r="K187" s="6"/>
      <c r="L187" s="6"/>
      <c r="M187" s="6"/>
      <c r="N187" s="6"/>
      <c r="O187" s="16"/>
      <c r="P187" s="6"/>
      <c r="Q187" s="4"/>
      <c r="R187" s="4"/>
      <c r="S187" s="4"/>
      <c r="T187" s="4"/>
      <c r="U187" s="4"/>
      <c r="V187" s="4"/>
      <c r="W187" s="4"/>
      <c r="X187" s="4"/>
      <c r="Y187" s="4"/>
      <c r="Z187" s="4"/>
      <c r="AA187" s="4"/>
    </row>
    <row r="188" spans="1:27" ht="12.75" x14ac:dyDescent="0.2">
      <c r="A188" s="16"/>
      <c r="B188" s="6"/>
      <c r="C188" s="17"/>
      <c r="D188" s="6"/>
      <c r="E188" s="4"/>
      <c r="F188" s="6"/>
      <c r="G188" s="6"/>
      <c r="H188" s="6"/>
      <c r="I188" s="6"/>
      <c r="J188" s="6"/>
      <c r="K188" s="6"/>
      <c r="L188" s="6"/>
      <c r="M188" s="6"/>
      <c r="N188" s="6"/>
      <c r="O188" s="16"/>
      <c r="P188" s="6"/>
      <c r="Q188" s="4"/>
      <c r="R188" s="4"/>
      <c r="S188" s="4"/>
      <c r="T188" s="4"/>
      <c r="U188" s="4"/>
      <c r="V188" s="4"/>
      <c r="W188" s="4"/>
      <c r="X188" s="4"/>
      <c r="Y188" s="4"/>
      <c r="Z188" s="4"/>
      <c r="AA188" s="4"/>
    </row>
    <row r="189" spans="1:27" ht="12.75" x14ac:dyDescent="0.2">
      <c r="A189" s="16"/>
      <c r="B189" s="6"/>
      <c r="C189" s="17"/>
      <c r="D189" s="6"/>
      <c r="E189" s="4"/>
      <c r="F189" s="6"/>
      <c r="G189" s="6"/>
      <c r="H189" s="6"/>
      <c r="I189" s="6"/>
      <c r="J189" s="6"/>
      <c r="K189" s="6"/>
      <c r="L189" s="6"/>
      <c r="M189" s="6"/>
      <c r="N189" s="6"/>
      <c r="O189" s="16"/>
      <c r="P189" s="6"/>
      <c r="Q189" s="4"/>
      <c r="R189" s="4"/>
      <c r="S189" s="4"/>
      <c r="T189" s="4"/>
      <c r="U189" s="4"/>
      <c r="V189" s="4"/>
      <c r="W189" s="4"/>
      <c r="X189" s="4"/>
      <c r="Y189" s="4"/>
      <c r="Z189" s="4"/>
      <c r="AA189" s="4"/>
    </row>
    <row r="190" spans="1:27" ht="12.75" x14ac:dyDescent="0.2">
      <c r="A190" s="16"/>
      <c r="B190" s="6"/>
      <c r="C190" s="17"/>
      <c r="D190" s="6"/>
      <c r="E190" s="4"/>
      <c r="F190" s="6"/>
      <c r="G190" s="6"/>
      <c r="H190" s="6"/>
      <c r="I190" s="6"/>
      <c r="J190" s="6"/>
      <c r="K190" s="6"/>
      <c r="L190" s="6"/>
      <c r="M190" s="6"/>
      <c r="N190" s="6"/>
      <c r="O190" s="16"/>
      <c r="P190" s="6"/>
      <c r="Q190" s="4"/>
      <c r="R190" s="4"/>
      <c r="S190" s="4"/>
      <c r="T190" s="4"/>
      <c r="U190" s="4"/>
      <c r="V190" s="4"/>
      <c r="W190" s="4"/>
      <c r="X190" s="4"/>
      <c r="Y190" s="4"/>
      <c r="Z190" s="4"/>
      <c r="AA190" s="4"/>
    </row>
    <row r="191" spans="1:27" ht="12.75" x14ac:dyDescent="0.2">
      <c r="A191" s="16"/>
      <c r="B191" s="6"/>
      <c r="C191" s="17"/>
      <c r="D191" s="6"/>
      <c r="E191" s="4"/>
      <c r="F191" s="6"/>
      <c r="G191" s="6"/>
      <c r="H191" s="6"/>
      <c r="I191" s="6"/>
      <c r="J191" s="6"/>
      <c r="K191" s="6"/>
      <c r="L191" s="6"/>
      <c r="M191" s="6"/>
      <c r="N191" s="6"/>
      <c r="O191" s="16"/>
      <c r="P191" s="6"/>
      <c r="Q191" s="4"/>
      <c r="R191" s="4"/>
      <c r="S191" s="4"/>
      <c r="T191" s="4"/>
      <c r="U191" s="4"/>
      <c r="V191" s="4"/>
      <c r="W191" s="4"/>
      <c r="X191" s="4"/>
      <c r="Y191" s="4"/>
      <c r="Z191" s="4"/>
      <c r="AA191" s="4"/>
    </row>
    <row r="192" spans="1:27" ht="12.75" x14ac:dyDescent="0.2">
      <c r="A192" s="16"/>
      <c r="B192" s="6"/>
      <c r="C192" s="17"/>
      <c r="D192" s="6"/>
      <c r="E192" s="4"/>
      <c r="F192" s="6"/>
      <c r="G192" s="6"/>
      <c r="H192" s="6"/>
      <c r="I192" s="6"/>
      <c r="J192" s="6"/>
      <c r="K192" s="6"/>
      <c r="L192" s="6"/>
      <c r="M192" s="6"/>
      <c r="N192" s="6"/>
      <c r="O192" s="16"/>
      <c r="P192" s="6"/>
      <c r="Q192" s="4"/>
      <c r="R192" s="4"/>
      <c r="S192" s="4"/>
      <c r="T192" s="4"/>
      <c r="U192" s="4"/>
      <c r="V192" s="4"/>
      <c r="W192" s="4"/>
      <c r="X192" s="4"/>
      <c r="Y192" s="4"/>
      <c r="Z192" s="4"/>
      <c r="AA192" s="4"/>
    </row>
    <row r="193" spans="1:27" ht="12.75" x14ac:dyDescent="0.2">
      <c r="A193" s="16"/>
      <c r="B193" s="6"/>
      <c r="C193" s="17"/>
      <c r="D193" s="6"/>
      <c r="E193" s="4"/>
      <c r="F193" s="6"/>
      <c r="G193" s="6"/>
      <c r="H193" s="6"/>
      <c r="I193" s="6"/>
      <c r="J193" s="6"/>
      <c r="K193" s="6"/>
      <c r="L193" s="6"/>
      <c r="M193" s="6"/>
      <c r="N193" s="6"/>
      <c r="O193" s="16"/>
      <c r="P193" s="6"/>
      <c r="Q193" s="4"/>
      <c r="R193" s="4"/>
      <c r="S193" s="4"/>
      <c r="T193" s="4"/>
      <c r="U193" s="4"/>
      <c r="V193" s="4"/>
      <c r="W193" s="4"/>
      <c r="X193" s="4"/>
      <c r="Y193" s="4"/>
      <c r="Z193" s="4"/>
      <c r="AA193" s="4"/>
    </row>
    <row r="194" spans="1:27" ht="12.75" x14ac:dyDescent="0.2">
      <c r="A194" s="16"/>
      <c r="B194" s="6"/>
      <c r="C194" s="17"/>
      <c r="D194" s="6"/>
      <c r="E194" s="4"/>
      <c r="F194" s="6"/>
      <c r="G194" s="6"/>
      <c r="H194" s="6"/>
      <c r="I194" s="6"/>
      <c r="J194" s="6"/>
      <c r="K194" s="6"/>
      <c r="L194" s="6"/>
      <c r="M194" s="6"/>
      <c r="N194" s="6"/>
      <c r="O194" s="16"/>
      <c r="P194" s="6"/>
      <c r="Q194" s="4"/>
      <c r="R194" s="4"/>
      <c r="S194" s="4"/>
      <c r="T194" s="4"/>
      <c r="U194" s="4"/>
      <c r="V194" s="4"/>
      <c r="W194" s="4"/>
      <c r="X194" s="4"/>
      <c r="Y194" s="4"/>
      <c r="Z194" s="4"/>
      <c r="AA194" s="4"/>
    </row>
    <row r="195" spans="1:27" ht="12.75" x14ac:dyDescent="0.2">
      <c r="A195" s="16"/>
      <c r="B195" s="6"/>
      <c r="C195" s="17"/>
      <c r="D195" s="6"/>
      <c r="E195" s="4"/>
      <c r="F195" s="6"/>
      <c r="G195" s="6"/>
      <c r="H195" s="6"/>
      <c r="I195" s="6"/>
      <c r="J195" s="6"/>
      <c r="K195" s="6"/>
      <c r="L195" s="6"/>
      <c r="M195" s="6"/>
      <c r="N195" s="6"/>
      <c r="O195" s="16"/>
      <c r="P195" s="6"/>
      <c r="Q195" s="4"/>
      <c r="R195" s="4"/>
      <c r="S195" s="4"/>
      <c r="T195" s="4"/>
      <c r="U195" s="4"/>
      <c r="V195" s="4"/>
      <c r="W195" s="4"/>
      <c r="X195" s="4"/>
      <c r="Y195" s="4"/>
      <c r="Z195" s="4"/>
      <c r="AA195" s="4"/>
    </row>
    <row r="196" spans="1:27" ht="12.75" x14ac:dyDescent="0.2">
      <c r="A196" s="16"/>
      <c r="B196" s="6"/>
      <c r="C196" s="17"/>
      <c r="D196" s="6"/>
      <c r="E196" s="4"/>
      <c r="F196" s="6"/>
      <c r="G196" s="6"/>
      <c r="H196" s="6"/>
      <c r="I196" s="6"/>
      <c r="J196" s="6"/>
      <c r="K196" s="6"/>
      <c r="L196" s="6"/>
      <c r="M196" s="6"/>
      <c r="N196" s="6"/>
      <c r="O196" s="16"/>
      <c r="P196" s="6"/>
      <c r="Q196" s="4"/>
      <c r="R196" s="4"/>
      <c r="S196" s="4"/>
      <c r="T196" s="4"/>
      <c r="U196" s="4"/>
      <c r="V196" s="4"/>
      <c r="W196" s="4"/>
      <c r="X196" s="4"/>
      <c r="Y196" s="4"/>
      <c r="Z196" s="4"/>
      <c r="AA196" s="4"/>
    </row>
    <row r="197" spans="1:27" ht="12.75" x14ac:dyDescent="0.2">
      <c r="A197" s="16"/>
      <c r="B197" s="6"/>
      <c r="C197" s="17"/>
      <c r="D197" s="6"/>
      <c r="E197" s="4"/>
      <c r="F197" s="6"/>
      <c r="G197" s="6"/>
      <c r="H197" s="6"/>
      <c r="I197" s="6"/>
      <c r="J197" s="6"/>
      <c r="K197" s="6"/>
      <c r="L197" s="6"/>
      <c r="M197" s="6"/>
      <c r="N197" s="6"/>
      <c r="O197" s="16"/>
      <c r="P197" s="6"/>
      <c r="Q197" s="4"/>
      <c r="R197" s="4"/>
      <c r="S197" s="4"/>
      <c r="T197" s="4"/>
      <c r="U197" s="4"/>
      <c r="V197" s="4"/>
      <c r="W197" s="4"/>
      <c r="X197" s="4"/>
      <c r="Y197" s="4"/>
      <c r="Z197" s="4"/>
      <c r="AA197" s="4"/>
    </row>
    <row r="198" spans="1:27" ht="12.75" x14ac:dyDescent="0.2">
      <c r="A198" s="16"/>
      <c r="B198" s="6"/>
      <c r="C198" s="17"/>
      <c r="D198" s="6"/>
      <c r="E198" s="4"/>
      <c r="F198" s="6"/>
      <c r="G198" s="6"/>
      <c r="H198" s="6"/>
      <c r="I198" s="6"/>
      <c r="J198" s="6"/>
      <c r="K198" s="6"/>
      <c r="L198" s="6"/>
      <c r="M198" s="6"/>
      <c r="N198" s="6"/>
      <c r="O198" s="16"/>
      <c r="P198" s="6"/>
      <c r="Q198" s="4"/>
      <c r="R198" s="4"/>
      <c r="S198" s="4"/>
      <c r="T198" s="4"/>
      <c r="U198" s="4"/>
      <c r="V198" s="4"/>
      <c r="W198" s="4"/>
      <c r="X198" s="4"/>
      <c r="Y198" s="4"/>
      <c r="Z198" s="4"/>
      <c r="AA198" s="4"/>
    </row>
    <row r="199" spans="1:27" ht="12.75" x14ac:dyDescent="0.2">
      <c r="A199" s="16"/>
      <c r="B199" s="6"/>
      <c r="C199" s="17"/>
      <c r="D199" s="6"/>
      <c r="E199" s="4"/>
      <c r="F199" s="6"/>
      <c r="G199" s="6"/>
      <c r="H199" s="6"/>
      <c r="I199" s="6"/>
      <c r="J199" s="6"/>
      <c r="K199" s="6"/>
      <c r="L199" s="6"/>
      <c r="M199" s="6"/>
      <c r="N199" s="6"/>
      <c r="O199" s="16"/>
      <c r="P199" s="6"/>
      <c r="Q199" s="4"/>
      <c r="R199" s="4"/>
      <c r="S199" s="4"/>
      <c r="T199" s="4"/>
      <c r="U199" s="4"/>
      <c r="V199" s="4"/>
      <c r="W199" s="4"/>
      <c r="X199" s="4"/>
      <c r="Y199" s="4"/>
      <c r="Z199" s="4"/>
      <c r="AA199" s="4"/>
    </row>
    <row r="200" spans="1:27" ht="12.75" x14ac:dyDescent="0.2">
      <c r="A200" s="16"/>
      <c r="B200" s="6"/>
      <c r="C200" s="17"/>
      <c r="D200" s="6"/>
      <c r="E200" s="4"/>
      <c r="F200" s="6"/>
      <c r="G200" s="6"/>
      <c r="H200" s="6"/>
      <c r="I200" s="6"/>
      <c r="J200" s="6"/>
      <c r="K200" s="6"/>
      <c r="L200" s="6"/>
      <c r="M200" s="6"/>
      <c r="N200" s="6"/>
      <c r="O200" s="16"/>
      <c r="P200" s="6"/>
      <c r="Q200" s="4"/>
      <c r="R200" s="4"/>
      <c r="S200" s="4"/>
      <c r="T200" s="4"/>
      <c r="U200" s="4"/>
      <c r="V200" s="4"/>
      <c r="W200" s="4"/>
      <c r="X200" s="4"/>
      <c r="Y200" s="4"/>
      <c r="Z200" s="4"/>
      <c r="AA200" s="4"/>
    </row>
    <row r="201" spans="1:27" ht="12.75" x14ac:dyDescent="0.2">
      <c r="A201" s="16"/>
      <c r="B201" s="6"/>
      <c r="C201" s="17"/>
      <c r="D201" s="6"/>
      <c r="E201" s="4"/>
      <c r="F201" s="6"/>
      <c r="G201" s="6"/>
      <c r="H201" s="6"/>
      <c r="I201" s="6"/>
      <c r="J201" s="6"/>
      <c r="K201" s="6"/>
      <c r="L201" s="6"/>
      <c r="M201" s="6"/>
      <c r="N201" s="6"/>
      <c r="O201" s="16"/>
      <c r="P201" s="6"/>
      <c r="Q201" s="4"/>
      <c r="R201" s="4"/>
      <c r="S201" s="4"/>
      <c r="T201" s="4"/>
      <c r="U201" s="4"/>
      <c r="V201" s="4"/>
      <c r="W201" s="4"/>
      <c r="X201" s="4"/>
      <c r="Y201" s="4"/>
      <c r="Z201" s="4"/>
      <c r="AA201" s="4"/>
    </row>
    <row r="202" spans="1:27" ht="12.75" x14ac:dyDescent="0.2">
      <c r="A202" s="16"/>
      <c r="B202" s="6"/>
      <c r="C202" s="17"/>
      <c r="D202" s="6"/>
      <c r="E202" s="4"/>
      <c r="F202" s="6"/>
      <c r="G202" s="6"/>
      <c r="H202" s="6"/>
      <c r="I202" s="6"/>
      <c r="J202" s="6"/>
      <c r="K202" s="6"/>
      <c r="L202" s="6"/>
      <c r="M202" s="6"/>
      <c r="N202" s="6"/>
      <c r="O202" s="16"/>
      <c r="P202" s="6"/>
      <c r="Q202" s="4"/>
      <c r="R202" s="4"/>
      <c r="S202" s="4"/>
      <c r="T202" s="4"/>
      <c r="U202" s="4"/>
      <c r="V202" s="4"/>
      <c r="W202" s="4"/>
      <c r="X202" s="4"/>
      <c r="Y202" s="4"/>
      <c r="Z202" s="4"/>
      <c r="AA202" s="4"/>
    </row>
    <row r="203" spans="1:27" ht="12.75" x14ac:dyDescent="0.2">
      <c r="A203" s="16"/>
      <c r="B203" s="6"/>
      <c r="C203" s="17"/>
      <c r="D203" s="6"/>
      <c r="E203" s="4"/>
      <c r="F203" s="6"/>
      <c r="G203" s="6"/>
      <c r="H203" s="6"/>
      <c r="I203" s="6"/>
      <c r="J203" s="6"/>
      <c r="K203" s="6"/>
      <c r="L203" s="6"/>
      <c r="M203" s="6"/>
      <c r="N203" s="6"/>
      <c r="O203" s="16"/>
      <c r="P203" s="6"/>
      <c r="Q203" s="4"/>
      <c r="R203" s="4"/>
      <c r="S203" s="4"/>
      <c r="T203" s="4"/>
      <c r="U203" s="4"/>
      <c r="V203" s="4"/>
      <c r="W203" s="4"/>
      <c r="X203" s="4"/>
      <c r="Y203" s="4"/>
      <c r="Z203" s="4"/>
      <c r="AA203" s="4"/>
    </row>
    <row r="204" spans="1:27" ht="12.75" x14ac:dyDescent="0.2">
      <c r="A204" s="16"/>
      <c r="B204" s="6"/>
      <c r="C204" s="17"/>
      <c r="D204" s="6"/>
      <c r="E204" s="4"/>
      <c r="F204" s="6"/>
      <c r="G204" s="6"/>
      <c r="H204" s="6"/>
      <c r="I204" s="6"/>
      <c r="J204" s="6"/>
      <c r="K204" s="6"/>
      <c r="L204" s="6"/>
      <c r="M204" s="6"/>
      <c r="N204" s="6"/>
      <c r="O204" s="16"/>
      <c r="P204" s="6"/>
      <c r="Q204" s="4"/>
      <c r="R204" s="4"/>
      <c r="S204" s="4"/>
      <c r="T204" s="4"/>
      <c r="U204" s="4"/>
      <c r="V204" s="4"/>
      <c r="W204" s="4"/>
      <c r="X204" s="4"/>
      <c r="Y204" s="4"/>
      <c r="Z204" s="4"/>
      <c r="AA204" s="4"/>
    </row>
    <row r="205" spans="1:27" ht="12.75" x14ac:dyDescent="0.2">
      <c r="A205" s="16"/>
      <c r="B205" s="6"/>
      <c r="C205" s="17"/>
      <c r="D205" s="6"/>
      <c r="E205" s="4"/>
      <c r="F205" s="6"/>
      <c r="G205" s="6"/>
      <c r="H205" s="6"/>
      <c r="I205" s="6"/>
      <c r="J205" s="6"/>
      <c r="K205" s="6"/>
      <c r="L205" s="6"/>
      <c r="M205" s="6"/>
      <c r="N205" s="6"/>
      <c r="O205" s="16"/>
      <c r="P205" s="6"/>
      <c r="Q205" s="4"/>
      <c r="R205" s="4"/>
      <c r="S205" s="4"/>
      <c r="T205" s="4"/>
      <c r="U205" s="4"/>
      <c r="V205" s="4"/>
      <c r="W205" s="4"/>
      <c r="X205" s="4"/>
      <c r="Y205" s="4"/>
      <c r="Z205" s="4"/>
      <c r="AA205" s="4"/>
    </row>
    <row r="206" spans="1:27" ht="12.75" x14ac:dyDescent="0.2">
      <c r="A206" s="16"/>
      <c r="B206" s="6"/>
      <c r="C206" s="17"/>
      <c r="D206" s="6"/>
      <c r="E206" s="4"/>
      <c r="F206" s="6"/>
      <c r="G206" s="6"/>
      <c r="H206" s="6"/>
      <c r="I206" s="6"/>
      <c r="J206" s="6"/>
      <c r="K206" s="6"/>
      <c r="L206" s="6"/>
      <c r="M206" s="6"/>
      <c r="N206" s="6"/>
      <c r="O206" s="16"/>
      <c r="P206" s="6"/>
      <c r="Q206" s="4"/>
      <c r="R206" s="4"/>
      <c r="S206" s="4"/>
      <c r="T206" s="4"/>
      <c r="U206" s="4"/>
      <c r="V206" s="4"/>
      <c r="W206" s="4"/>
      <c r="X206" s="4"/>
      <c r="Y206" s="4"/>
      <c r="Z206" s="4"/>
      <c r="AA206" s="4"/>
    </row>
    <row r="207" spans="1:27" ht="12.75" x14ac:dyDescent="0.2">
      <c r="A207" s="16"/>
      <c r="B207" s="6"/>
      <c r="C207" s="17"/>
      <c r="D207" s="6"/>
      <c r="E207" s="4"/>
      <c r="F207" s="6"/>
      <c r="G207" s="6"/>
      <c r="H207" s="6"/>
      <c r="I207" s="6"/>
      <c r="J207" s="6"/>
      <c r="K207" s="6"/>
      <c r="L207" s="6"/>
      <c r="M207" s="6"/>
      <c r="N207" s="6"/>
      <c r="O207" s="16"/>
      <c r="P207" s="6"/>
      <c r="Q207" s="4"/>
      <c r="R207" s="4"/>
      <c r="S207" s="4"/>
      <c r="T207" s="4"/>
      <c r="U207" s="4"/>
      <c r="V207" s="4"/>
      <c r="W207" s="4"/>
      <c r="X207" s="4"/>
      <c r="Y207" s="4"/>
      <c r="Z207" s="4"/>
      <c r="AA207" s="4"/>
    </row>
    <row r="208" spans="1:27" ht="12.75" x14ac:dyDescent="0.2">
      <c r="A208" s="16"/>
      <c r="B208" s="6"/>
      <c r="C208" s="17"/>
      <c r="D208" s="6"/>
      <c r="E208" s="4"/>
      <c r="F208" s="6"/>
      <c r="G208" s="6"/>
      <c r="H208" s="6"/>
      <c r="I208" s="6"/>
      <c r="J208" s="6"/>
      <c r="K208" s="6"/>
      <c r="L208" s="6"/>
      <c r="M208" s="6"/>
      <c r="N208" s="6"/>
      <c r="O208" s="16"/>
      <c r="P208" s="6"/>
      <c r="Q208" s="4"/>
      <c r="R208" s="4"/>
      <c r="S208" s="4"/>
      <c r="T208" s="4"/>
      <c r="U208" s="4"/>
      <c r="V208" s="4"/>
      <c r="W208" s="4"/>
      <c r="X208" s="4"/>
      <c r="Y208" s="4"/>
      <c r="Z208" s="4"/>
      <c r="AA208" s="4"/>
    </row>
    <row r="209" spans="1:27" ht="12.75" x14ac:dyDescent="0.2">
      <c r="A209" s="16"/>
      <c r="B209" s="6"/>
      <c r="C209" s="17"/>
      <c r="D209" s="6"/>
      <c r="E209" s="4"/>
      <c r="F209" s="6"/>
      <c r="G209" s="6"/>
      <c r="H209" s="6"/>
      <c r="I209" s="6"/>
      <c r="J209" s="6"/>
      <c r="K209" s="6"/>
      <c r="L209" s="6"/>
      <c r="M209" s="6"/>
      <c r="N209" s="6"/>
      <c r="O209" s="16"/>
      <c r="P209" s="6"/>
      <c r="Q209" s="4"/>
      <c r="R209" s="4"/>
      <c r="S209" s="4"/>
      <c r="T209" s="4"/>
      <c r="U209" s="4"/>
      <c r="V209" s="4"/>
      <c r="W209" s="4"/>
      <c r="X209" s="4"/>
      <c r="Y209" s="4"/>
      <c r="Z209" s="4"/>
      <c r="AA209" s="4"/>
    </row>
    <row r="210" spans="1:27" ht="12.75" x14ac:dyDescent="0.2">
      <c r="A210" s="16"/>
      <c r="B210" s="6"/>
      <c r="C210" s="17"/>
      <c r="D210" s="6"/>
      <c r="E210" s="4"/>
      <c r="F210" s="6"/>
      <c r="G210" s="6"/>
      <c r="H210" s="6"/>
      <c r="I210" s="6"/>
      <c r="J210" s="6"/>
      <c r="K210" s="6"/>
      <c r="L210" s="6"/>
      <c r="M210" s="6"/>
      <c r="N210" s="6"/>
      <c r="O210" s="16"/>
      <c r="P210" s="6"/>
      <c r="Q210" s="4"/>
      <c r="R210" s="4"/>
      <c r="S210" s="4"/>
      <c r="T210" s="4"/>
      <c r="U210" s="4"/>
      <c r="V210" s="4"/>
      <c r="W210" s="4"/>
      <c r="X210" s="4"/>
      <c r="Y210" s="4"/>
      <c r="Z210" s="4"/>
      <c r="AA210" s="4"/>
    </row>
    <row r="211" spans="1:27" ht="12.75" x14ac:dyDescent="0.2">
      <c r="A211" s="16"/>
      <c r="B211" s="6"/>
      <c r="C211" s="17"/>
      <c r="D211" s="6"/>
      <c r="E211" s="4"/>
      <c r="F211" s="6"/>
      <c r="G211" s="6"/>
      <c r="H211" s="6"/>
      <c r="I211" s="6"/>
      <c r="J211" s="6"/>
      <c r="K211" s="6"/>
      <c r="L211" s="6"/>
      <c r="M211" s="6"/>
      <c r="N211" s="6"/>
      <c r="O211" s="16"/>
      <c r="P211" s="6"/>
      <c r="Q211" s="4"/>
      <c r="R211" s="4"/>
      <c r="S211" s="4"/>
      <c r="T211" s="4"/>
      <c r="U211" s="4"/>
      <c r="V211" s="4"/>
      <c r="W211" s="4"/>
      <c r="X211" s="4"/>
      <c r="Y211" s="4"/>
      <c r="Z211" s="4"/>
      <c r="AA211" s="4"/>
    </row>
    <row r="212" spans="1:27" ht="12.75" x14ac:dyDescent="0.2">
      <c r="A212" s="16"/>
      <c r="B212" s="6"/>
      <c r="C212" s="17"/>
      <c r="D212" s="6"/>
      <c r="E212" s="4"/>
      <c r="F212" s="6"/>
      <c r="G212" s="6"/>
      <c r="H212" s="6"/>
      <c r="I212" s="6"/>
      <c r="J212" s="6"/>
      <c r="K212" s="6"/>
      <c r="L212" s="6"/>
      <c r="M212" s="6"/>
      <c r="N212" s="6"/>
      <c r="O212" s="16"/>
      <c r="P212" s="6"/>
      <c r="Q212" s="4"/>
      <c r="R212" s="4"/>
      <c r="S212" s="4"/>
      <c r="T212" s="4"/>
      <c r="U212" s="4"/>
      <c r="V212" s="4"/>
      <c r="W212" s="4"/>
      <c r="X212" s="4"/>
      <c r="Y212" s="4"/>
      <c r="Z212" s="4"/>
      <c r="AA212" s="4"/>
    </row>
    <row r="213" spans="1:27" ht="12.75" x14ac:dyDescent="0.2">
      <c r="A213" s="16"/>
      <c r="B213" s="6"/>
      <c r="C213" s="17"/>
      <c r="D213" s="6"/>
      <c r="E213" s="4"/>
      <c r="F213" s="6"/>
      <c r="G213" s="6"/>
      <c r="H213" s="6"/>
      <c r="I213" s="6"/>
      <c r="J213" s="6"/>
      <c r="K213" s="6"/>
      <c r="L213" s="6"/>
      <c r="M213" s="6"/>
      <c r="N213" s="6"/>
      <c r="O213" s="16"/>
      <c r="P213" s="6"/>
      <c r="Q213" s="4"/>
      <c r="R213" s="4"/>
      <c r="S213" s="4"/>
      <c r="T213" s="4"/>
      <c r="U213" s="4"/>
      <c r="V213" s="4"/>
      <c r="W213" s="4"/>
      <c r="X213" s="4"/>
      <c r="Y213" s="4"/>
      <c r="Z213" s="4"/>
      <c r="AA213" s="4"/>
    </row>
    <row r="214" spans="1:27" ht="12.75" x14ac:dyDescent="0.2">
      <c r="A214" s="16"/>
      <c r="B214" s="6"/>
      <c r="C214" s="17"/>
      <c r="D214" s="6"/>
      <c r="E214" s="4"/>
      <c r="F214" s="6"/>
      <c r="G214" s="6"/>
      <c r="H214" s="6"/>
      <c r="I214" s="6"/>
      <c r="J214" s="6"/>
      <c r="K214" s="6"/>
      <c r="L214" s="6"/>
      <c r="M214" s="6"/>
      <c r="N214" s="6"/>
      <c r="O214" s="16"/>
      <c r="P214" s="6"/>
      <c r="Q214" s="4"/>
      <c r="R214" s="4"/>
      <c r="S214" s="4"/>
      <c r="T214" s="4"/>
      <c r="U214" s="4"/>
      <c r="V214" s="4"/>
      <c r="W214" s="4"/>
      <c r="X214" s="4"/>
      <c r="Y214" s="4"/>
      <c r="Z214" s="4"/>
      <c r="AA214" s="4"/>
    </row>
    <row r="215" spans="1:27" ht="12.75" x14ac:dyDescent="0.2">
      <c r="A215" s="16"/>
      <c r="B215" s="6"/>
      <c r="C215" s="17"/>
      <c r="D215" s="6"/>
      <c r="E215" s="4"/>
      <c r="F215" s="6"/>
      <c r="G215" s="6"/>
      <c r="H215" s="6"/>
      <c r="I215" s="6"/>
      <c r="J215" s="6"/>
      <c r="K215" s="6"/>
      <c r="L215" s="6"/>
      <c r="M215" s="6"/>
      <c r="N215" s="6"/>
      <c r="O215" s="16"/>
      <c r="P215" s="6"/>
      <c r="Q215" s="4"/>
      <c r="R215" s="4"/>
      <c r="S215" s="4"/>
      <c r="T215" s="4"/>
      <c r="U215" s="4"/>
      <c r="V215" s="4"/>
      <c r="W215" s="4"/>
      <c r="X215" s="4"/>
      <c r="Y215" s="4"/>
      <c r="Z215" s="4"/>
      <c r="AA215" s="4"/>
    </row>
    <row r="216" spans="1:27" ht="12.75" x14ac:dyDescent="0.2">
      <c r="A216" s="16"/>
      <c r="B216" s="6"/>
      <c r="C216" s="17"/>
      <c r="D216" s="6"/>
      <c r="E216" s="4"/>
      <c r="F216" s="6"/>
      <c r="G216" s="6"/>
      <c r="H216" s="6"/>
      <c r="I216" s="6"/>
      <c r="J216" s="6"/>
      <c r="K216" s="6"/>
      <c r="L216" s="6"/>
      <c r="M216" s="6"/>
      <c r="N216" s="6"/>
      <c r="O216" s="16"/>
      <c r="P216" s="6"/>
      <c r="Q216" s="4"/>
      <c r="R216" s="4"/>
      <c r="S216" s="4"/>
      <c r="T216" s="4"/>
      <c r="U216" s="4"/>
      <c r="V216" s="4"/>
      <c r="W216" s="4"/>
      <c r="X216" s="4"/>
      <c r="Y216" s="4"/>
      <c r="Z216" s="4"/>
      <c r="AA216" s="4"/>
    </row>
    <row r="217" spans="1:27" ht="12.75" x14ac:dyDescent="0.2">
      <c r="A217" s="16"/>
      <c r="B217" s="6"/>
      <c r="C217" s="17"/>
      <c r="D217" s="6"/>
      <c r="E217" s="4"/>
      <c r="F217" s="6"/>
      <c r="G217" s="6"/>
      <c r="H217" s="6"/>
      <c r="I217" s="6"/>
      <c r="J217" s="6"/>
      <c r="K217" s="6"/>
      <c r="L217" s="6"/>
      <c r="M217" s="6"/>
      <c r="N217" s="6"/>
      <c r="O217" s="16"/>
      <c r="P217" s="6"/>
      <c r="Q217" s="4"/>
      <c r="R217" s="4"/>
      <c r="S217" s="4"/>
      <c r="T217" s="4"/>
      <c r="U217" s="4"/>
      <c r="V217" s="4"/>
      <c r="W217" s="4"/>
      <c r="X217" s="4"/>
      <c r="Y217" s="4"/>
      <c r="Z217" s="4"/>
      <c r="AA217" s="4"/>
    </row>
    <row r="218" spans="1:27" ht="12.75" x14ac:dyDescent="0.2">
      <c r="A218" s="16"/>
      <c r="B218" s="6"/>
      <c r="C218" s="17"/>
      <c r="D218" s="6"/>
      <c r="E218" s="4"/>
      <c r="F218" s="6"/>
      <c r="G218" s="6"/>
      <c r="H218" s="6"/>
      <c r="I218" s="6"/>
      <c r="J218" s="6"/>
      <c r="K218" s="6"/>
      <c r="L218" s="6"/>
      <c r="M218" s="6"/>
      <c r="N218" s="6"/>
      <c r="O218" s="16"/>
      <c r="P218" s="6"/>
      <c r="Q218" s="4"/>
      <c r="R218" s="4"/>
      <c r="S218" s="4"/>
      <c r="T218" s="4"/>
      <c r="U218" s="4"/>
      <c r="V218" s="4"/>
      <c r="W218" s="4"/>
      <c r="X218" s="4"/>
      <c r="Y218" s="4"/>
      <c r="Z218" s="4"/>
      <c r="AA218" s="4"/>
    </row>
    <row r="219" spans="1:27" ht="12.75" x14ac:dyDescent="0.2">
      <c r="A219" s="16"/>
      <c r="B219" s="6"/>
      <c r="C219" s="17"/>
      <c r="D219" s="6"/>
      <c r="E219" s="4"/>
      <c r="F219" s="6"/>
      <c r="G219" s="6"/>
      <c r="H219" s="6"/>
      <c r="I219" s="6"/>
      <c r="J219" s="6"/>
      <c r="K219" s="6"/>
      <c r="L219" s="6"/>
      <c r="M219" s="6"/>
      <c r="N219" s="6"/>
      <c r="O219" s="16"/>
      <c r="P219" s="6"/>
      <c r="Q219" s="4"/>
      <c r="R219" s="4"/>
      <c r="S219" s="4"/>
      <c r="T219" s="4"/>
      <c r="U219" s="4"/>
      <c r="V219" s="4"/>
      <c r="W219" s="4"/>
      <c r="X219" s="4"/>
      <c r="Y219" s="4"/>
      <c r="Z219" s="4"/>
      <c r="AA219" s="4"/>
    </row>
    <row r="220" spans="1:27" ht="12.75" x14ac:dyDescent="0.2">
      <c r="A220" s="16"/>
      <c r="B220" s="6"/>
      <c r="C220" s="17"/>
      <c r="D220" s="6"/>
      <c r="E220" s="4"/>
      <c r="F220" s="6"/>
      <c r="G220" s="6"/>
      <c r="H220" s="6"/>
      <c r="I220" s="6"/>
      <c r="J220" s="6"/>
      <c r="K220" s="6"/>
      <c r="L220" s="6"/>
      <c r="M220" s="6"/>
      <c r="N220" s="6"/>
      <c r="O220" s="16"/>
      <c r="P220" s="6"/>
      <c r="Q220" s="4"/>
      <c r="R220" s="4"/>
      <c r="S220" s="4"/>
      <c r="T220" s="4"/>
      <c r="U220" s="4"/>
      <c r="V220" s="4"/>
      <c r="W220" s="4"/>
      <c r="X220" s="4"/>
      <c r="Y220" s="4"/>
      <c r="Z220" s="4"/>
      <c r="AA220" s="4"/>
    </row>
    <row r="221" spans="1:27" ht="12.75" x14ac:dyDescent="0.2">
      <c r="A221" s="16"/>
      <c r="B221" s="6"/>
      <c r="C221" s="17"/>
      <c r="D221" s="6"/>
      <c r="E221" s="4"/>
      <c r="F221" s="6"/>
      <c r="G221" s="6"/>
      <c r="H221" s="6"/>
      <c r="I221" s="6"/>
      <c r="J221" s="6"/>
      <c r="K221" s="6"/>
      <c r="L221" s="6"/>
      <c r="M221" s="6"/>
      <c r="N221" s="6"/>
      <c r="O221" s="16"/>
      <c r="P221" s="6"/>
      <c r="Q221" s="4"/>
      <c r="R221" s="4"/>
      <c r="S221" s="4"/>
      <c r="T221" s="4"/>
      <c r="U221" s="4"/>
      <c r="V221" s="4"/>
      <c r="W221" s="4"/>
      <c r="X221" s="4"/>
      <c r="Y221" s="4"/>
      <c r="Z221" s="4"/>
      <c r="AA221" s="4"/>
    </row>
    <row r="222" spans="1:27" ht="12.75" x14ac:dyDescent="0.2">
      <c r="A222" s="16"/>
      <c r="B222" s="6"/>
      <c r="C222" s="17"/>
      <c r="D222" s="6"/>
      <c r="E222" s="4"/>
      <c r="F222" s="6"/>
      <c r="G222" s="6"/>
      <c r="H222" s="6"/>
      <c r="I222" s="6"/>
      <c r="J222" s="6"/>
      <c r="K222" s="6"/>
      <c r="L222" s="6"/>
      <c r="M222" s="6"/>
      <c r="N222" s="6"/>
      <c r="O222" s="16"/>
      <c r="P222" s="6"/>
      <c r="Q222" s="4"/>
      <c r="R222" s="4"/>
      <c r="S222" s="4"/>
      <c r="T222" s="4"/>
      <c r="U222" s="4"/>
      <c r="V222" s="4"/>
      <c r="W222" s="4"/>
      <c r="X222" s="4"/>
      <c r="Y222" s="4"/>
      <c r="Z222" s="4"/>
      <c r="AA222" s="4"/>
    </row>
    <row r="223" spans="1:27" ht="12.75" x14ac:dyDescent="0.2">
      <c r="A223" s="16"/>
      <c r="B223" s="6"/>
      <c r="C223" s="17"/>
      <c r="D223" s="6"/>
      <c r="E223" s="4"/>
      <c r="F223" s="6"/>
      <c r="G223" s="6"/>
      <c r="H223" s="6"/>
      <c r="I223" s="6"/>
      <c r="J223" s="6"/>
      <c r="K223" s="6"/>
      <c r="L223" s="6"/>
      <c r="M223" s="6"/>
      <c r="N223" s="6"/>
      <c r="O223" s="16"/>
      <c r="P223" s="6"/>
      <c r="Q223" s="4"/>
      <c r="R223" s="4"/>
      <c r="S223" s="4"/>
      <c r="T223" s="4"/>
      <c r="U223" s="4"/>
      <c r="V223" s="4"/>
      <c r="W223" s="4"/>
      <c r="X223" s="4"/>
      <c r="Y223" s="4"/>
      <c r="Z223" s="4"/>
      <c r="AA223" s="4"/>
    </row>
    <row r="224" spans="1:27" ht="12.75" x14ac:dyDescent="0.2">
      <c r="A224" s="16"/>
      <c r="B224" s="6"/>
      <c r="C224" s="17"/>
      <c r="D224" s="6"/>
      <c r="E224" s="4"/>
      <c r="F224" s="6"/>
      <c r="G224" s="6"/>
      <c r="H224" s="6"/>
      <c r="I224" s="6"/>
      <c r="J224" s="6"/>
      <c r="K224" s="6"/>
      <c r="L224" s="6"/>
      <c r="M224" s="6"/>
      <c r="N224" s="6"/>
      <c r="O224" s="16"/>
      <c r="P224" s="6"/>
      <c r="Q224" s="4"/>
      <c r="R224" s="4"/>
      <c r="S224" s="4"/>
      <c r="T224" s="4"/>
      <c r="U224" s="4"/>
      <c r="V224" s="4"/>
      <c r="W224" s="4"/>
      <c r="X224" s="4"/>
      <c r="Y224" s="4"/>
      <c r="Z224" s="4"/>
      <c r="AA224" s="4"/>
    </row>
    <row r="225" spans="1:27" ht="12.75" x14ac:dyDescent="0.2">
      <c r="A225" s="16"/>
      <c r="B225" s="6"/>
      <c r="C225" s="17"/>
      <c r="D225" s="6"/>
      <c r="E225" s="4"/>
      <c r="F225" s="6"/>
      <c r="G225" s="6"/>
      <c r="H225" s="6"/>
      <c r="I225" s="6"/>
      <c r="J225" s="6"/>
      <c r="K225" s="6"/>
      <c r="L225" s="6"/>
      <c r="M225" s="6"/>
      <c r="N225" s="6"/>
      <c r="O225" s="16"/>
      <c r="P225" s="6"/>
      <c r="Q225" s="4"/>
      <c r="R225" s="4"/>
      <c r="S225" s="4"/>
      <c r="T225" s="4"/>
      <c r="U225" s="4"/>
      <c r="V225" s="4"/>
      <c r="W225" s="4"/>
      <c r="X225" s="4"/>
      <c r="Y225" s="4"/>
      <c r="Z225" s="4"/>
      <c r="AA225" s="4"/>
    </row>
    <row r="226" spans="1:27" ht="12.75" x14ac:dyDescent="0.2">
      <c r="A226" s="16"/>
      <c r="B226" s="6"/>
      <c r="C226" s="17"/>
      <c r="D226" s="6"/>
      <c r="E226" s="4"/>
      <c r="F226" s="6"/>
      <c r="G226" s="6"/>
      <c r="H226" s="6"/>
      <c r="I226" s="6"/>
      <c r="J226" s="6"/>
      <c r="K226" s="6"/>
      <c r="L226" s="6"/>
      <c r="M226" s="6"/>
      <c r="N226" s="6"/>
      <c r="O226" s="16"/>
      <c r="P226" s="6"/>
      <c r="Q226" s="4"/>
      <c r="R226" s="4"/>
      <c r="S226" s="4"/>
      <c r="T226" s="4"/>
      <c r="U226" s="4"/>
      <c r="V226" s="4"/>
      <c r="W226" s="4"/>
      <c r="X226" s="4"/>
      <c r="Y226" s="4"/>
      <c r="Z226" s="4"/>
      <c r="AA226" s="4"/>
    </row>
    <row r="227" spans="1:27" ht="12.75" x14ac:dyDescent="0.2">
      <c r="A227" s="16"/>
      <c r="B227" s="6"/>
      <c r="C227" s="17"/>
      <c r="D227" s="6"/>
      <c r="E227" s="4"/>
      <c r="F227" s="6"/>
      <c r="G227" s="6"/>
      <c r="H227" s="6"/>
      <c r="I227" s="6"/>
      <c r="J227" s="6"/>
      <c r="K227" s="6"/>
      <c r="L227" s="6"/>
      <c r="M227" s="6"/>
      <c r="N227" s="6"/>
      <c r="O227" s="16"/>
      <c r="P227" s="6"/>
      <c r="Q227" s="4"/>
      <c r="R227" s="4"/>
      <c r="S227" s="4"/>
      <c r="T227" s="4"/>
      <c r="U227" s="4"/>
      <c r="V227" s="4"/>
      <c r="W227" s="4"/>
      <c r="X227" s="4"/>
      <c r="Y227" s="4"/>
      <c r="Z227" s="4"/>
      <c r="AA227" s="4"/>
    </row>
    <row r="228" spans="1:27" ht="12.75" x14ac:dyDescent="0.2">
      <c r="A228" s="16"/>
      <c r="B228" s="6"/>
      <c r="C228" s="17"/>
      <c r="D228" s="6"/>
      <c r="E228" s="4"/>
      <c r="F228" s="6"/>
      <c r="G228" s="6"/>
      <c r="H228" s="6"/>
      <c r="I228" s="6"/>
      <c r="J228" s="6"/>
      <c r="K228" s="6"/>
      <c r="L228" s="6"/>
      <c r="M228" s="6"/>
      <c r="N228" s="6"/>
      <c r="O228" s="16"/>
      <c r="P228" s="6"/>
      <c r="Q228" s="4"/>
      <c r="R228" s="4"/>
      <c r="S228" s="4"/>
      <c r="T228" s="4"/>
      <c r="U228" s="4"/>
      <c r="V228" s="4"/>
      <c r="W228" s="4"/>
      <c r="X228" s="4"/>
      <c r="Y228" s="4"/>
      <c r="Z228" s="4"/>
      <c r="AA228" s="4"/>
    </row>
    <row r="229" spans="1:27" ht="12.75" x14ac:dyDescent="0.2">
      <c r="A229" s="16"/>
      <c r="B229" s="6"/>
      <c r="C229" s="17"/>
      <c r="D229" s="6"/>
      <c r="E229" s="4"/>
      <c r="F229" s="6"/>
      <c r="G229" s="6"/>
      <c r="H229" s="6"/>
      <c r="I229" s="6"/>
      <c r="J229" s="6"/>
      <c r="K229" s="6"/>
      <c r="L229" s="6"/>
      <c r="M229" s="6"/>
      <c r="N229" s="6"/>
      <c r="O229" s="16"/>
      <c r="P229" s="6"/>
      <c r="Q229" s="4"/>
      <c r="R229" s="4"/>
      <c r="S229" s="4"/>
      <c r="T229" s="4"/>
      <c r="U229" s="4"/>
      <c r="V229" s="4"/>
      <c r="W229" s="4"/>
      <c r="X229" s="4"/>
      <c r="Y229" s="4"/>
      <c r="Z229" s="4"/>
      <c r="AA229" s="4"/>
    </row>
    <row r="230" spans="1:27" ht="12.75" x14ac:dyDescent="0.2">
      <c r="A230" s="16"/>
      <c r="B230" s="6"/>
      <c r="C230" s="17"/>
      <c r="D230" s="6"/>
      <c r="E230" s="4"/>
      <c r="F230" s="6"/>
      <c r="G230" s="6"/>
      <c r="H230" s="6"/>
      <c r="I230" s="6"/>
      <c r="J230" s="6"/>
      <c r="K230" s="6"/>
      <c r="L230" s="6"/>
      <c r="M230" s="6"/>
      <c r="N230" s="6"/>
      <c r="O230" s="16"/>
      <c r="P230" s="6"/>
      <c r="Q230" s="4"/>
      <c r="R230" s="4"/>
      <c r="S230" s="4"/>
      <c r="T230" s="4"/>
      <c r="U230" s="4"/>
      <c r="V230" s="4"/>
      <c r="W230" s="4"/>
      <c r="X230" s="4"/>
      <c r="Y230" s="4"/>
      <c r="Z230" s="4"/>
      <c r="AA230" s="4"/>
    </row>
    <row r="231" spans="1:27" ht="12.75" x14ac:dyDescent="0.2">
      <c r="A231" s="16"/>
      <c r="B231" s="6"/>
      <c r="C231" s="17"/>
      <c r="D231" s="6"/>
      <c r="E231" s="4"/>
      <c r="F231" s="6"/>
      <c r="G231" s="6"/>
      <c r="H231" s="6"/>
      <c r="I231" s="6"/>
      <c r="J231" s="6"/>
      <c r="K231" s="6"/>
      <c r="L231" s="6"/>
      <c r="M231" s="6"/>
      <c r="N231" s="6"/>
      <c r="O231" s="16"/>
      <c r="P231" s="6"/>
      <c r="Q231" s="4"/>
      <c r="R231" s="4"/>
      <c r="S231" s="4"/>
      <c r="T231" s="4"/>
      <c r="U231" s="4"/>
      <c r="V231" s="4"/>
      <c r="W231" s="4"/>
      <c r="X231" s="4"/>
      <c r="Y231" s="4"/>
      <c r="Z231" s="4"/>
      <c r="AA231" s="4"/>
    </row>
    <row r="232" spans="1:27" ht="12.75" x14ac:dyDescent="0.2">
      <c r="A232" s="16"/>
      <c r="B232" s="6"/>
      <c r="C232" s="17"/>
      <c r="D232" s="6"/>
      <c r="E232" s="4"/>
      <c r="F232" s="6"/>
      <c r="G232" s="6"/>
      <c r="H232" s="6"/>
      <c r="I232" s="6"/>
      <c r="J232" s="6"/>
      <c r="K232" s="6"/>
      <c r="L232" s="6"/>
      <c r="M232" s="6"/>
      <c r="N232" s="6"/>
      <c r="O232" s="16"/>
      <c r="P232" s="6"/>
      <c r="Q232" s="4"/>
      <c r="R232" s="4"/>
      <c r="S232" s="4"/>
      <c r="T232" s="4"/>
      <c r="U232" s="4"/>
      <c r="V232" s="4"/>
      <c r="W232" s="4"/>
      <c r="X232" s="4"/>
      <c r="Y232" s="4"/>
      <c r="Z232" s="4"/>
      <c r="AA232" s="4"/>
    </row>
    <row r="233" spans="1:27" ht="12.75" x14ac:dyDescent="0.2">
      <c r="A233" s="16"/>
      <c r="B233" s="6"/>
      <c r="C233" s="17"/>
      <c r="D233" s="6"/>
      <c r="E233" s="4"/>
      <c r="F233" s="6"/>
      <c r="G233" s="6"/>
      <c r="H233" s="6"/>
      <c r="I233" s="6"/>
      <c r="J233" s="6"/>
      <c r="K233" s="6"/>
      <c r="L233" s="6"/>
      <c r="M233" s="6"/>
      <c r="N233" s="6"/>
      <c r="O233" s="16"/>
      <c r="P233" s="6"/>
      <c r="Q233" s="4"/>
      <c r="R233" s="4"/>
      <c r="S233" s="4"/>
      <c r="T233" s="4"/>
      <c r="U233" s="4"/>
      <c r="V233" s="4"/>
      <c r="W233" s="4"/>
      <c r="X233" s="4"/>
      <c r="Y233" s="4"/>
      <c r="Z233" s="4"/>
      <c r="AA233" s="4"/>
    </row>
    <row r="234" spans="1:27" ht="12.75" x14ac:dyDescent="0.2">
      <c r="A234" s="16"/>
      <c r="B234" s="6"/>
      <c r="C234" s="17"/>
      <c r="D234" s="6"/>
      <c r="E234" s="4"/>
      <c r="F234" s="6"/>
      <c r="G234" s="6"/>
      <c r="H234" s="6"/>
      <c r="I234" s="6"/>
      <c r="J234" s="6"/>
      <c r="K234" s="6"/>
      <c r="L234" s="6"/>
      <c r="M234" s="6"/>
      <c r="N234" s="6"/>
      <c r="O234" s="16"/>
      <c r="P234" s="6"/>
      <c r="Q234" s="4"/>
      <c r="R234" s="4"/>
      <c r="S234" s="4"/>
      <c r="T234" s="4"/>
      <c r="U234" s="4"/>
      <c r="V234" s="4"/>
      <c r="W234" s="4"/>
      <c r="X234" s="4"/>
      <c r="Y234" s="4"/>
      <c r="Z234" s="4"/>
      <c r="AA234" s="4"/>
    </row>
    <row r="235" spans="1:27" ht="12.75" x14ac:dyDescent="0.2">
      <c r="A235" s="16"/>
      <c r="B235" s="6"/>
      <c r="C235" s="17"/>
      <c r="D235" s="6"/>
      <c r="E235" s="4"/>
      <c r="F235" s="6"/>
      <c r="G235" s="6"/>
      <c r="H235" s="6"/>
      <c r="I235" s="6"/>
      <c r="J235" s="6"/>
      <c r="K235" s="6"/>
      <c r="L235" s="6"/>
      <c r="M235" s="6"/>
      <c r="N235" s="6"/>
      <c r="O235" s="16"/>
      <c r="P235" s="6"/>
      <c r="Q235" s="4"/>
      <c r="R235" s="4"/>
      <c r="S235" s="4"/>
      <c r="T235" s="4"/>
      <c r="U235" s="4"/>
      <c r="V235" s="4"/>
      <c r="W235" s="4"/>
      <c r="X235" s="4"/>
      <c r="Y235" s="4"/>
      <c r="Z235" s="4"/>
      <c r="AA235" s="4"/>
    </row>
    <row r="236" spans="1:27" ht="12.75" x14ac:dyDescent="0.2">
      <c r="A236" s="16"/>
      <c r="B236" s="6"/>
      <c r="C236" s="17"/>
      <c r="D236" s="6"/>
      <c r="E236" s="4"/>
      <c r="F236" s="6"/>
      <c r="G236" s="6"/>
      <c r="H236" s="6"/>
      <c r="I236" s="6"/>
      <c r="J236" s="6"/>
      <c r="K236" s="6"/>
      <c r="L236" s="6"/>
      <c r="M236" s="6"/>
      <c r="N236" s="6"/>
      <c r="O236" s="16"/>
      <c r="P236" s="6"/>
      <c r="Q236" s="4"/>
      <c r="R236" s="4"/>
      <c r="S236" s="4"/>
      <c r="T236" s="4"/>
      <c r="U236" s="4"/>
      <c r="V236" s="4"/>
      <c r="W236" s="4"/>
      <c r="X236" s="4"/>
      <c r="Y236" s="4"/>
      <c r="Z236" s="4"/>
      <c r="AA236" s="4"/>
    </row>
    <row r="237" spans="1:27" ht="12.75" x14ac:dyDescent="0.2">
      <c r="A237" s="16"/>
      <c r="B237" s="6"/>
      <c r="C237" s="17"/>
      <c r="D237" s="6"/>
      <c r="E237" s="4"/>
      <c r="F237" s="6"/>
      <c r="G237" s="6"/>
      <c r="H237" s="6"/>
      <c r="I237" s="6"/>
      <c r="J237" s="6"/>
      <c r="K237" s="6"/>
      <c r="L237" s="6"/>
      <c r="M237" s="6"/>
      <c r="N237" s="6"/>
      <c r="O237" s="16"/>
      <c r="P237" s="6"/>
      <c r="Q237" s="4"/>
      <c r="R237" s="4"/>
      <c r="S237" s="4"/>
      <c r="T237" s="4"/>
      <c r="U237" s="4"/>
      <c r="V237" s="4"/>
      <c r="W237" s="4"/>
      <c r="X237" s="4"/>
      <c r="Y237" s="4"/>
      <c r="Z237" s="4"/>
      <c r="AA237" s="4"/>
    </row>
    <row r="238" spans="1:27" ht="12.75" x14ac:dyDescent="0.2">
      <c r="A238" s="16"/>
      <c r="B238" s="6"/>
      <c r="C238" s="17"/>
      <c r="D238" s="6"/>
      <c r="E238" s="4"/>
      <c r="F238" s="6"/>
      <c r="G238" s="6"/>
      <c r="H238" s="6"/>
      <c r="I238" s="6"/>
      <c r="J238" s="6"/>
      <c r="K238" s="6"/>
      <c r="L238" s="6"/>
      <c r="M238" s="6"/>
      <c r="N238" s="6"/>
      <c r="O238" s="16"/>
      <c r="P238" s="6"/>
      <c r="Q238" s="4"/>
      <c r="R238" s="4"/>
      <c r="S238" s="4"/>
      <c r="T238" s="4"/>
      <c r="U238" s="4"/>
      <c r="V238" s="4"/>
      <c r="W238" s="4"/>
      <c r="X238" s="4"/>
      <c r="Y238" s="4"/>
      <c r="Z238" s="4"/>
      <c r="AA238" s="4"/>
    </row>
    <row r="239" spans="1:27" ht="12.75" x14ac:dyDescent="0.2">
      <c r="A239" s="16"/>
      <c r="B239" s="6"/>
      <c r="C239" s="17"/>
      <c r="D239" s="6"/>
      <c r="E239" s="4"/>
      <c r="F239" s="6"/>
      <c r="G239" s="6"/>
      <c r="H239" s="6"/>
      <c r="I239" s="6"/>
      <c r="J239" s="6"/>
      <c r="K239" s="6"/>
      <c r="L239" s="6"/>
      <c r="M239" s="6"/>
      <c r="N239" s="6"/>
      <c r="O239" s="16"/>
      <c r="P239" s="6"/>
      <c r="Q239" s="4"/>
      <c r="R239" s="4"/>
      <c r="S239" s="4"/>
      <c r="T239" s="4"/>
      <c r="U239" s="4"/>
      <c r="V239" s="4"/>
      <c r="W239" s="4"/>
      <c r="X239" s="4"/>
      <c r="Y239" s="4"/>
      <c r="Z239" s="4"/>
      <c r="AA239" s="4"/>
    </row>
    <row r="240" spans="1:27" ht="12.75" x14ac:dyDescent="0.2">
      <c r="A240" s="16"/>
      <c r="B240" s="6"/>
      <c r="C240" s="17"/>
      <c r="D240" s="6"/>
      <c r="E240" s="4"/>
      <c r="F240" s="6"/>
      <c r="G240" s="6"/>
      <c r="H240" s="6"/>
      <c r="I240" s="6"/>
      <c r="J240" s="6"/>
      <c r="K240" s="6"/>
      <c r="L240" s="6"/>
      <c r="M240" s="6"/>
      <c r="N240" s="6"/>
      <c r="O240" s="16"/>
      <c r="P240" s="6"/>
      <c r="Q240" s="4"/>
      <c r="R240" s="4"/>
      <c r="S240" s="4"/>
      <c r="T240" s="4"/>
      <c r="U240" s="4"/>
      <c r="V240" s="4"/>
      <c r="W240" s="4"/>
      <c r="X240" s="4"/>
      <c r="Y240" s="4"/>
      <c r="Z240" s="4"/>
      <c r="AA240" s="4"/>
    </row>
    <row r="241" spans="1:27" ht="12.75" x14ac:dyDescent="0.2">
      <c r="A241" s="16"/>
      <c r="B241" s="6"/>
      <c r="C241" s="17"/>
      <c r="D241" s="6"/>
      <c r="E241" s="4"/>
      <c r="F241" s="6"/>
      <c r="G241" s="6"/>
      <c r="H241" s="6"/>
      <c r="I241" s="6"/>
      <c r="J241" s="6"/>
      <c r="K241" s="6"/>
      <c r="L241" s="6"/>
      <c r="M241" s="6"/>
      <c r="N241" s="6"/>
      <c r="O241" s="16"/>
      <c r="P241" s="6"/>
      <c r="Q241" s="4"/>
      <c r="R241" s="4"/>
      <c r="S241" s="4"/>
      <c r="T241" s="4"/>
      <c r="U241" s="4"/>
      <c r="V241" s="4"/>
      <c r="W241" s="4"/>
      <c r="X241" s="4"/>
      <c r="Y241" s="4"/>
      <c r="Z241" s="4"/>
      <c r="AA241" s="4"/>
    </row>
    <row r="242" spans="1:27" ht="12.75" x14ac:dyDescent="0.2">
      <c r="A242" s="16"/>
      <c r="B242" s="6"/>
      <c r="C242" s="17"/>
      <c r="D242" s="6"/>
      <c r="E242" s="4"/>
      <c r="F242" s="6"/>
      <c r="G242" s="6"/>
      <c r="H242" s="6"/>
      <c r="I242" s="6"/>
      <c r="J242" s="6"/>
      <c r="K242" s="6"/>
      <c r="L242" s="6"/>
      <c r="M242" s="6"/>
      <c r="N242" s="6"/>
      <c r="O242" s="16"/>
      <c r="P242" s="6"/>
      <c r="Q242" s="4"/>
      <c r="R242" s="4"/>
      <c r="S242" s="4"/>
      <c r="T242" s="4"/>
      <c r="U242" s="4"/>
      <c r="V242" s="4"/>
      <c r="W242" s="4"/>
      <c r="X242" s="4"/>
      <c r="Y242" s="4"/>
      <c r="Z242" s="4"/>
      <c r="AA242" s="4"/>
    </row>
    <row r="243" spans="1:27" ht="12.75" x14ac:dyDescent="0.2">
      <c r="A243" s="16"/>
      <c r="B243" s="6"/>
      <c r="C243" s="17"/>
      <c r="D243" s="6"/>
      <c r="E243" s="4"/>
      <c r="F243" s="6"/>
      <c r="G243" s="6"/>
      <c r="H243" s="6"/>
      <c r="I243" s="6"/>
      <c r="J243" s="6"/>
      <c r="K243" s="6"/>
      <c r="L243" s="6"/>
      <c r="M243" s="6"/>
      <c r="N243" s="6"/>
      <c r="O243" s="16"/>
      <c r="P243" s="6"/>
      <c r="Q243" s="4"/>
      <c r="R243" s="4"/>
      <c r="S243" s="4"/>
      <c r="T243" s="4"/>
      <c r="U243" s="4"/>
      <c r="V243" s="4"/>
      <c r="W243" s="4"/>
      <c r="X243" s="4"/>
      <c r="Y243" s="4"/>
      <c r="Z243" s="4"/>
      <c r="AA243" s="4"/>
    </row>
    <row r="244" spans="1:27" ht="12.75" x14ac:dyDescent="0.2">
      <c r="A244" s="16"/>
      <c r="B244" s="6"/>
      <c r="C244" s="6"/>
      <c r="D244" s="6"/>
      <c r="E244" s="4"/>
      <c r="F244" s="6"/>
      <c r="G244" s="6"/>
      <c r="H244" s="6"/>
      <c r="I244" s="6"/>
      <c r="J244" s="6"/>
      <c r="K244" s="6"/>
      <c r="L244" s="6"/>
      <c r="M244" s="6"/>
      <c r="N244" s="6"/>
      <c r="O244" s="16"/>
      <c r="P244" s="6"/>
      <c r="Q244" s="4"/>
      <c r="R244" s="4"/>
      <c r="S244" s="4"/>
      <c r="T244" s="4"/>
      <c r="U244" s="4"/>
      <c r="V244" s="4"/>
      <c r="W244" s="4"/>
      <c r="X244" s="4"/>
      <c r="Y244" s="4"/>
      <c r="Z244" s="4"/>
      <c r="AA244" s="4"/>
    </row>
    <row r="245" spans="1:27" ht="12.75" x14ac:dyDescent="0.2">
      <c r="A245" s="16"/>
      <c r="B245" s="6"/>
      <c r="C245" s="6"/>
      <c r="D245" s="6"/>
      <c r="E245" s="4"/>
      <c r="F245" s="6"/>
      <c r="G245" s="6"/>
      <c r="H245" s="6"/>
      <c r="I245" s="6"/>
      <c r="J245" s="6"/>
      <c r="K245" s="6"/>
      <c r="L245" s="6"/>
      <c r="M245" s="6"/>
      <c r="N245" s="6"/>
      <c r="O245" s="16"/>
      <c r="P245" s="6"/>
      <c r="Q245" s="4"/>
      <c r="R245" s="4"/>
      <c r="S245" s="4"/>
      <c r="T245" s="4"/>
      <c r="U245" s="4"/>
      <c r="V245" s="4"/>
      <c r="W245" s="4"/>
      <c r="X245" s="4"/>
      <c r="Y245" s="4"/>
      <c r="Z245" s="4"/>
      <c r="AA245" s="4"/>
    </row>
    <row r="246" spans="1:27" ht="12.75" x14ac:dyDescent="0.2">
      <c r="A246" s="16"/>
      <c r="B246" s="6"/>
      <c r="C246" s="6"/>
      <c r="D246" s="6"/>
      <c r="E246" s="4"/>
      <c r="F246" s="6"/>
      <c r="G246" s="6"/>
      <c r="H246" s="6"/>
      <c r="I246" s="6"/>
      <c r="J246" s="6"/>
      <c r="K246" s="6"/>
      <c r="L246" s="6"/>
      <c r="M246" s="6"/>
      <c r="N246" s="6"/>
      <c r="O246" s="16"/>
      <c r="P246" s="6"/>
      <c r="Q246" s="4"/>
      <c r="R246" s="4"/>
      <c r="S246" s="4"/>
      <c r="T246" s="4"/>
      <c r="U246" s="4"/>
      <c r="V246" s="4"/>
      <c r="W246" s="4"/>
      <c r="X246" s="4"/>
      <c r="Y246" s="4"/>
      <c r="Z246" s="4"/>
      <c r="AA246" s="4"/>
    </row>
    <row r="247" spans="1:27" ht="12.75" x14ac:dyDescent="0.2">
      <c r="A247" s="16"/>
      <c r="B247" s="6"/>
      <c r="C247" s="6"/>
      <c r="D247" s="6"/>
      <c r="E247" s="4"/>
      <c r="F247" s="6"/>
      <c r="G247" s="6"/>
      <c r="H247" s="6"/>
      <c r="I247" s="6"/>
      <c r="J247" s="6"/>
      <c r="K247" s="6"/>
      <c r="L247" s="6"/>
      <c r="M247" s="6"/>
      <c r="N247" s="6"/>
      <c r="O247" s="16"/>
      <c r="P247" s="6"/>
      <c r="Q247" s="4"/>
      <c r="R247" s="4"/>
      <c r="S247" s="4"/>
      <c r="T247" s="4"/>
      <c r="U247" s="4"/>
      <c r="V247" s="4"/>
      <c r="W247" s="4"/>
      <c r="X247" s="4"/>
      <c r="Y247" s="4"/>
      <c r="Z247" s="4"/>
      <c r="AA247" s="4"/>
    </row>
    <row r="248" spans="1:27" ht="12.75" x14ac:dyDescent="0.2">
      <c r="A248" s="16"/>
      <c r="B248" s="6"/>
      <c r="C248" s="6"/>
      <c r="D248" s="6"/>
      <c r="E248" s="4"/>
      <c r="F248" s="6"/>
      <c r="G248" s="6"/>
      <c r="H248" s="6"/>
      <c r="I248" s="6"/>
      <c r="J248" s="6"/>
      <c r="K248" s="6"/>
      <c r="L248" s="6"/>
      <c r="M248" s="6"/>
      <c r="N248" s="6"/>
      <c r="O248" s="16"/>
      <c r="P248" s="6"/>
      <c r="Q248" s="4"/>
      <c r="R248" s="4"/>
      <c r="S248" s="4"/>
      <c r="T248" s="4"/>
      <c r="U248" s="4"/>
      <c r="V248" s="4"/>
      <c r="W248" s="4"/>
      <c r="X248" s="4"/>
      <c r="Y248" s="4"/>
      <c r="Z248" s="4"/>
      <c r="AA248" s="4"/>
    </row>
    <row r="249" spans="1:27" ht="12.75" x14ac:dyDescent="0.2">
      <c r="A249" s="16"/>
      <c r="B249" s="6"/>
      <c r="C249" s="6"/>
      <c r="D249" s="6"/>
      <c r="E249" s="4"/>
      <c r="F249" s="6"/>
      <c r="G249" s="6"/>
      <c r="H249" s="6"/>
      <c r="I249" s="6"/>
      <c r="J249" s="6"/>
      <c r="K249" s="6"/>
      <c r="L249" s="6"/>
      <c r="M249" s="6"/>
      <c r="N249" s="6"/>
      <c r="O249" s="16"/>
      <c r="P249" s="6"/>
      <c r="Q249" s="4"/>
      <c r="R249" s="4"/>
      <c r="S249" s="4"/>
      <c r="T249" s="4"/>
      <c r="U249" s="4"/>
      <c r="V249" s="4"/>
      <c r="W249" s="4"/>
      <c r="X249" s="4"/>
      <c r="Y249" s="4"/>
      <c r="Z249" s="4"/>
      <c r="AA249" s="4"/>
    </row>
    <row r="250" spans="1:27" ht="12.75" x14ac:dyDescent="0.2">
      <c r="A250" s="16"/>
      <c r="B250" s="6"/>
      <c r="C250" s="6"/>
      <c r="D250" s="6"/>
      <c r="E250" s="4"/>
      <c r="F250" s="6"/>
      <c r="G250" s="6"/>
      <c r="H250" s="6"/>
      <c r="I250" s="6"/>
      <c r="J250" s="6"/>
      <c r="K250" s="6"/>
      <c r="L250" s="6"/>
      <c r="M250" s="6"/>
      <c r="N250" s="6"/>
      <c r="O250" s="16"/>
      <c r="P250" s="6"/>
      <c r="Q250" s="4"/>
      <c r="R250" s="4"/>
      <c r="S250" s="4"/>
      <c r="T250" s="4"/>
      <c r="U250" s="4"/>
      <c r="V250" s="4"/>
      <c r="W250" s="4"/>
      <c r="X250" s="4"/>
      <c r="Y250" s="4"/>
      <c r="Z250" s="4"/>
      <c r="AA250" s="4"/>
    </row>
    <row r="251" spans="1:27" ht="12.75" x14ac:dyDescent="0.2">
      <c r="A251" s="16"/>
      <c r="B251" s="6"/>
      <c r="C251" s="6"/>
      <c r="D251" s="6"/>
      <c r="E251" s="4"/>
      <c r="F251" s="6"/>
      <c r="G251" s="6"/>
      <c r="H251" s="6"/>
      <c r="I251" s="6"/>
      <c r="J251" s="6"/>
      <c r="K251" s="6"/>
      <c r="L251" s="6"/>
      <c r="M251" s="6"/>
      <c r="N251" s="6"/>
      <c r="O251" s="16"/>
      <c r="P251" s="6"/>
      <c r="Q251" s="4"/>
      <c r="R251" s="4"/>
      <c r="S251" s="4"/>
      <c r="T251" s="4"/>
      <c r="U251" s="4"/>
      <c r="V251" s="4"/>
      <c r="W251" s="4"/>
      <c r="X251" s="4"/>
      <c r="Y251" s="4"/>
      <c r="Z251" s="4"/>
      <c r="AA251" s="4"/>
    </row>
    <row r="252" spans="1:27" ht="12.75" x14ac:dyDescent="0.2">
      <c r="A252" s="16"/>
      <c r="B252" s="6"/>
      <c r="C252" s="6"/>
      <c r="D252" s="6"/>
      <c r="E252" s="4"/>
      <c r="F252" s="6"/>
      <c r="G252" s="6"/>
      <c r="H252" s="6"/>
      <c r="I252" s="6"/>
      <c r="J252" s="6"/>
      <c r="K252" s="6"/>
      <c r="L252" s="6"/>
      <c r="M252" s="6"/>
      <c r="N252" s="6"/>
      <c r="O252" s="16"/>
      <c r="P252" s="6"/>
      <c r="Q252" s="4"/>
      <c r="R252" s="4"/>
      <c r="S252" s="4"/>
      <c r="T252" s="4"/>
      <c r="U252" s="4"/>
      <c r="V252" s="4"/>
      <c r="W252" s="4"/>
      <c r="X252" s="4"/>
      <c r="Y252" s="4"/>
      <c r="Z252" s="4"/>
      <c r="AA252" s="4"/>
    </row>
    <row r="253" spans="1:27" ht="12.75" x14ac:dyDescent="0.2">
      <c r="A253" s="16"/>
      <c r="B253" s="6"/>
      <c r="C253" s="6"/>
      <c r="D253" s="6"/>
      <c r="E253" s="4"/>
      <c r="F253" s="6"/>
      <c r="G253" s="6"/>
      <c r="H253" s="6"/>
      <c r="I253" s="6"/>
      <c r="J253" s="6"/>
      <c r="K253" s="6"/>
      <c r="L253" s="6"/>
      <c r="M253" s="6"/>
      <c r="N253" s="6"/>
      <c r="O253" s="16"/>
      <c r="P253" s="6"/>
      <c r="Q253" s="4"/>
      <c r="R253" s="4"/>
      <c r="S253" s="4"/>
      <c r="T253" s="4"/>
      <c r="U253" s="4"/>
      <c r="V253" s="4"/>
      <c r="W253" s="4"/>
      <c r="X253" s="4"/>
      <c r="Y253" s="4"/>
      <c r="Z253" s="4"/>
      <c r="AA253" s="4"/>
    </row>
    <row r="254" spans="1:27" ht="12.75" x14ac:dyDescent="0.2">
      <c r="A254" s="16"/>
      <c r="B254" s="6"/>
      <c r="C254" s="6"/>
      <c r="D254" s="6"/>
      <c r="E254" s="4"/>
      <c r="F254" s="6"/>
      <c r="G254" s="6"/>
      <c r="H254" s="6"/>
      <c r="I254" s="6"/>
      <c r="J254" s="6"/>
      <c r="K254" s="6"/>
      <c r="L254" s="6"/>
      <c r="M254" s="6"/>
      <c r="N254" s="6"/>
      <c r="O254" s="16"/>
      <c r="P254" s="6"/>
      <c r="Q254" s="4"/>
      <c r="R254" s="4"/>
      <c r="S254" s="4"/>
      <c r="T254" s="4"/>
      <c r="U254" s="4"/>
      <c r="V254" s="4"/>
      <c r="W254" s="4"/>
      <c r="X254" s="4"/>
      <c r="Y254" s="4"/>
      <c r="Z254" s="4"/>
      <c r="AA254" s="4"/>
    </row>
    <row r="255" spans="1:27" ht="12.75" x14ac:dyDescent="0.2">
      <c r="A255" s="16"/>
      <c r="B255" s="6"/>
      <c r="C255" s="6"/>
      <c r="D255" s="6"/>
      <c r="E255" s="4"/>
      <c r="F255" s="6"/>
      <c r="G255" s="6"/>
      <c r="H255" s="6"/>
      <c r="I255" s="6"/>
      <c r="J255" s="6"/>
      <c r="K255" s="6"/>
      <c r="L255" s="6"/>
      <c r="M255" s="6"/>
      <c r="N255" s="6"/>
      <c r="O255" s="16"/>
      <c r="P255" s="6"/>
      <c r="Q255" s="4"/>
      <c r="R255" s="4"/>
      <c r="S255" s="4"/>
      <c r="T255" s="4"/>
      <c r="U255" s="4"/>
      <c r="V255" s="4"/>
      <c r="W255" s="4"/>
      <c r="X255" s="4"/>
      <c r="Y255" s="4"/>
      <c r="Z255" s="4"/>
      <c r="AA255" s="4"/>
    </row>
    <row r="256" spans="1:27" ht="12.75" x14ac:dyDescent="0.2">
      <c r="A256" s="16"/>
      <c r="B256" s="6"/>
      <c r="C256" s="6"/>
      <c r="D256" s="6"/>
      <c r="E256" s="4"/>
      <c r="F256" s="6"/>
      <c r="G256" s="6"/>
      <c r="H256" s="6"/>
      <c r="I256" s="6"/>
      <c r="J256" s="6"/>
      <c r="K256" s="6"/>
      <c r="L256" s="6"/>
      <c r="M256" s="6"/>
      <c r="N256" s="6"/>
      <c r="O256" s="16"/>
      <c r="P256" s="6"/>
      <c r="Q256" s="4"/>
      <c r="R256" s="4"/>
      <c r="S256" s="4"/>
      <c r="T256" s="4"/>
      <c r="U256" s="4"/>
      <c r="V256" s="4"/>
      <c r="W256" s="4"/>
      <c r="X256" s="4"/>
      <c r="Y256" s="4"/>
      <c r="Z256" s="4"/>
      <c r="AA256" s="4"/>
    </row>
    <row r="257" spans="1:27" ht="12.75" x14ac:dyDescent="0.2">
      <c r="A257" s="16"/>
      <c r="B257" s="6"/>
      <c r="C257" s="6"/>
      <c r="D257" s="6"/>
      <c r="E257" s="4"/>
      <c r="F257" s="6"/>
      <c r="G257" s="6"/>
      <c r="H257" s="6"/>
      <c r="I257" s="6"/>
      <c r="J257" s="6"/>
      <c r="K257" s="6"/>
      <c r="L257" s="6"/>
      <c r="M257" s="6"/>
      <c r="N257" s="6"/>
      <c r="O257" s="16"/>
      <c r="P257" s="6"/>
      <c r="Q257" s="4"/>
      <c r="R257" s="4"/>
      <c r="S257" s="4"/>
      <c r="T257" s="4"/>
      <c r="U257" s="4"/>
      <c r="V257" s="4"/>
      <c r="W257" s="4"/>
      <c r="X257" s="4"/>
      <c r="Y257" s="4"/>
      <c r="Z257" s="4"/>
      <c r="AA257" s="4"/>
    </row>
    <row r="258" spans="1:27" ht="12.75" x14ac:dyDescent="0.2">
      <c r="A258" s="16"/>
      <c r="B258" s="6"/>
      <c r="C258" s="6"/>
      <c r="D258" s="6"/>
      <c r="E258" s="4"/>
      <c r="F258" s="6"/>
      <c r="G258" s="6"/>
      <c r="H258" s="6"/>
      <c r="I258" s="6"/>
      <c r="J258" s="6"/>
      <c r="K258" s="6"/>
      <c r="L258" s="6"/>
      <c r="M258" s="6"/>
      <c r="N258" s="6"/>
      <c r="O258" s="16"/>
      <c r="P258" s="6"/>
      <c r="Q258" s="4"/>
      <c r="R258" s="4"/>
      <c r="S258" s="4"/>
      <c r="T258" s="4"/>
      <c r="U258" s="4"/>
      <c r="V258" s="4"/>
      <c r="W258" s="4"/>
      <c r="X258" s="4"/>
      <c r="Y258" s="4"/>
      <c r="Z258" s="4"/>
      <c r="AA258" s="4"/>
    </row>
    <row r="259" spans="1:27" ht="12.75" x14ac:dyDescent="0.2">
      <c r="A259" s="16"/>
      <c r="B259" s="6"/>
      <c r="C259" s="6"/>
      <c r="D259" s="6"/>
      <c r="E259" s="4"/>
      <c r="F259" s="6"/>
      <c r="G259" s="6"/>
      <c r="H259" s="6"/>
      <c r="I259" s="6"/>
      <c r="J259" s="6"/>
      <c r="K259" s="6"/>
      <c r="L259" s="6"/>
      <c r="M259" s="6"/>
      <c r="N259" s="6"/>
      <c r="O259" s="16"/>
      <c r="P259" s="6"/>
      <c r="Q259" s="4"/>
      <c r="R259" s="4"/>
      <c r="S259" s="4"/>
      <c r="T259" s="4"/>
      <c r="U259" s="4"/>
      <c r="V259" s="4"/>
      <c r="W259" s="4"/>
      <c r="X259" s="4"/>
      <c r="Y259" s="4"/>
      <c r="Z259" s="4"/>
      <c r="AA259" s="4"/>
    </row>
    <row r="260" spans="1:27" ht="12.75" x14ac:dyDescent="0.2">
      <c r="A260" s="16"/>
      <c r="B260" s="6"/>
      <c r="C260" s="6"/>
      <c r="D260" s="6"/>
      <c r="E260" s="4"/>
      <c r="F260" s="6"/>
      <c r="G260" s="6"/>
      <c r="H260" s="6"/>
      <c r="I260" s="6"/>
      <c r="J260" s="6"/>
      <c r="K260" s="6"/>
      <c r="L260" s="6"/>
      <c r="M260" s="6"/>
      <c r="N260" s="6"/>
      <c r="O260" s="16"/>
      <c r="P260" s="6"/>
      <c r="Q260" s="4"/>
      <c r="R260" s="4"/>
      <c r="S260" s="4"/>
      <c r="T260" s="4"/>
      <c r="U260" s="4"/>
      <c r="V260" s="4"/>
      <c r="W260" s="4"/>
      <c r="X260" s="4"/>
      <c r="Y260" s="4"/>
      <c r="Z260" s="4"/>
      <c r="AA260" s="4"/>
    </row>
    <row r="261" spans="1:27" ht="12.75" x14ac:dyDescent="0.2">
      <c r="A261" s="16"/>
      <c r="B261" s="6"/>
      <c r="C261" s="6"/>
      <c r="D261" s="6"/>
      <c r="E261" s="4"/>
      <c r="F261" s="6"/>
      <c r="G261" s="6"/>
      <c r="H261" s="6"/>
      <c r="I261" s="6"/>
      <c r="J261" s="6"/>
      <c r="K261" s="6"/>
      <c r="L261" s="6"/>
      <c r="M261" s="6"/>
      <c r="N261" s="6"/>
      <c r="O261" s="16"/>
      <c r="P261" s="6"/>
      <c r="Q261" s="4"/>
      <c r="R261" s="4"/>
      <c r="S261" s="4"/>
      <c r="T261" s="4"/>
      <c r="U261" s="4"/>
      <c r="V261" s="4"/>
      <c r="W261" s="4"/>
      <c r="X261" s="4"/>
      <c r="Y261" s="4"/>
      <c r="Z261" s="4"/>
      <c r="AA261" s="4"/>
    </row>
    <row r="262" spans="1:27" ht="12.75" x14ac:dyDescent="0.2">
      <c r="A262" s="16"/>
      <c r="B262" s="6"/>
      <c r="C262" s="6"/>
      <c r="D262" s="6"/>
      <c r="E262" s="4"/>
      <c r="F262" s="6"/>
      <c r="G262" s="6"/>
      <c r="H262" s="6"/>
      <c r="I262" s="6"/>
      <c r="J262" s="6"/>
      <c r="K262" s="6"/>
      <c r="L262" s="6"/>
      <c r="M262" s="6"/>
      <c r="N262" s="6"/>
      <c r="O262" s="16"/>
      <c r="P262" s="6"/>
      <c r="Q262" s="4"/>
      <c r="R262" s="4"/>
      <c r="S262" s="4"/>
      <c r="T262" s="4"/>
      <c r="U262" s="4"/>
      <c r="V262" s="4"/>
      <c r="W262" s="4"/>
      <c r="X262" s="4"/>
      <c r="Y262" s="4"/>
      <c r="Z262" s="4"/>
      <c r="AA262" s="4"/>
    </row>
    <row r="263" spans="1:27" ht="12.75" x14ac:dyDescent="0.2">
      <c r="A263" s="16"/>
      <c r="B263" s="6"/>
      <c r="C263" s="6"/>
      <c r="D263" s="6"/>
      <c r="E263" s="4"/>
      <c r="F263" s="6"/>
      <c r="G263" s="6"/>
      <c r="H263" s="6"/>
      <c r="I263" s="6"/>
      <c r="J263" s="6"/>
      <c r="K263" s="6"/>
      <c r="L263" s="6"/>
      <c r="M263" s="6"/>
      <c r="N263" s="6"/>
      <c r="O263" s="16"/>
      <c r="P263" s="6"/>
      <c r="Q263" s="4"/>
      <c r="R263" s="4"/>
      <c r="S263" s="4"/>
      <c r="T263" s="4"/>
      <c r="U263" s="4"/>
      <c r="V263" s="4"/>
      <c r="W263" s="4"/>
      <c r="X263" s="4"/>
      <c r="Y263" s="4"/>
      <c r="Z263" s="4"/>
      <c r="AA263" s="4"/>
    </row>
    <row r="264" spans="1:27" ht="12.75" x14ac:dyDescent="0.2">
      <c r="A264" s="16"/>
      <c r="B264" s="6"/>
      <c r="C264" s="6"/>
      <c r="D264" s="6"/>
      <c r="E264" s="4"/>
      <c r="F264" s="6"/>
      <c r="G264" s="6"/>
      <c r="H264" s="6"/>
      <c r="I264" s="6"/>
      <c r="J264" s="6"/>
      <c r="K264" s="6"/>
      <c r="L264" s="6"/>
      <c r="M264" s="6"/>
      <c r="N264" s="6"/>
      <c r="O264" s="16"/>
      <c r="P264" s="6"/>
      <c r="Q264" s="4"/>
      <c r="R264" s="4"/>
      <c r="S264" s="4"/>
      <c r="T264" s="4"/>
      <c r="U264" s="4"/>
      <c r="V264" s="4"/>
      <c r="W264" s="4"/>
      <c r="X264" s="4"/>
      <c r="Y264" s="4"/>
      <c r="Z264" s="4"/>
      <c r="AA264" s="4"/>
    </row>
    <row r="265" spans="1:27" ht="12.75" x14ac:dyDescent="0.2">
      <c r="A265" s="16"/>
      <c r="B265" s="6"/>
      <c r="C265" s="6"/>
      <c r="D265" s="6"/>
      <c r="E265" s="4"/>
      <c r="F265" s="6"/>
      <c r="G265" s="6"/>
      <c r="H265" s="6"/>
      <c r="I265" s="6"/>
      <c r="J265" s="6"/>
      <c r="K265" s="6"/>
      <c r="L265" s="6"/>
      <c r="M265" s="6"/>
      <c r="N265" s="6"/>
      <c r="O265" s="16"/>
      <c r="P265" s="6"/>
      <c r="Q265" s="4"/>
      <c r="R265" s="4"/>
      <c r="S265" s="4"/>
      <c r="T265" s="4"/>
      <c r="U265" s="4"/>
      <c r="V265" s="4"/>
      <c r="W265" s="4"/>
      <c r="X265" s="4"/>
      <c r="Y265" s="4"/>
      <c r="Z265" s="4"/>
      <c r="AA265" s="4"/>
    </row>
    <row r="266" spans="1:27" ht="12.75" x14ac:dyDescent="0.2">
      <c r="A266" s="16"/>
      <c r="B266" s="6"/>
      <c r="C266" s="6"/>
      <c r="D266" s="6"/>
      <c r="E266" s="4"/>
      <c r="F266" s="6"/>
      <c r="G266" s="6"/>
      <c r="H266" s="6"/>
      <c r="I266" s="6"/>
      <c r="J266" s="6"/>
      <c r="K266" s="6"/>
      <c r="L266" s="6"/>
      <c r="M266" s="6"/>
      <c r="N266" s="6"/>
      <c r="O266" s="16"/>
      <c r="P266" s="6"/>
      <c r="Q266" s="4"/>
      <c r="R266" s="4"/>
      <c r="S266" s="4"/>
      <c r="T266" s="4"/>
      <c r="U266" s="4"/>
      <c r="V266" s="4"/>
      <c r="W266" s="4"/>
      <c r="X266" s="4"/>
      <c r="Y266" s="4"/>
      <c r="Z266" s="4"/>
      <c r="AA266" s="4"/>
    </row>
    <row r="267" spans="1:27" ht="12.75" x14ac:dyDescent="0.2">
      <c r="A267" s="16"/>
      <c r="B267" s="6"/>
      <c r="C267" s="6"/>
      <c r="D267" s="6"/>
      <c r="E267" s="4"/>
      <c r="F267" s="6"/>
      <c r="G267" s="6"/>
      <c r="H267" s="6"/>
      <c r="I267" s="6"/>
      <c r="J267" s="6"/>
      <c r="K267" s="6"/>
      <c r="L267" s="6"/>
      <c r="M267" s="6"/>
      <c r="N267" s="6"/>
      <c r="O267" s="16"/>
      <c r="P267" s="6"/>
      <c r="Q267" s="4"/>
      <c r="R267" s="4"/>
      <c r="S267" s="4"/>
      <c r="T267" s="4"/>
      <c r="U267" s="4"/>
      <c r="V267" s="4"/>
      <c r="W267" s="4"/>
      <c r="X267" s="4"/>
      <c r="Y267" s="4"/>
      <c r="Z267" s="4"/>
      <c r="AA267" s="4"/>
    </row>
    <row r="268" spans="1:27" ht="12.75" x14ac:dyDescent="0.2">
      <c r="A268" s="16"/>
      <c r="B268" s="6"/>
      <c r="C268" s="6"/>
      <c r="D268" s="6"/>
      <c r="E268" s="4"/>
      <c r="F268" s="6"/>
      <c r="G268" s="6"/>
      <c r="H268" s="6"/>
      <c r="I268" s="6"/>
      <c r="J268" s="6"/>
      <c r="K268" s="6"/>
      <c r="L268" s="6"/>
      <c r="M268" s="6"/>
      <c r="N268" s="6"/>
      <c r="O268" s="16"/>
      <c r="P268" s="6"/>
      <c r="Q268" s="4"/>
      <c r="R268" s="4"/>
      <c r="S268" s="4"/>
      <c r="T268" s="4"/>
      <c r="U268" s="4"/>
      <c r="V268" s="4"/>
      <c r="W268" s="4"/>
      <c r="X268" s="4"/>
      <c r="Y268" s="4"/>
      <c r="Z268" s="4"/>
      <c r="AA268" s="4"/>
    </row>
    <row r="269" spans="1:27" ht="12.75" x14ac:dyDescent="0.2">
      <c r="A269" s="16"/>
      <c r="B269" s="6"/>
      <c r="C269" s="6"/>
      <c r="D269" s="6"/>
      <c r="E269" s="4"/>
      <c r="F269" s="6"/>
      <c r="G269" s="6"/>
      <c r="H269" s="6"/>
      <c r="I269" s="6"/>
      <c r="J269" s="6"/>
      <c r="K269" s="6"/>
      <c r="L269" s="6"/>
      <c r="M269" s="6"/>
      <c r="N269" s="6"/>
      <c r="O269" s="16"/>
      <c r="P269" s="6"/>
      <c r="Q269" s="4"/>
      <c r="R269" s="4"/>
      <c r="S269" s="4"/>
      <c r="T269" s="4"/>
      <c r="U269" s="4"/>
      <c r="V269" s="4"/>
      <c r="W269" s="4"/>
      <c r="X269" s="4"/>
      <c r="Y269" s="4"/>
      <c r="Z269" s="4"/>
      <c r="AA269" s="4"/>
    </row>
    <row r="270" spans="1:27" ht="12.75" x14ac:dyDescent="0.2">
      <c r="A270" s="16"/>
      <c r="B270" s="6"/>
      <c r="C270" s="6"/>
      <c r="D270" s="6"/>
      <c r="E270" s="4"/>
      <c r="F270" s="6"/>
      <c r="G270" s="6"/>
      <c r="H270" s="6"/>
      <c r="I270" s="6"/>
      <c r="J270" s="6"/>
      <c r="K270" s="6"/>
      <c r="L270" s="6"/>
      <c r="M270" s="6"/>
      <c r="N270" s="6"/>
      <c r="O270" s="16"/>
      <c r="P270" s="6"/>
      <c r="Q270" s="4"/>
      <c r="R270" s="4"/>
      <c r="S270" s="4"/>
      <c r="T270" s="4"/>
      <c r="U270" s="4"/>
      <c r="V270" s="4"/>
      <c r="W270" s="4"/>
      <c r="X270" s="4"/>
      <c r="Y270" s="4"/>
      <c r="Z270" s="4"/>
      <c r="AA270" s="4"/>
    </row>
    <row r="271" spans="1:27" ht="12.75" x14ac:dyDescent="0.2">
      <c r="A271" s="16"/>
      <c r="B271" s="6"/>
      <c r="C271" s="6"/>
      <c r="D271" s="6"/>
      <c r="E271" s="4"/>
      <c r="F271" s="6"/>
      <c r="G271" s="6"/>
      <c r="H271" s="6"/>
      <c r="I271" s="6"/>
      <c r="J271" s="6"/>
      <c r="K271" s="6"/>
      <c r="L271" s="6"/>
      <c r="M271" s="6"/>
      <c r="N271" s="6"/>
      <c r="O271" s="16"/>
      <c r="P271" s="6"/>
      <c r="Q271" s="4"/>
      <c r="R271" s="4"/>
      <c r="S271" s="4"/>
      <c r="T271" s="4"/>
      <c r="U271" s="4"/>
      <c r="V271" s="4"/>
      <c r="W271" s="4"/>
      <c r="X271" s="4"/>
      <c r="Y271" s="4"/>
      <c r="Z271" s="4"/>
      <c r="AA271" s="4"/>
    </row>
    <row r="272" spans="1:27" ht="12.75" x14ac:dyDescent="0.2">
      <c r="A272" s="16"/>
      <c r="B272" s="6"/>
      <c r="C272" s="6"/>
      <c r="D272" s="6"/>
      <c r="E272" s="4"/>
      <c r="F272" s="6"/>
      <c r="G272" s="6"/>
      <c r="H272" s="6"/>
      <c r="I272" s="6"/>
      <c r="J272" s="6"/>
      <c r="K272" s="6"/>
      <c r="L272" s="6"/>
      <c r="M272" s="6"/>
      <c r="N272" s="6"/>
      <c r="O272" s="16"/>
      <c r="P272" s="6"/>
      <c r="Q272" s="4"/>
      <c r="R272" s="4"/>
      <c r="S272" s="4"/>
      <c r="T272" s="4"/>
      <c r="U272" s="4"/>
      <c r="V272" s="4"/>
      <c r="W272" s="4"/>
      <c r="X272" s="4"/>
      <c r="Y272" s="4"/>
      <c r="Z272" s="4"/>
      <c r="AA272" s="4"/>
    </row>
    <row r="273" spans="1:27" ht="12.75" x14ac:dyDescent="0.2">
      <c r="A273" s="16"/>
      <c r="B273" s="6"/>
      <c r="C273" s="6"/>
      <c r="D273" s="6"/>
      <c r="E273" s="4"/>
      <c r="F273" s="6"/>
      <c r="G273" s="6"/>
      <c r="H273" s="6"/>
      <c r="I273" s="6"/>
      <c r="J273" s="6"/>
      <c r="K273" s="6"/>
      <c r="L273" s="6"/>
      <c r="M273" s="6"/>
      <c r="N273" s="6"/>
      <c r="O273" s="16"/>
      <c r="P273" s="6"/>
      <c r="Q273" s="4"/>
      <c r="R273" s="4"/>
      <c r="S273" s="4"/>
      <c r="T273" s="4"/>
      <c r="U273" s="4"/>
      <c r="V273" s="4"/>
      <c r="W273" s="4"/>
      <c r="X273" s="4"/>
      <c r="Y273" s="4"/>
      <c r="Z273" s="4"/>
      <c r="AA273" s="4"/>
    </row>
    <row r="274" spans="1:27" ht="12.75" x14ac:dyDescent="0.2">
      <c r="A274" s="16"/>
      <c r="B274" s="6"/>
      <c r="C274" s="6"/>
      <c r="D274" s="6"/>
      <c r="E274" s="4"/>
      <c r="F274" s="6"/>
      <c r="G274" s="6"/>
      <c r="H274" s="6"/>
      <c r="I274" s="6"/>
      <c r="J274" s="6"/>
      <c r="K274" s="6"/>
      <c r="L274" s="6"/>
      <c r="M274" s="6"/>
      <c r="N274" s="6"/>
      <c r="O274" s="16"/>
      <c r="P274" s="6"/>
      <c r="Q274" s="4"/>
      <c r="R274" s="4"/>
      <c r="S274" s="4"/>
      <c r="T274" s="4"/>
      <c r="U274" s="4"/>
      <c r="V274" s="4"/>
      <c r="W274" s="4"/>
      <c r="X274" s="4"/>
      <c r="Y274" s="4"/>
      <c r="Z274" s="4"/>
      <c r="AA274" s="4"/>
    </row>
    <row r="275" spans="1:27" ht="12.75" x14ac:dyDescent="0.2">
      <c r="A275" s="16"/>
      <c r="B275" s="6"/>
      <c r="C275" s="6"/>
      <c r="D275" s="6"/>
      <c r="E275" s="4"/>
      <c r="F275" s="6"/>
      <c r="G275" s="6"/>
      <c r="H275" s="6"/>
      <c r="I275" s="6"/>
      <c r="J275" s="6"/>
      <c r="K275" s="6"/>
      <c r="L275" s="6"/>
      <c r="M275" s="6"/>
      <c r="N275" s="6"/>
      <c r="O275" s="16"/>
      <c r="P275" s="6"/>
      <c r="Q275" s="4"/>
      <c r="R275" s="4"/>
      <c r="S275" s="4"/>
      <c r="T275" s="4"/>
      <c r="U275" s="4"/>
      <c r="V275" s="4"/>
      <c r="W275" s="4"/>
      <c r="X275" s="4"/>
      <c r="Y275" s="4"/>
      <c r="Z275" s="4"/>
      <c r="AA275" s="4"/>
    </row>
    <row r="276" spans="1:27" ht="12.75" x14ac:dyDescent="0.2">
      <c r="A276" s="16"/>
      <c r="B276" s="6"/>
      <c r="C276" s="6"/>
      <c r="D276" s="6"/>
      <c r="E276" s="4"/>
      <c r="F276" s="6"/>
      <c r="G276" s="6"/>
      <c r="H276" s="6"/>
      <c r="I276" s="6"/>
      <c r="J276" s="6"/>
      <c r="K276" s="6"/>
      <c r="L276" s="6"/>
      <c r="M276" s="6"/>
      <c r="N276" s="6"/>
      <c r="O276" s="16"/>
      <c r="P276" s="6"/>
      <c r="Q276" s="4"/>
      <c r="R276" s="4"/>
      <c r="S276" s="4"/>
      <c r="T276" s="4"/>
      <c r="U276" s="4"/>
      <c r="V276" s="4"/>
      <c r="W276" s="4"/>
      <c r="X276" s="4"/>
      <c r="Y276" s="4"/>
      <c r="Z276" s="4"/>
      <c r="AA276" s="4"/>
    </row>
    <row r="277" spans="1:27" ht="12.75" x14ac:dyDescent="0.2">
      <c r="A277" s="16"/>
      <c r="B277" s="6"/>
      <c r="C277" s="6"/>
      <c r="D277" s="6"/>
      <c r="E277" s="4"/>
      <c r="F277" s="6"/>
      <c r="G277" s="6"/>
      <c r="H277" s="6"/>
      <c r="I277" s="6"/>
      <c r="J277" s="6"/>
      <c r="K277" s="6"/>
      <c r="L277" s="6"/>
      <c r="M277" s="6"/>
      <c r="N277" s="6"/>
      <c r="O277" s="16"/>
      <c r="P277" s="6"/>
      <c r="Q277" s="4"/>
      <c r="R277" s="4"/>
      <c r="S277" s="4"/>
      <c r="T277" s="4"/>
      <c r="U277" s="4"/>
      <c r="V277" s="4"/>
      <c r="W277" s="4"/>
      <c r="X277" s="4"/>
      <c r="Y277" s="4"/>
      <c r="Z277" s="4"/>
      <c r="AA277" s="4"/>
    </row>
    <row r="278" spans="1:27" ht="12.75" x14ac:dyDescent="0.2">
      <c r="A278" s="16"/>
      <c r="B278" s="6"/>
      <c r="C278" s="6"/>
      <c r="D278" s="6"/>
      <c r="E278" s="4"/>
      <c r="F278" s="6"/>
      <c r="G278" s="6"/>
      <c r="H278" s="6"/>
      <c r="I278" s="6"/>
      <c r="J278" s="6"/>
      <c r="K278" s="6"/>
      <c r="L278" s="6"/>
      <c r="M278" s="6"/>
      <c r="N278" s="6"/>
      <c r="O278" s="16"/>
      <c r="P278" s="6"/>
      <c r="Q278" s="4"/>
      <c r="R278" s="4"/>
      <c r="S278" s="4"/>
      <c r="T278" s="4"/>
      <c r="U278" s="4"/>
      <c r="V278" s="4"/>
      <c r="W278" s="4"/>
      <c r="X278" s="4"/>
      <c r="Y278" s="4"/>
      <c r="Z278" s="4"/>
      <c r="AA278" s="4"/>
    </row>
    <row r="279" spans="1:27" ht="12.75" x14ac:dyDescent="0.2">
      <c r="A279" s="16"/>
      <c r="B279" s="6"/>
      <c r="C279" s="6"/>
      <c r="D279" s="6"/>
      <c r="E279" s="4"/>
      <c r="F279" s="6"/>
      <c r="G279" s="6"/>
      <c r="H279" s="6"/>
      <c r="I279" s="6"/>
      <c r="J279" s="6"/>
      <c r="K279" s="6"/>
      <c r="L279" s="6"/>
      <c r="M279" s="6"/>
      <c r="N279" s="6"/>
      <c r="O279" s="16"/>
      <c r="P279" s="6"/>
      <c r="Q279" s="4"/>
      <c r="R279" s="4"/>
      <c r="S279" s="4"/>
      <c r="T279" s="4"/>
      <c r="U279" s="4"/>
      <c r="V279" s="4"/>
      <c r="W279" s="4"/>
      <c r="X279" s="4"/>
      <c r="Y279" s="4"/>
      <c r="Z279" s="4"/>
      <c r="AA279" s="4"/>
    </row>
    <row r="280" spans="1:27" ht="12.75" x14ac:dyDescent="0.2">
      <c r="A280" s="16"/>
      <c r="B280" s="6"/>
      <c r="C280" s="6"/>
      <c r="D280" s="6"/>
      <c r="E280" s="4"/>
      <c r="F280" s="6"/>
      <c r="G280" s="6"/>
      <c r="H280" s="6"/>
      <c r="I280" s="6"/>
      <c r="J280" s="6"/>
      <c r="K280" s="6"/>
      <c r="L280" s="6"/>
      <c r="M280" s="6"/>
      <c r="N280" s="6"/>
      <c r="O280" s="16"/>
      <c r="P280" s="6"/>
      <c r="Q280" s="4"/>
      <c r="R280" s="4"/>
      <c r="S280" s="4"/>
      <c r="T280" s="4"/>
      <c r="U280" s="4"/>
      <c r="V280" s="4"/>
      <c r="W280" s="4"/>
      <c r="X280" s="4"/>
      <c r="Y280" s="4"/>
      <c r="Z280" s="4"/>
      <c r="AA280" s="4"/>
    </row>
    <row r="281" spans="1:27" ht="12.75" x14ac:dyDescent="0.2">
      <c r="A281" s="16"/>
      <c r="B281" s="6"/>
      <c r="C281" s="6"/>
      <c r="D281" s="6"/>
      <c r="E281" s="4"/>
      <c r="F281" s="6"/>
      <c r="G281" s="6"/>
      <c r="H281" s="6"/>
      <c r="I281" s="6"/>
      <c r="J281" s="6"/>
      <c r="K281" s="6"/>
      <c r="L281" s="6"/>
      <c r="M281" s="6"/>
      <c r="N281" s="6"/>
      <c r="O281" s="16"/>
      <c r="P281" s="6"/>
      <c r="Q281" s="4"/>
      <c r="R281" s="4"/>
      <c r="S281" s="4"/>
      <c r="T281" s="4"/>
      <c r="U281" s="4"/>
      <c r="V281" s="4"/>
      <c r="W281" s="4"/>
      <c r="X281" s="4"/>
      <c r="Y281" s="4"/>
      <c r="Z281" s="4"/>
      <c r="AA281" s="4"/>
    </row>
    <row r="282" spans="1:27" ht="12.75" x14ac:dyDescent="0.2">
      <c r="A282" s="16"/>
      <c r="B282" s="6"/>
      <c r="C282" s="6"/>
      <c r="D282" s="6"/>
      <c r="E282" s="4"/>
      <c r="F282" s="6"/>
      <c r="G282" s="6"/>
      <c r="H282" s="6"/>
      <c r="I282" s="6"/>
      <c r="J282" s="6"/>
      <c r="K282" s="6"/>
      <c r="L282" s="6"/>
      <c r="M282" s="6"/>
      <c r="N282" s="6"/>
      <c r="O282" s="16"/>
      <c r="P282" s="6"/>
      <c r="Q282" s="4"/>
      <c r="R282" s="4"/>
      <c r="S282" s="4"/>
      <c r="T282" s="4"/>
      <c r="U282" s="4"/>
      <c r="V282" s="4"/>
      <c r="W282" s="4"/>
      <c r="X282" s="4"/>
      <c r="Y282" s="4"/>
      <c r="Z282" s="4"/>
      <c r="AA282" s="4"/>
    </row>
    <row r="283" spans="1:27" ht="12.75" x14ac:dyDescent="0.2">
      <c r="A283" s="16"/>
      <c r="B283" s="6"/>
      <c r="C283" s="6"/>
      <c r="D283" s="6"/>
      <c r="E283" s="4"/>
      <c r="F283" s="6"/>
      <c r="G283" s="6"/>
      <c r="H283" s="6"/>
      <c r="I283" s="6"/>
      <c r="J283" s="6"/>
      <c r="K283" s="6"/>
      <c r="L283" s="6"/>
      <c r="M283" s="6"/>
      <c r="N283" s="6"/>
      <c r="O283" s="16"/>
      <c r="P283" s="6"/>
      <c r="Q283" s="4"/>
      <c r="R283" s="4"/>
      <c r="S283" s="4"/>
      <c r="T283" s="4"/>
      <c r="U283" s="4"/>
      <c r="V283" s="4"/>
      <c r="W283" s="4"/>
      <c r="X283" s="4"/>
      <c r="Y283" s="4"/>
      <c r="Z283" s="4"/>
      <c r="AA283" s="4"/>
    </row>
    <row r="284" spans="1:27" ht="12.75" x14ac:dyDescent="0.2">
      <c r="A284" s="16"/>
      <c r="B284" s="6"/>
      <c r="C284" s="6"/>
      <c r="D284" s="6"/>
      <c r="E284" s="4"/>
      <c r="F284" s="6"/>
      <c r="G284" s="6"/>
      <c r="H284" s="6"/>
      <c r="I284" s="6"/>
      <c r="J284" s="6"/>
      <c r="K284" s="6"/>
      <c r="L284" s="6"/>
      <c r="M284" s="6"/>
      <c r="N284" s="6"/>
      <c r="O284" s="16"/>
      <c r="P284" s="6"/>
      <c r="Q284" s="4"/>
      <c r="R284" s="4"/>
      <c r="S284" s="4"/>
      <c r="T284" s="4"/>
      <c r="U284" s="4"/>
      <c r="V284" s="4"/>
      <c r="W284" s="4"/>
      <c r="X284" s="4"/>
      <c r="Y284" s="4"/>
      <c r="Z284" s="4"/>
      <c r="AA284" s="4"/>
    </row>
    <row r="285" spans="1:27" ht="12.75" x14ac:dyDescent="0.2">
      <c r="A285" s="16"/>
      <c r="B285" s="6"/>
      <c r="C285" s="6"/>
      <c r="D285" s="6"/>
      <c r="E285" s="4"/>
      <c r="F285" s="6"/>
      <c r="G285" s="6"/>
      <c r="H285" s="6"/>
      <c r="I285" s="6"/>
      <c r="J285" s="6"/>
      <c r="K285" s="6"/>
      <c r="L285" s="6"/>
      <c r="M285" s="6"/>
      <c r="N285" s="6"/>
      <c r="O285" s="16"/>
      <c r="P285" s="6"/>
      <c r="Q285" s="4"/>
      <c r="R285" s="4"/>
      <c r="S285" s="4"/>
      <c r="T285" s="4"/>
      <c r="U285" s="4"/>
      <c r="V285" s="4"/>
      <c r="W285" s="4"/>
      <c r="X285" s="4"/>
      <c r="Y285" s="4"/>
      <c r="Z285" s="4"/>
      <c r="AA285" s="4"/>
    </row>
    <row r="286" spans="1:27" ht="12.75" x14ac:dyDescent="0.2">
      <c r="A286" s="16"/>
      <c r="B286" s="6"/>
      <c r="C286" s="6"/>
      <c r="D286" s="6"/>
      <c r="E286" s="4"/>
      <c r="F286" s="6"/>
      <c r="G286" s="6"/>
      <c r="H286" s="6"/>
      <c r="I286" s="6"/>
      <c r="J286" s="6"/>
      <c r="K286" s="6"/>
      <c r="L286" s="6"/>
      <c r="M286" s="6"/>
      <c r="N286" s="6"/>
      <c r="O286" s="16"/>
      <c r="P286" s="6"/>
      <c r="Q286" s="4"/>
      <c r="R286" s="4"/>
      <c r="S286" s="4"/>
      <c r="T286" s="4"/>
      <c r="U286" s="4"/>
      <c r="V286" s="4"/>
      <c r="W286" s="4"/>
      <c r="X286" s="4"/>
      <c r="Y286" s="4"/>
      <c r="Z286" s="4"/>
      <c r="AA286" s="4"/>
    </row>
    <row r="287" spans="1:27" ht="12.75" x14ac:dyDescent="0.2">
      <c r="A287" s="16"/>
      <c r="B287" s="6"/>
      <c r="C287" s="6"/>
      <c r="D287" s="6"/>
      <c r="E287" s="4"/>
      <c r="F287" s="6"/>
      <c r="G287" s="6"/>
      <c r="H287" s="6"/>
      <c r="I287" s="6"/>
      <c r="J287" s="6"/>
      <c r="K287" s="6"/>
      <c r="L287" s="6"/>
      <c r="M287" s="6"/>
      <c r="N287" s="6"/>
      <c r="O287" s="16"/>
      <c r="P287" s="6"/>
      <c r="Q287" s="4"/>
      <c r="R287" s="4"/>
      <c r="S287" s="4"/>
      <c r="T287" s="4"/>
      <c r="U287" s="4"/>
      <c r="V287" s="4"/>
      <c r="W287" s="4"/>
      <c r="X287" s="4"/>
      <c r="Y287" s="4"/>
      <c r="Z287" s="4"/>
      <c r="AA287" s="4"/>
    </row>
    <row r="288" spans="1:27" ht="12.75" x14ac:dyDescent="0.2">
      <c r="A288" s="16"/>
      <c r="B288" s="6"/>
      <c r="C288" s="6"/>
      <c r="D288" s="6"/>
      <c r="E288" s="4"/>
      <c r="F288" s="6"/>
      <c r="G288" s="6"/>
      <c r="H288" s="6"/>
      <c r="I288" s="6"/>
      <c r="J288" s="6"/>
      <c r="K288" s="6"/>
      <c r="L288" s="6"/>
      <c r="M288" s="6"/>
      <c r="N288" s="6"/>
      <c r="O288" s="16"/>
      <c r="P288" s="6"/>
      <c r="Q288" s="4"/>
      <c r="R288" s="4"/>
      <c r="S288" s="4"/>
      <c r="T288" s="4"/>
      <c r="U288" s="4"/>
      <c r="V288" s="4"/>
      <c r="W288" s="4"/>
      <c r="X288" s="4"/>
      <c r="Y288" s="4"/>
      <c r="Z288" s="4"/>
      <c r="AA288" s="4"/>
    </row>
    <row r="289" spans="1:27" ht="12.75" x14ac:dyDescent="0.2">
      <c r="A289" s="16"/>
      <c r="B289" s="6"/>
      <c r="C289" s="6"/>
      <c r="D289" s="6"/>
      <c r="E289" s="4"/>
      <c r="F289" s="6"/>
      <c r="G289" s="6"/>
      <c r="H289" s="6"/>
      <c r="I289" s="6"/>
      <c r="J289" s="6"/>
      <c r="K289" s="6"/>
      <c r="L289" s="6"/>
      <c r="M289" s="6"/>
      <c r="N289" s="6"/>
      <c r="O289" s="16"/>
      <c r="P289" s="6"/>
      <c r="Q289" s="4"/>
      <c r="R289" s="4"/>
      <c r="S289" s="4"/>
      <c r="T289" s="4"/>
      <c r="U289" s="4"/>
      <c r="V289" s="4"/>
      <c r="W289" s="4"/>
      <c r="X289" s="4"/>
      <c r="Y289" s="4"/>
      <c r="Z289" s="4"/>
      <c r="AA289" s="4"/>
    </row>
    <row r="290" spans="1:27" ht="12.75" x14ac:dyDescent="0.2">
      <c r="A290" s="16"/>
      <c r="B290" s="6"/>
      <c r="C290" s="6"/>
      <c r="D290" s="6"/>
      <c r="E290" s="4"/>
      <c r="F290" s="6"/>
      <c r="G290" s="6"/>
      <c r="H290" s="6"/>
      <c r="I290" s="6"/>
      <c r="J290" s="6"/>
      <c r="K290" s="6"/>
      <c r="L290" s="6"/>
      <c r="M290" s="6"/>
      <c r="N290" s="6"/>
      <c r="O290" s="16"/>
      <c r="P290" s="6"/>
      <c r="Q290" s="4"/>
      <c r="R290" s="4"/>
      <c r="S290" s="4"/>
      <c r="T290" s="4"/>
      <c r="U290" s="4"/>
      <c r="V290" s="4"/>
      <c r="W290" s="4"/>
      <c r="X290" s="4"/>
      <c r="Y290" s="4"/>
      <c r="Z290" s="4"/>
      <c r="AA290" s="4"/>
    </row>
    <row r="291" spans="1:27" ht="12.75" x14ac:dyDescent="0.2">
      <c r="A291" s="16"/>
      <c r="B291" s="6"/>
      <c r="C291" s="6"/>
      <c r="D291" s="6"/>
      <c r="E291" s="4"/>
      <c r="F291" s="6"/>
      <c r="G291" s="6"/>
      <c r="H291" s="6"/>
      <c r="I291" s="6"/>
      <c r="J291" s="6"/>
      <c r="K291" s="6"/>
      <c r="L291" s="6"/>
      <c r="M291" s="6"/>
      <c r="N291" s="6"/>
      <c r="O291" s="16"/>
      <c r="P291" s="6"/>
      <c r="Q291" s="4"/>
      <c r="R291" s="4"/>
      <c r="S291" s="4"/>
      <c r="T291" s="4"/>
      <c r="U291" s="4"/>
      <c r="V291" s="4"/>
      <c r="W291" s="4"/>
      <c r="X291" s="4"/>
      <c r="Y291" s="4"/>
      <c r="Z291" s="4"/>
      <c r="AA291" s="4"/>
    </row>
    <row r="292" spans="1:27" ht="12.75" x14ac:dyDescent="0.2">
      <c r="A292" s="16"/>
      <c r="B292" s="6"/>
      <c r="C292" s="6"/>
      <c r="D292" s="6"/>
      <c r="E292" s="4"/>
      <c r="F292" s="6"/>
      <c r="G292" s="6"/>
      <c r="H292" s="6"/>
      <c r="I292" s="6"/>
      <c r="J292" s="6"/>
      <c r="K292" s="6"/>
      <c r="L292" s="6"/>
      <c r="M292" s="6"/>
      <c r="N292" s="6"/>
      <c r="O292" s="16"/>
      <c r="P292" s="6"/>
      <c r="Q292" s="4"/>
      <c r="R292" s="4"/>
      <c r="S292" s="4"/>
      <c r="T292" s="4"/>
      <c r="U292" s="4"/>
      <c r="V292" s="4"/>
      <c r="W292" s="4"/>
      <c r="X292" s="4"/>
      <c r="Y292" s="4"/>
      <c r="Z292" s="4"/>
      <c r="AA292" s="4"/>
    </row>
    <row r="293" spans="1:27" ht="12.75" x14ac:dyDescent="0.2">
      <c r="A293" s="16"/>
      <c r="B293" s="6"/>
      <c r="C293" s="6"/>
      <c r="D293" s="6"/>
      <c r="E293" s="4"/>
      <c r="F293" s="6"/>
      <c r="G293" s="6"/>
      <c r="H293" s="6"/>
      <c r="I293" s="6"/>
      <c r="J293" s="6"/>
      <c r="K293" s="6"/>
      <c r="L293" s="6"/>
      <c r="M293" s="6"/>
      <c r="N293" s="6"/>
      <c r="O293" s="16"/>
      <c r="P293" s="6"/>
      <c r="Q293" s="4"/>
      <c r="R293" s="4"/>
      <c r="S293" s="4"/>
      <c r="T293" s="4"/>
      <c r="U293" s="4"/>
      <c r="V293" s="4"/>
      <c r="W293" s="4"/>
      <c r="X293" s="4"/>
      <c r="Y293" s="4"/>
      <c r="Z293" s="4"/>
      <c r="AA293" s="4"/>
    </row>
    <row r="294" spans="1:27" ht="12.75" x14ac:dyDescent="0.2">
      <c r="A294" s="16"/>
      <c r="B294" s="6"/>
      <c r="C294" s="6"/>
      <c r="D294" s="6"/>
      <c r="E294" s="4"/>
      <c r="F294" s="6"/>
      <c r="G294" s="6"/>
      <c r="H294" s="6"/>
      <c r="I294" s="6"/>
      <c r="J294" s="6"/>
      <c r="K294" s="6"/>
      <c r="L294" s="6"/>
      <c r="M294" s="6"/>
      <c r="N294" s="6"/>
      <c r="O294" s="16"/>
      <c r="P294" s="6"/>
      <c r="Q294" s="4"/>
      <c r="R294" s="4"/>
      <c r="S294" s="4"/>
      <c r="T294" s="4"/>
      <c r="U294" s="4"/>
      <c r="V294" s="4"/>
      <c r="W294" s="4"/>
      <c r="X294" s="4"/>
      <c r="Y294" s="4"/>
      <c r="Z294" s="4"/>
      <c r="AA294" s="4"/>
    </row>
    <row r="295" spans="1:27" ht="12.75" x14ac:dyDescent="0.2">
      <c r="A295" s="16"/>
      <c r="B295" s="6"/>
      <c r="C295" s="6"/>
      <c r="D295" s="6"/>
      <c r="E295" s="4"/>
      <c r="F295" s="6"/>
      <c r="G295" s="6"/>
      <c r="H295" s="6"/>
      <c r="I295" s="6"/>
      <c r="J295" s="6"/>
      <c r="K295" s="6"/>
      <c r="L295" s="6"/>
      <c r="M295" s="6"/>
      <c r="N295" s="6"/>
      <c r="O295" s="16"/>
      <c r="P295" s="6"/>
      <c r="Q295" s="4"/>
      <c r="R295" s="4"/>
      <c r="S295" s="4"/>
      <c r="T295" s="4"/>
      <c r="U295" s="4"/>
      <c r="V295" s="4"/>
      <c r="W295" s="4"/>
      <c r="X295" s="4"/>
      <c r="Y295" s="4"/>
      <c r="Z295" s="4"/>
      <c r="AA295" s="4"/>
    </row>
    <row r="296" spans="1:27" ht="12.75" x14ac:dyDescent="0.2">
      <c r="A296" s="16"/>
      <c r="B296" s="6"/>
      <c r="C296" s="6"/>
      <c r="D296" s="6"/>
      <c r="E296" s="4"/>
      <c r="F296" s="6"/>
      <c r="G296" s="6"/>
      <c r="H296" s="6"/>
      <c r="I296" s="6"/>
      <c r="J296" s="6"/>
      <c r="K296" s="6"/>
      <c r="L296" s="6"/>
      <c r="M296" s="6"/>
      <c r="N296" s="6"/>
      <c r="O296" s="16"/>
      <c r="P296" s="6"/>
      <c r="Q296" s="4"/>
      <c r="R296" s="4"/>
      <c r="S296" s="4"/>
      <c r="T296" s="4"/>
      <c r="U296" s="4"/>
      <c r="V296" s="4"/>
      <c r="W296" s="4"/>
      <c r="X296" s="4"/>
      <c r="Y296" s="4"/>
      <c r="Z296" s="4"/>
      <c r="AA296" s="4"/>
    </row>
    <row r="297" spans="1:27" ht="12.75" x14ac:dyDescent="0.2">
      <c r="A297" s="16"/>
      <c r="B297" s="6"/>
      <c r="C297" s="6"/>
      <c r="D297" s="6"/>
      <c r="E297" s="4"/>
      <c r="F297" s="6"/>
      <c r="G297" s="6"/>
      <c r="H297" s="6"/>
      <c r="I297" s="6"/>
      <c r="J297" s="6"/>
      <c r="K297" s="6"/>
      <c r="L297" s="6"/>
      <c r="M297" s="6"/>
      <c r="N297" s="6"/>
      <c r="O297" s="16"/>
      <c r="P297" s="6"/>
      <c r="Q297" s="4"/>
      <c r="R297" s="4"/>
      <c r="S297" s="4"/>
      <c r="T297" s="4"/>
      <c r="U297" s="4"/>
      <c r="V297" s="4"/>
      <c r="W297" s="4"/>
      <c r="X297" s="4"/>
      <c r="Y297" s="4"/>
      <c r="Z297" s="4"/>
      <c r="AA297" s="4"/>
    </row>
    <row r="298" spans="1:27" ht="12.75" x14ac:dyDescent="0.2">
      <c r="A298" s="16"/>
      <c r="B298" s="6"/>
      <c r="C298" s="6"/>
      <c r="D298" s="6"/>
      <c r="E298" s="4"/>
      <c r="F298" s="6"/>
      <c r="G298" s="6"/>
      <c r="H298" s="6"/>
      <c r="I298" s="6"/>
      <c r="J298" s="6"/>
      <c r="K298" s="6"/>
      <c r="L298" s="6"/>
      <c r="M298" s="6"/>
      <c r="N298" s="6"/>
      <c r="O298" s="16"/>
      <c r="P298" s="6"/>
      <c r="Q298" s="4"/>
      <c r="R298" s="4"/>
      <c r="S298" s="4"/>
      <c r="T298" s="4"/>
      <c r="U298" s="4"/>
      <c r="V298" s="4"/>
      <c r="W298" s="4"/>
      <c r="X298" s="4"/>
      <c r="Y298" s="4"/>
      <c r="Z298" s="4"/>
      <c r="AA298" s="4"/>
    </row>
    <row r="299" spans="1:27" ht="12.75" x14ac:dyDescent="0.2">
      <c r="A299" s="16"/>
      <c r="B299" s="6"/>
      <c r="C299" s="6"/>
      <c r="D299" s="6"/>
      <c r="E299" s="4"/>
      <c r="F299" s="6"/>
      <c r="G299" s="6"/>
      <c r="H299" s="6"/>
      <c r="I299" s="6"/>
      <c r="J299" s="6"/>
      <c r="K299" s="6"/>
      <c r="L299" s="6"/>
      <c r="M299" s="6"/>
      <c r="N299" s="6"/>
      <c r="O299" s="16"/>
      <c r="P299" s="6"/>
      <c r="Q299" s="4"/>
      <c r="R299" s="4"/>
      <c r="S299" s="4"/>
      <c r="T299" s="4"/>
      <c r="U299" s="4"/>
      <c r="V299" s="4"/>
      <c r="W299" s="4"/>
      <c r="X299" s="4"/>
      <c r="Y299" s="4"/>
      <c r="Z299" s="4"/>
      <c r="AA299" s="4"/>
    </row>
    <row r="300" spans="1:27" ht="12.75" x14ac:dyDescent="0.2">
      <c r="A300" s="16"/>
      <c r="B300" s="6"/>
      <c r="C300" s="6"/>
      <c r="D300" s="6"/>
      <c r="E300" s="4"/>
      <c r="F300" s="6"/>
      <c r="G300" s="6"/>
      <c r="H300" s="6"/>
      <c r="I300" s="6"/>
      <c r="J300" s="6"/>
      <c r="K300" s="6"/>
      <c r="L300" s="6"/>
      <c r="M300" s="6"/>
      <c r="N300" s="6"/>
      <c r="O300" s="16"/>
      <c r="P300" s="6"/>
      <c r="Q300" s="4"/>
      <c r="R300" s="4"/>
      <c r="S300" s="4"/>
      <c r="T300" s="4"/>
      <c r="U300" s="4"/>
      <c r="V300" s="4"/>
      <c r="W300" s="4"/>
      <c r="X300" s="4"/>
      <c r="Y300" s="4"/>
      <c r="Z300" s="4"/>
      <c r="AA300" s="4"/>
    </row>
    <row r="301" spans="1:27" ht="12.75" x14ac:dyDescent="0.2">
      <c r="A301" s="16"/>
      <c r="B301" s="6"/>
      <c r="C301" s="6"/>
      <c r="D301" s="6"/>
      <c r="E301" s="4"/>
      <c r="F301" s="6"/>
      <c r="G301" s="6"/>
      <c r="H301" s="6"/>
      <c r="I301" s="6"/>
      <c r="J301" s="6"/>
      <c r="K301" s="6"/>
      <c r="L301" s="6"/>
      <c r="M301" s="6"/>
      <c r="N301" s="6"/>
      <c r="O301" s="16"/>
      <c r="P301" s="6"/>
      <c r="Q301" s="4"/>
      <c r="R301" s="4"/>
      <c r="S301" s="4"/>
      <c r="T301" s="4"/>
      <c r="U301" s="4"/>
      <c r="V301" s="4"/>
      <c r="W301" s="4"/>
      <c r="X301" s="4"/>
      <c r="Y301" s="4"/>
      <c r="Z301" s="4"/>
      <c r="AA301" s="4"/>
    </row>
    <row r="302" spans="1:27" ht="12.75" x14ac:dyDescent="0.2">
      <c r="A302" s="16"/>
      <c r="B302" s="6"/>
      <c r="C302" s="6"/>
      <c r="D302" s="6"/>
      <c r="E302" s="4"/>
      <c r="F302" s="6"/>
      <c r="G302" s="6"/>
      <c r="H302" s="6"/>
      <c r="I302" s="6"/>
      <c r="J302" s="6"/>
      <c r="K302" s="6"/>
      <c r="L302" s="6"/>
      <c r="M302" s="6"/>
      <c r="N302" s="6"/>
      <c r="O302" s="16"/>
      <c r="P302" s="6"/>
      <c r="Q302" s="4"/>
      <c r="R302" s="4"/>
      <c r="S302" s="4"/>
      <c r="T302" s="4"/>
      <c r="U302" s="4"/>
      <c r="V302" s="4"/>
      <c r="W302" s="4"/>
      <c r="X302" s="4"/>
      <c r="Y302" s="4"/>
      <c r="Z302" s="4"/>
      <c r="AA302" s="4"/>
    </row>
    <row r="303" spans="1:27" ht="12.75" x14ac:dyDescent="0.2">
      <c r="A303" s="16"/>
      <c r="B303" s="6"/>
      <c r="C303" s="6"/>
      <c r="D303" s="6"/>
      <c r="E303" s="4"/>
      <c r="F303" s="6"/>
      <c r="G303" s="6"/>
      <c r="H303" s="6"/>
      <c r="I303" s="6"/>
      <c r="J303" s="6"/>
      <c r="K303" s="6"/>
      <c r="L303" s="6"/>
      <c r="M303" s="6"/>
      <c r="N303" s="6"/>
      <c r="O303" s="16"/>
      <c r="P303" s="6"/>
      <c r="Q303" s="4"/>
      <c r="R303" s="4"/>
      <c r="S303" s="4"/>
      <c r="T303" s="4"/>
      <c r="U303" s="4"/>
      <c r="V303" s="4"/>
      <c r="W303" s="4"/>
      <c r="X303" s="4"/>
      <c r="Y303" s="4"/>
      <c r="Z303" s="4"/>
      <c r="AA303" s="4"/>
    </row>
    <row r="304" spans="1:27" ht="12.75" x14ac:dyDescent="0.2">
      <c r="A304" s="16"/>
      <c r="B304" s="6"/>
      <c r="C304" s="6"/>
      <c r="D304" s="6"/>
      <c r="E304" s="4"/>
      <c r="F304" s="6"/>
      <c r="G304" s="6"/>
      <c r="H304" s="6"/>
      <c r="I304" s="6"/>
      <c r="J304" s="6"/>
      <c r="K304" s="6"/>
      <c r="L304" s="6"/>
      <c r="M304" s="6"/>
      <c r="N304" s="6"/>
      <c r="O304" s="16"/>
      <c r="P304" s="6"/>
      <c r="Q304" s="4"/>
      <c r="R304" s="4"/>
      <c r="S304" s="4"/>
      <c r="T304" s="4"/>
      <c r="U304" s="4"/>
      <c r="V304" s="4"/>
      <c r="W304" s="4"/>
      <c r="X304" s="4"/>
      <c r="Y304" s="4"/>
      <c r="Z304" s="4"/>
      <c r="AA304" s="4"/>
    </row>
    <row r="305" spans="1:27" ht="12.75" x14ac:dyDescent="0.2">
      <c r="A305" s="16"/>
      <c r="B305" s="6"/>
      <c r="C305" s="6"/>
      <c r="D305" s="6"/>
      <c r="E305" s="4"/>
      <c r="F305" s="6"/>
      <c r="G305" s="6"/>
      <c r="H305" s="6"/>
      <c r="I305" s="6"/>
      <c r="J305" s="6"/>
      <c r="K305" s="6"/>
      <c r="L305" s="6"/>
      <c r="M305" s="6"/>
      <c r="N305" s="6"/>
      <c r="O305" s="16"/>
      <c r="P305" s="6"/>
      <c r="Q305" s="4"/>
      <c r="R305" s="4"/>
      <c r="S305" s="4"/>
      <c r="T305" s="4"/>
      <c r="U305" s="4"/>
      <c r="V305" s="4"/>
      <c r="W305" s="4"/>
      <c r="X305" s="4"/>
      <c r="Y305" s="4"/>
      <c r="Z305" s="4"/>
      <c r="AA305" s="4"/>
    </row>
    <row r="306" spans="1:27" ht="12.75" x14ac:dyDescent="0.2">
      <c r="A306" s="16"/>
      <c r="B306" s="6"/>
      <c r="C306" s="6"/>
      <c r="D306" s="6"/>
      <c r="E306" s="4"/>
      <c r="F306" s="6"/>
      <c r="G306" s="6"/>
      <c r="H306" s="6"/>
      <c r="I306" s="6"/>
      <c r="J306" s="6"/>
      <c r="K306" s="6"/>
      <c r="L306" s="6"/>
      <c r="M306" s="6"/>
      <c r="N306" s="6"/>
      <c r="O306" s="16"/>
      <c r="P306" s="6"/>
      <c r="Q306" s="4"/>
      <c r="R306" s="4"/>
      <c r="S306" s="4"/>
      <c r="T306" s="4"/>
      <c r="U306" s="4"/>
      <c r="V306" s="4"/>
      <c r="W306" s="4"/>
      <c r="X306" s="4"/>
      <c r="Y306" s="4"/>
      <c r="Z306" s="4"/>
      <c r="AA306" s="4"/>
    </row>
    <row r="307" spans="1:27" ht="12.75" x14ac:dyDescent="0.2">
      <c r="A307" s="16"/>
      <c r="B307" s="6"/>
      <c r="C307" s="6"/>
      <c r="D307" s="6"/>
      <c r="E307" s="4"/>
      <c r="F307" s="6"/>
      <c r="G307" s="6"/>
      <c r="H307" s="6"/>
      <c r="I307" s="6"/>
      <c r="J307" s="6"/>
      <c r="K307" s="6"/>
      <c r="L307" s="6"/>
      <c r="M307" s="6"/>
      <c r="N307" s="6"/>
      <c r="O307" s="16"/>
      <c r="P307" s="6"/>
      <c r="Q307" s="4"/>
      <c r="R307" s="4"/>
      <c r="S307" s="4"/>
      <c r="T307" s="4"/>
      <c r="U307" s="4"/>
      <c r="V307" s="4"/>
      <c r="W307" s="4"/>
      <c r="X307" s="4"/>
      <c r="Y307" s="4"/>
      <c r="Z307" s="4"/>
      <c r="AA307" s="4"/>
    </row>
    <row r="308" spans="1:27" ht="12.75" x14ac:dyDescent="0.2">
      <c r="A308" s="16"/>
      <c r="B308" s="6"/>
      <c r="C308" s="6"/>
      <c r="D308" s="6"/>
      <c r="E308" s="4"/>
      <c r="F308" s="6"/>
      <c r="G308" s="6"/>
      <c r="H308" s="6"/>
      <c r="I308" s="6"/>
      <c r="J308" s="6"/>
      <c r="K308" s="6"/>
      <c r="L308" s="6"/>
      <c r="M308" s="6"/>
      <c r="N308" s="6"/>
      <c r="O308" s="16"/>
      <c r="P308" s="6"/>
      <c r="Q308" s="4"/>
      <c r="R308" s="4"/>
      <c r="S308" s="4"/>
      <c r="T308" s="4"/>
      <c r="U308" s="4"/>
      <c r="V308" s="4"/>
      <c r="W308" s="4"/>
      <c r="X308" s="4"/>
      <c r="Y308" s="4"/>
      <c r="Z308" s="4"/>
      <c r="AA308" s="4"/>
    </row>
    <row r="309" spans="1:27" ht="12.75" x14ac:dyDescent="0.2">
      <c r="A309" s="16"/>
      <c r="B309" s="6"/>
      <c r="C309" s="6"/>
      <c r="D309" s="6"/>
      <c r="E309" s="4"/>
      <c r="F309" s="6"/>
      <c r="G309" s="6"/>
      <c r="H309" s="6"/>
      <c r="I309" s="6"/>
      <c r="J309" s="6"/>
      <c r="K309" s="6"/>
      <c r="L309" s="6"/>
      <c r="M309" s="6"/>
      <c r="N309" s="6"/>
      <c r="O309" s="16"/>
      <c r="P309" s="6"/>
      <c r="Q309" s="4"/>
      <c r="R309" s="4"/>
      <c r="S309" s="4"/>
      <c r="T309" s="4"/>
      <c r="U309" s="4"/>
      <c r="V309" s="4"/>
      <c r="W309" s="4"/>
      <c r="X309" s="4"/>
      <c r="Y309" s="4"/>
      <c r="Z309" s="4"/>
      <c r="AA309" s="4"/>
    </row>
    <row r="310" spans="1:27" ht="12.75" x14ac:dyDescent="0.2">
      <c r="A310" s="16"/>
      <c r="B310" s="6"/>
      <c r="C310" s="6"/>
      <c r="D310" s="6"/>
      <c r="E310" s="4"/>
      <c r="F310" s="6"/>
      <c r="G310" s="6"/>
      <c r="H310" s="6"/>
      <c r="I310" s="6"/>
      <c r="J310" s="6"/>
      <c r="K310" s="6"/>
      <c r="L310" s="6"/>
      <c r="M310" s="6"/>
      <c r="N310" s="6"/>
      <c r="O310" s="16"/>
      <c r="P310" s="6"/>
      <c r="Q310" s="4"/>
      <c r="R310" s="4"/>
      <c r="S310" s="4"/>
      <c r="T310" s="4"/>
      <c r="U310" s="4"/>
      <c r="V310" s="4"/>
      <c r="W310" s="4"/>
      <c r="X310" s="4"/>
      <c r="Y310" s="4"/>
      <c r="Z310" s="4"/>
      <c r="AA310" s="4"/>
    </row>
    <row r="311" spans="1:27" ht="12.75" x14ac:dyDescent="0.2">
      <c r="A311" s="16"/>
      <c r="B311" s="6"/>
      <c r="C311" s="6"/>
      <c r="D311" s="6"/>
      <c r="E311" s="4"/>
      <c r="F311" s="6"/>
      <c r="G311" s="6"/>
      <c r="H311" s="6"/>
      <c r="I311" s="6"/>
      <c r="J311" s="6"/>
      <c r="K311" s="6"/>
      <c r="L311" s="6"/>
      <c r="M311" s="6"/>
      <c r="N311" s="6"/>
      <c r="O311" s="16"/>
      <c r="P311" s="6"/>
      <c r="Q311" s="4"/>
      <c r="R311" s="4"/>
      <c r="S311" s="4"/>
      <c r="T311" s="4"/>
      <c r="U311" s="4"/>
      <c r="V311" s="4"/>
      <c r="W311" s="4"/>
      <c r="X311" s="4"/>
      <c r="Y311" s="4"/>
      <c r="Z311" s="4"/>
      <c r="AA311" s="4"/>
    </row>
    <row r="312" spans="1:27" ht="12.75" x14ac:dyDescent="0.2">
      <c r="A312" s="16"/>
      <c r="B312" s="6"/>
      <c r="C312" s="6"/>
      <c r="D312" s="6"/>
      <c r="E312" s="4"/>
      <c r="F312" s="6"/>
      <c r="G312" s="6"/>
      <c r="H312" s="6"/>
      <c r="I312" s="6"/>
      <c r="J312" s="6"/>
      <c r="K312" s="6"/>
      <c r="L312" s="6"/>
      <c r="M312" s="6"/>
      <c r="N312" s="6"/>
      <c r="O312" s="16"/>
      <c r="P312" s="6"/>
      <c r="Q312" s="4"/>
      <c r="R312" s="4"/>
      <c r="S312" s="4"/>
      <c r="T312" s="4"/>
      <c r="U312" s="4"/>
      <c r="V312" s="4"/>
      <c r="W312" s="4"/>
      <c r="X312" s="4"/>
      <c r="Y312" s="4"/>
      <c r="Z312" s="4"/>
      <c r="AA312" s="4"/>
    </row>
    <row r="313" spans="1:27" ht="12.75" x14ac:dyDescent="0.2">
      <c r="A313" s="16"/>
      <c r="B313" s="6"/>
      <c r="C313" s="6"/>
      <c r="D313" s="6"/>
      <c r="E313" s="4"/>
      <c r="F313" s="6"/>
      <c r="G313" s="6"/>
      <c r="H313" s="6"/>
      <c r="I313" s="6"/>
      <c r="J313" s="6"/>
      <c r="K313" s="6"/>
      <c r="L313" s="6"/>
      <c r="M313" s="6"/>
      <c r="N313" s="6"/>
      <c r="O313" s="16"/>
      <c r="P313" s="6"/>
      <c r="Q313" s="4"/>
      <c r="R313" s="4"/>
      <c r="S313" s="4"/>
      <c r="T313" s="4"/>
      <c r="U313" s="4"/>
      <c r="V313" s="4"/>
      <c r="W313" s="4"/>
      <c r="X313" s="4"/>
      <c r="Y313" s="4"/>
      <c r="Z313" s="4"/>
      <c r="AA313" s="4"/>
    </row>
    <row r="314" spans="1:27" ht="12.75" x14ac:dyDescent="0.2">
      <c r="A314" s="16"/>
      <c r="B314" s="6"/>
      <c r="C314" s="6"/>
      <c r="D314" s="6"/>
      <c r="E314" s="4"/>
      <c r="F314" s="6"/>
      <c r="G314" s="6"/>
      <c r="H314" s="6"/>
      <c r="I314" s="6"/>
      <c r="J314" s="6"/>
      <c r="K314" s="6"/>
      <c r="L314" s="6"/>
      <c r="M314" s="6"/>
      <c r="N314" s="6"/>
      <c r="O314" s="16"/>
      <c r="P314" s="6"/>
      <c r="Q314" s="4"/>
      <c r="R314" s="4"/>
      <c r="S314" s="4"/>
      <c r="T314" s="4"/>
      <c r="U314" s="4"/>
      <c r="V314" s="4"/>
      <c r="W314" s="4"/>
      <c r="X314" s="4"/>
      <c r="Y314" s="4"/>
      <c r="Z314" s="4"/>
      <c r="AA314" s="4"/>
    </row>
    <row r="315" spans="1:27" ht="12.75" x14ac:dyDescent="0.2">
      <c r="A315" s="16"/>
      <c r="B315" s="6"/>
      <c r="C315" s="6"/>
      <c r="D315" s="6"/>
      <c r="E315" s="4"/>
      <c r="F315" s="6"/>
      <c r="G315" s="6"/>
      <c r="H315" s="6"/>
      <c r="I315" s="6"/>
      <c r="J315" s="6"/>
      <c r="K315" s="6"/>
      <c r="L315" s="6"/>
      <c r="M315" s="6"/>
      <c r="N315" s="6"/>
      <c r="O315" s="16"/>
      <c r="P315" s="6"/>
      <c r="Q315" s="4"/>
      <c r="R315" s="4"/>
      <c r="S315" s="4"/>
      <c r="T315" s="4"/>
      <c r="U315" s="4"/>
      <c r="V315" s="4"/>
      <c r="W315" s="4"/>
      <c r="X315" s="4"/>
      <c r="Y315" s="4"/>
      <c r="Z315" s="4"/>
      <c r="AA315" s="4"/>
    </row>
    <row r="316" spans="1:27" ht="12.75" x14ac:dyDescent="0.2">
      <c r="A316" s="16"/>
      <c r="B316" s="6"/>
      <c r="C316" s="6"/>
      <c r="D316" s="6"/>
      <c r="E316" s="4"/>
      <c r="F316" s="6"/>
      <c r="G316" s="6"/>
      <c r="H316" s="6"/>
      <c r="I316" s="6"/>
      <c r="J316" s="6"/>
      <c r="K316" s="6"/>
      <c r="L316" s="6"/>
      <c r="M316" s="6"/>
      <c r="N316" s="6"/>
      <c r="O316" s="16"/>
      <c r="P316" s="6"/>
      <c r="Q316" s="4"/>
      <c r="R316" s="4"/>
      <c r="S316" s="4"/>
      <c r="T316" s="4"/>
      <c r="U316" s="4"/>
      <c r="V316" s="4"/>
      <c r="W316" s="4"/>
      <c r="X316" s="4"/>
      <c r="Y316" s="4"/>
      <c r="Z316" s="4"/>
      <c r="AA316" s="4"/>
    </row>
    <row r="317" spans="1:27" ht="12.75" x14ac:dyDescent="0.2">
      <c r="A317" s="16"/>
      <c r="B317" s="6"/>
      <c r="C317" s="6"/>
      <c r="D317" s="6"/>
      <c r="E317" s="4"/>
      <c r="F317" s="6"/>
      <c r="G317" s="6"/>
      <c r="H317" s="6"/>
      <c r="I317" s="6"/>
      <c r="J317" s="6"/>
      <c r="K317" s="6"/>
      <c r="L317" s="6"/>
      <c r="M317" s="6"/>
      <c r="N317" s="6"/>
      <c r="O317" s="16"/>
      <c r="P317" s="6"/>
      <c r="Q317" s="4"/>
      <c r="R317" s="4"/>
      <c r="S317" s="4"/>
      <c r="T317" s="4"/>
      <c r="U317" s="4"/>
      <c r="V317" s="4"/>
      <c r="W317" s="4"/>
      <c r="X317" s="4"/>
      <c r="Y317" s="4"/>
      <c r="Z317" s="4"/>
      <c r="AA317" s="4"/>
    </row>
    <row r="318" spans="1:27" ht="12.75" x14ac:dyDescent="0.2">
      <c r="A318" s="16"/>
      <c r="B318" s="6"/>
      <c r="C318" s="6"/>
      <c r="D318" s="6"/>
      <c r="E318" s="4"/>
      <c r="F318" s="6"/>
      <c r="G318" s="6"/>
      <c r="H318" s="6"/>
      <c r="I318" s="6"/>
      <c r="J318" s="6"/>
      <c r="K318" s="6"/>
      <c r="L318" s="6"/>
      <c r="M318" s="6"/>
      <c r="N318" s="6"/>
      <c r="O318" s="16"/>
      <c r="P318" s="6"/>
      <c r="Q318" s="4"/>
      <c r="R318" s="4"/>
      <c r="S318" s="4"/>
      <c r="T318" s="4"/>
      <c r="U318" s="4"/>
      <c r="V318" s="4"/>
      <c r="W318" s="4"/>
      <c r="X318" s="4"/>
      <c r="Y318" s="4"/>
      <c r="Z318" s="4"/>
      <c r="AA318" s="4"/>
    </row>
    <row r="319" spans="1:27" ht="12.75" x14ac:dyDescent="0.2">
      <c r="A319" s="16"/>
      <c r="B319" s="6"/>
      <c r="C319" s="6"/>
      <c r="D319" s="6"/>
      <c r="E319" s="4"/>
      <c r="F319" s="6"/>
      <c r="G319" s="6"/>
      <c r="H319" s="6"/>
      <c r="I319" s="6"/>
      <c r="J319" s="6"/>
      <c r="K319" s="6"/>
      <c r="L319" s="6"/>
      <c r="M319" s="6"/>
      <c r="N319" s="6"/>
      <c r="O319" s="16"/>
      <c r="P319" s="6"/>
      <c r="Q319" s="4"/>
      <c r="R319" s="4"/>
      <c r="S319" s="4"/>
      <c r="T319" s="4"/>
      <c r="U319" s="4"/>
      <c r="V319" s="4"/>
      <c r="W319" s="4"/>
      <c r="X319" s="4"/>
      <c r="Y319" s="4"/>
      <c r="Z319" s="4"/>
      <c r="AA319" s="4"/>
    </row>
    <row r="320" spans="1:27" ht="12.75" x14ac:dyDescent="0.2">
      <c r="A320" s="16"/>
      <c r="B320" s="6"/>
      <c r="C320" s="6"/>
      <c r="D320" s="6"/>
      <c r="E320" s="4"/>
      <c r="F320" s="6"/>
      <c r="G320" s="6"/>
      <c r="H320" s="6"/>
      <c r="I320" s="6"/>
      <c r="J320" s="6"/>
      <c r="K320" s="6"/>
      <c r="L320" s="6"/>
      <c r="M320" s="6"/>
      <c r="N320" s="6"/>
      <c r="O320" s="16"/>
      <c r="P320" s="6"/>
      <c r="Q320" s="4"/>
      <c r="R320" s="4"/>
      <c r="S320" s="4"/>
      <c r="T320" s="4"/>
      <c r="U320" s="4"/>
      <c r="V320" s="4"/>
      <c r="W320" s="4"/>
      <c r="X320" s="4"/>
      <c r="Y320" s="4"/>
      <c r="Z320" s="4"/>
      <c r="AA320" s="4"/>
    </row>
    <row r="321" spans="1:27" ht="12.75" x14ac:dyDescent="0.2">
      <c r="A321" s="16"/>
      <c r="B321" s="6"/>
      <c r="C321" s="6"/>
      <c r="D321" s="6"/>
      <c r="E321" s="4"/>
      <c r="F321" s="6"/>
      <c r="G321" s="6"/>
      <c r="H321" s="6"/>
      <c r="I321" s="6"/>
      <c r="J321" s="6"/>
      <c r="K321" s="6"/>
      <c r="L321" s="6"/>
      <c r="M321" s="6"/>
      <c r="N321" s="6"/>
      <c r="O321" s="16"/>
      <c r="P321" s="6"/>
      <c r="Q321" s="4"/>
      <c r="R321" s="4"/>
      <c r="S321" s="4"/>
      <c r="T321" s="4"/>
      <c r="U321" s="4"/>
      <c r="V321" s="4"/>
      <c r="W321" s="4"/>
      <c r="X321" s="4"/>
      <c r="Y321" s="4"/>
      <c r="Z321" s="4"/>
      <c r="AA321" s="4"/>
    </row>
    <row r="322" spans="1:27" ht="12.75" x14ac:dyDescent="0.2">
      <c r="A322" s="16"/>
      <c r="B322" s="6"/>
      <c r="C322" s="6"/>
      <c r="D322" s="6"/>
      <c r="E322" s="4"/>
      <c r="F322" s="6"/>
      <c r="G322" s="6"/>
      <c r="H322" s="6"/>
      <c r="I322" s="6"/>
      <c r="J322" s="6"/>
      <c r="K322" s="6"/>
      <c r="L322" s="6"/>
      <c r="M322" s="6"/>
      <c r="N322" s="6"/>
      <c r="O322" s="16"/>
      <c r="P322" s="6"/>
      <c r="Q322" s="4"/>
      <c r="R322" s="4"/>
      <c r="S322" s="4"/>
      <c r="T322" s="4"/>
      <c r="U322" s="4"/>
      <c r="V322" s="4"/>
      <c r="W322" s="4"/>
      <c r="X322" s="4"/>
      <c r="Y322" s="4"/>
      <c r="Z322" s="4"/>
      <c r="AA322" s="4"/>
    </row>
    <row r="323" spans="1:27" ht="12.75" x14ac:dyDescent="0.2">
      <c r="A323" s="16"/>
      <c r="B323" s="6"/>
      <c r="C323" s="6"/>
      <c r="D323" s="6"/>
      <c r="E323" s="4"/>
      <c r="F323" s="6"/>
      <c r="G323" s="6"/>
      <c r="H323" s="6"/>
      <c r="I323" s="6"/>
      <c r="J323" s="6"/>
      <c r="K323" s="6"/>
      <c r="L323" s="6"/>
      <c r="M323" s="6"/>
      <c r="N323" s="6"/>
      <c r="O323" s="16"/>
      <c r="P323" s="6"/>
      <c r="Q323" s="4"/>
      <c r="R323" s="4"/>
      <c r="S323" s="4"/>
      <c r="T323" s="4"/>
      <c r="U323" s="4"/>
      <c r="V323" s="4"/>
      <c r="W323" s="4"/>
      <c r="X323" s="4"/>
      <c r="Y323" s="4"/>
      <c r="Z323" s="4"/>
      <c r="AA323" s="4"/>
    </row>
    <row r="324" spans="1:27" ht="12.75" x14ac:dyDescent="0.2">
      <c r="A324" s="16"/>
      <c r="B324" s="6"/>
      <c r="C324" s="6"/>
      <c r="D324" s="6"/>
      <c r="E324" s="4"/>
      <c r="F324" s="6"/>
      <c r="G324" s="6"/>
      <c r="H324" s="6"/>
      <c r="I324" s="6"/>
      <c r="J324" s="6"/>
      <c r="K324" s="6"/>
      <c r="L324" s="6"/>
      <c r="M324" s="6"/>
      <c r="N324" s="6"/>
      <c r="O324" s="16"/>
      <c r="P324" s="6"/>
      <c r="Q324" s="4"/>
      <c r="R324" s="4"/>
      <c r="S324" s="4"/>
      <c r="T324" s="4"/>
      <c r="U324" s="4"/>
      <c r="V324" s="4"/>
      <c r="W324" s="4"/>
      <c r="X324" s="4"/>
      <c r="Y324" s="4"/>
      <c r="Z324" s="4"/>
      <c r="AA324" s="4"/>
    </row>
    <row r="325" spans="1:27" ht="12.75" x14ac:dyDescent="0.2">
      <c r="A325" s="16"/>
      <c r="B325" s="6"/>
      <c r="C325" s="6"/>
      <c r="D325" s="6"/>
      <c r="E325" s="4"/>
      <c r="F325" s="6"/>
      <c r="G325" s="6"/>
      <c r="H325" s="6"/>
      <c r="I325" s="6"/>
      <c r="J325" s="6"/>
      <c r="K325" s="6"/>
      <c r="L325" s="6"/>
      <c r="M325" s="6"/>
      <c r="N325" s="6"/>
      <c r="O325" s="16"/>
      <c r="P325" s="6"/>
      <c r="Q325" s="4"/>
      <c r="R325" s="4"/>
      <c r="S325" s="4"/>
      <c r="T325" s="4"/>
      <c r="U325" s="4"/>
      <c r="V325" s="4"/>
      <c r="W325" s="4"/>
      <c r="X325" s="4"/>
      <c r="Y325" s="4"/>
      <c r="Z325" s="4"/>
      <c r="AA325" s="4"/>
    </row>
    <row r="326" spans="1:27" ht="12.75" x14ac:dyDescent="0.2">
      <c r="A326" s="16"/>
      <c r="B326" s="6"/>
      <c r="C326" s="6"/>
      <c r="D326" s="6"/>
      <c r="E326" s="4"/>
      <c r="F326" s="6"/>
      <c r="G326" s="6"/>
      <c r="H326" s="6"/>
      <c r="I326" s="6"/>
      <c r="J326" s="6"/>
      <c r="K326" s="6"/>
      <c r="L326" s="6"/>
      <c r="M326" s="6"/>
      <c r="N326" s="6"/>
      <c r="O326" s="16"/>
      <c r="P326" s="6"/>
      <c r="Q326" s="4"/>
      <c r="R326" s="4"/>
      <c r="S326" s="4"/>
      <c r="T326" s="4"/>
      <c r="U326" s="4"/>
      <c r="V326" s="4"/>
      <c r="W326" s="4"/>
      <c r="X326" s="4"/>
      <c r="Y326" s="4"/>
      <c r="Z326" s="4"/>
      <c r="AA326" s="4"/>
    </row>
    <row r="327" spans="1:27" ht="12.75" x14ac:dyDescent="0.2">
      <c r="A327" s="16"/>
      <c r="B327" s="6"/>
      <c r="C327" s="6"/>
      <c r="D327" s="6"/>
      <c r="E327" s="4"/>
      <c r="F327" s="6"/>
      <c r="G327" s="6"/>
      <c r="H327" s="6"/>
      <c r="I327" s="6"/>
      <c r="J327" s="6"/>
      <c r="K327" s="6"/>
      <c r="L327" s="6"/>
      <c r="M327" s="6"/>
      <c r="N327" s="6"/>
      <c r="O327" s="16"/>
      <c r="P327" s="6"/>
      <c r="Q327" s="4"/>
      <c r="R327" s="4"/>
      <c r="S327" s="4"/>
      <c r="T327" s="4"/>
      <c r="U327" s="4"/>
      <c r="V327" s="4"/>
      <c r="W327" s="4"/>
      <c r="X327" s="4"/>
      <c r="Y327" s="4"/>
      <c r="Z327" s="4"/>
      <c r="AA327" s="4"/>
    </row>
    <row r="328" spans="1:27" ht="12.75" x14ac:dyDescent="0.2">
      <c r="A328" s="16"/>
      <c r="B328" s="6"/>
      <c r="C328" s="6"/>
      <c r="D328" s="6"/>
      <c r="E328" s="4"/>
      <c r="F328" s="6"/>
      <c r="G328" s="6"/>
      <c r="H328" s="6"/>
      <c r="I328" s="6"/>
      <c r="J328" s="6"/>
      <c r="K328" s="6"/>
      <c r="L328" s="6"/>
      <c r="M328" s="6"/>
      <c r="N328" s="6"/>
      <c r="O328" s="16"/>
      <c r="P328" s="6"/>
      <c r="Q328" s="4"/>
      <c r="R328" s="4"/>
      <c r="S328" s="4"/>
      <c r="T328" s="4"/>
      <c r="U328" s="4"/>
      <c r="V328" s="4"/>
      <c r="W328" s="4"/>
      <c r="X328" s="4"/>
      <c r="Y328" s="4"/>
      <c r="Z328" s="4"/>
      <c r="AA328" s="4"/>
    </row>
    <row r="329" spans="1:27" ht="12.75" x14ac:dyDescent="0.2">
      <c r="A329" s="16"/>
      <c r="B329" s="6"/>
      <c r="C329" s="6"/>
      <c r="D329" s="6"/>
      <c r="E329" s="4"/>
      <c r="F329" s="6"/>
      <c r="G329" s="6"/>
      <c r="H329" s="6"/>
      <c r="I329" s="6"/>
      <c r="J329" s="6"/>
      <c r="K329" s="6"/>
      <c r="L329" s="6"/>
      <c r="M329" s="6"/>
      <c r="N329" s="6"/>
      <c r="O329" s="16"/>
      <c r="P329" s="6"/>
      <c r="Q329" s="4"/>
      <c r="R329" s="4"/>
      <c r="S329" s="4"/>
      <c r="T329" s="4"/>
      <c r="U329" s="4"/>
      <c r="V329" s="4"/>
      <c r="W329" s="4"/>
      <c r="X329" s="4"/>
      <c r="Y329" s="4"/>
      <c r="Z329" s="4"/>
      <c r="AA329" s="4"/>
    </row>
    <row r="330" spans="1:27" ht="12.75" x14ac:dyDescent="0.2">
      <c r="A330" s="16"/>
      <c r="B330" s="6"/>
      <c r="C330" s="6"/>
      <c r="D330" s="6"/>
      <c r="E330" s="4"/>
      <c r="F330" s="6"/>
      <c r="G330" s="6"/>
      <c r="H330" s="6"/>
      <c r="I330" s="6"/>
      <c r="J330" s="6"/>
      <c r="K330" s="6"/>
      <c r="L330" s="6"/>
      <c r="M330" s="6"/>
      <c r="N330" s="6"/>
      <c r="O330" s="16"/>
      <c r="P330" s="6"/>
      <c r="Q330" s="4"/>
      <c r="R330" s="4"/>
      <c r="S330" s="4"/>
      <c r="T330" s="4"/>
      <c r="U330" s="4"/>
      <c r="V330" s="4"/>
      <c r="W330" s="4"/>
      <c r="X330" s="4"/>
      <c r="Y330" s="4"/>
      <c r="Z330" s="4"/>
      <c r="AA330" s="4"/>
    </row>
    <row r="331" spans="1:27" ht="12.75" x14ac:dyDescent="0.2">
      <c r="A331" s="16"/>
      <c r="B331" s="6"/>
      <c r="C331" s="6"/>
      <c r="D331" s="6"/>
      <c r="E331" s="4"/>
      <c r="F331" s="6"/>
      <c r="G331" s="6"/>
      <c r="H331" s="6"/>
      <c r="I331" s="6"/>
      <c r="J331" s="6"/>
      <c r="K331" s="6"/>
      <c r="L331" s="6"/>
      <c r="M331" s="6"/>
      <c r="N331" s="6"/>
      <c r="O331" s="16"/>
      <c r="P331" s="6"/>
      <c r="Q331" s="4"/>
      <c r="R331" s="4"/>
      <c r="S331" s="4"/>
      <c r="T331" s="4"/>
      <c r="U331" s="4"/>
      <c r="V331" s="4"/>
      <c r="W331" s="4"/>
      <c r="X331" s="4"/>
      <c r="Y331" s="4"/>
      <c r="Z331" s="4"/>
      <c r="AA331" s="4"/>
    </row>
    <row r="332" spans="1:27" ht="12.75" x14ac:dyDescent="0.2">
      <c r="A332" s="16"/>
      <c r="B332" s="6"/>
      <c r="C332" s="6"/>
      <c r="D332" s="6"/>
      <c r="E332" s="4"/>
      <c r="F332" s="6"/>
      <c r="G332" s="6"/>
      <c r="H332" s="6"/>
      <c r="I332" s="6"/>
      <c r="J332" s="6"/>
      <c r="K332" s="6"/>
      <c r="L332" s="6"/>
      <c r="M332" s="6"/>
      <c r="N332" s="6"/>
      <c r="O332" s="16"/>
      <c r="P332" s="6"/>
      <c r="Q332" s="4"/>
      <c r="R332" s="4"/>
      <c r="S332" s="4"/>
      <c r="T332" s="4"/>
      <c r="U332" s="4"/>
      <c r="V332" s="4"/>
      <c r="W332" s="4"/>
      <c r="X332" s="4"/>
      <c r="Y332" s="4"/>
      <c r="Z332" s="4"/>
      <c r="AA332" s="4"/>
    </row>
    <row r="333" spans="1:27" ht="12.75" x14ac:dyDescent="0.2">
      <c r="A333" s="16"/>
      <c r="B333" s="6"/>
      <c r="C333" s="6"/>
      <c r="D333" s="6"/>
      <c r="E333" s="4"/>
      <c r="F333" s="6"/>
      <c r="G333" s="6"/>
      <c r="H333" s="6"/>
      <c r="I333" s="6"/>
      <c r="J333" s="6"/>
      <c r="K333" s="6"/>
      <c r="L333" s="6"/>
      <c r="M333" s="6"/>
      <c r="N333" s="6"/>
      <c r="O333" s="16"/>
      <c r="P333" s="6"/>
      <c r="Q333" s="4"/>
      <c r="R333" s="4"/>
      <c r="S333" s="4"/>
      <c r="T333" s="4"/>
      <c r="U333" s="4"/>
      <c r="V333" s="4"/>
      <c r="W333" s="4"/>
      <c r="X333" s="4"/>
      <c r="Y333" s="4"/>
      <c r="Z333" s="4"/>
      <c r="AA333" s="4"/>
    </row>
    <row r="334" spans="1:27" ht="12.75" x14ac:dyDescent="0.2">
      <c r="A334" s="16"/>
      <c r="B334" s="6"/>
      <c r="C334" s="6"/>
      <c r="D334" s="6"/>
      <c r="E334" s="4"/>
      <c r="F334" s="6"/>
      <c r="G334" s="6"/>
      <c r="H334" s="6"/>
      <c r="I334" s="6"/>
      <c r="J334" s="6"/>
      <c r="K334" s="6"/>
      <c r="L334" s="6"/>
      <c r="M334" s="6"/>
      <c r="N334" s="6"/>
      <c r="O334" s="16"/>
      <c r="P334" s="6"/>
      <c r="Q334" s="4"/>
      <c r="R334" s="4"/>
      <c r="S334" s="4"/>
      <c r="T334" s="4"/>
      <c r="U334" s="4"/>
      <c r="V334" s="4"/>
      <c r="W334" s="4"/>
      <c r="X334" s="4"/>
      <c r="Y334" s="4"/>
      <c r="Z334" s="4"/>
      <c r="AA334" s="4"/>
    </row>
    <row r="335" spans="1:27" ht="12.75" x14ac:dyDescent="0.2">
      <c r="A335" s="16"/>
      <c r="B335" s="6"/>
      <c r="C335" s="6"/>
      <c r="D335" s="6"/>
      <c r="E335" s="4"/>
      <c r="F335" s="6"/>
      <c r="G335" s="6"/>
      <c r="H335" s="6"/>
      <c r="I335" s="6"/>
      <c r="J335" s="6"/>
      <c r="K335" s="6"/>
      <c r="L335" s="6"/>
      <c r="M335" s="6"/>
      <c r="N335" s="6"/>
      <c r="O335" s="16"/>
      <c r="P335" s="6"/>
      <c r="Q335" s="4"/>
      <c r="R335" s="4"/>
      <c r="S335" s="4"/>
      <c r="T335" s="4"/>
      <c r="U335" s="4"/>
      <c r="V335" s="4"/>
      <c r="W335" s="4"/>
      <c r="X335" s="4"/>
      <c r="Y335" s="4"/>
      <c r="Z335" s="4"/>
      <c r="AA335" s="4"/>
    </row>
    <row r="336" spans="1:27" ht="12.75" x14ac:dyDescent="0.2">
      <c r="A336" s="16"/>
      <c r="B336" s="6"/>
      <c r="C336" s="6"/>
      <c r="D336" s="6"/>
      <c r="E336" s="4"/>
      <c r="F336" s="6"/>
      <c r="G336" s="6"/>
      <c r="H336" s="6"/>
      <c r="I336" s="6"/>
      <c r="J336" s="6"/>
      <c r="K336" s="6"/>
      <c r="L336" s="6"/>
      <c r="M336" s="6"/>
      <c r="N336" s="6"/>
      <c r="O336" s="16"/>
      <c r="P336" s="6"/>
      <c r="Q336" s="4"/>
      <c r="R336" s="4"/>
      <c r="S336" s="4"/>
      <c r="T336" s="4"/>
      <c r="U336" s="4"/>
      <c r="V336" s="4"/>
      <c r="W336" s="4"/>
      <c r="X336" s="4"/>
      <c r="Y336" s="4"/>
      <c r="Z336" s="4"/>
      <c r="AA336" s="4"/>
    </row>
    <row r="337" spans="1:27" ht="12.75" x14ac:dyDescent="0.2">
      <c r="A337" s="16"/>
      <c r="B337" s="6"/>
      <c r="C337" s="6"/>
      <c r="D337" s="6"/>
      <c r="E337" s="4"/>
      <c r="F337" s="6"/>
      <c r="G337" s="6"/>
      <c r="H337" s="6"/>
      <c r="I337" s="6"/>
      <c r="J337" s="6"/>
      <c r="K337" s="6"/>
      <c r="L337" s="6"/>
      <c r="M337" s="6"/>
      <c r="N337" s="6"/>
      <c r="O337" s="16"/>
      <c r="P337" s="6"/>
      <c r="Q337" s="4"/>
      <c r="R337" s="4"/>
      <c r="S337" s="4"/>
      <c r="T337" s="4"/>
      <c r="U337" s="4"/>
      <c r="V337" s="4"/>
      <c r="W337" s="4"/>
      <c r="X337" s="4"/>
      <c r="Y337" s="4"/>
      <c r="Z337" s="4"/>
      <c r="AA337" s="4"/>
    </row>
    <row r="338" spans="1:27" ht="12.75" x14ac:dyDescent="0.2">
      <c r="A338" s="16"/>
      <c r="B338" s="6"/>
      <c r="C338" s="6"/>
      <c r="D338" s="6"/>
      <c r="E338" s="4"/>
      <c r="F338" s="6"/>
      <c r="G338" s="6"/>
      <c r="H338" s="6"/>
      <c r="I338" s="6"/>
      <c r="J338" s="6"/>
      <c r="K338" s="6"/>
      <c r="L338" s="6"/>
      <c r="M338" s="6"/>
      <c r="N338" s="6"/>
      <c r="O338" s="16"/>
      <c r="P338" s="6"/>
      <c r="Q338" s="4"/>
      <c r="R338" s="4"/>
      <c r="S338" s="4"/>
      <c r="T338" s="4"/>
      <c r="U338" s="4"/>
      <c r="V338" s="4"/>
      <c r="W338" s="4"/>
      <c r="X338" s="4"/>
      <c r="Y338" s="4"/>
      <c r="Z338" s="4"/>
      <c r="AA338" s="4"/>
    </row>
    <row r="339" spans="1:27" ht="12.75" x14ac:dyDescent="0.2">
      <c r="A339" s="16"/>
      <c r="B339" s="6"/>
      <c r="C339" s="6"/>
      <c r="D339" s="6"/>
      <c r="E339" s="4"/>
      <c r="F339" s="6"/>
      <c r="G339" s="6"/>
      <c r="H339" s="6"/>
      <c r="I339" s="6"/>
      <c r="J339" s="6"/>
      <c r="K339" s="6"/>
      <c r="L339" s="6"/>
      <c r="M339" s="6"/>
      <c r="N339" s="6"/>
      <c r="O339" s="16"/>
      <c r="P339" s="6"/>
      <c r="Q339" s="4"/>
      <c r="R339" s="4"/>
      <c r="S339" s="4"/>
      <c r="T339" s="4"/>
      <c r="U339" s="4"/>
      <c r="V339" s="4"/>
      <c r="W339" s="4"/>
      <c r="X339" s="4"/>
      <c r="Y339" s="4"/>
      <c r="Z339" s="4"/>
      <c r="AA339" s="4"/>
    </row>
    <row r="340" spans="1:27" ht="12.75" x14ac:dyDescent="0.2">
      <c r="A340" s="16"/>
      <c r="B340" s="6"/>
      <c r="C340" s="6"/>
      <c r="D340" s="6"/>
      <c r="E340" s="4"/>
      <c r="F340" s="6"/>
      <c r="G340" s="6"/>
      <c r="H340" s="6"/>
      <c r="I340" s="6"/>
      <c r="J340" s="6"/>
      <c r="K340" s="6"/>
      <c r="L340" s="6"/>
      <c r="M340" s="6"/>
      <c r="N340" s="6"/>
      <c r="O340" s="16"/>
      <c r="P340" s="6"/>
      <c r="Q340" s="4"/>
      <c r="R340" s="4"/>
      <c r="S340" s="4"/>
      <c r="T340" s="4"/>
      <c r="U340" s="4"/>
      <c r="V340" s="4"/>
      <c r="W340" s="4"/>
      <c r="X340" s="4"/>
      <c r="Y340" s="4"/>
      <c r="Z340" s="4"/>
      <c r="AA340" s="4"/>
    </row>
    <row r="341" spans="1:27" ht="12.75" x14ac:dyDescent="0.2">
      <c r="A341" s="16"/>
      <c r="B341" s="6"/>
      <c r="C341" s="6"/>
      <c r="D341" s="6"/>
      <c r="E341" s="4"/>
      <c r="F341" s="6"/>
      <c r="G341" s="6"/>
      <c r="H341" s="6"/>
      <c r="I341" s="6"/>
      <c r="J341" s="6"/>
      <c r="K341" s="6"/>
      <c r="L341" s="6"/>
      <c r="M341" s="6"/>
      <c r="N341" s="6"/>
      <c r="O341" s="16"/>
      <c r="P341" s="6"/>
      <c r="Q341" s="4"/>
      <c r="R341" s="4"/>
      <c r="S341" s="4"/>
      <c r="T341" s="4"/>
      <c r="U341" s="4"/>
      <c r="V341" s="4"/>
      <c r="W341" s="4"/>
      <c r="X341" s="4"/>
      <c r="Y341" s="4"/>
      <c r="Z341" s="4"/>
      <c r="AA341" s="4"/>
    </row>
    <row r="342" spans="1:27" ht="12.75" x14ac:dyDescent="0.2">
      <c r="A342" s="16"/>
      <c r="B342" s="6"/>
      <c r="C342" s="6"/>
      <c r="D342" s="6"/>
      <c r="E342" s="4"/>
      <c r="F342" s="6"/>
      <c r="G342" s="6"/>
      <c r="H342" s="6"/>
      <c r="I342" s="6"/>
      <c r="J342" s="6"/>
      <c r="K342" s="6"/>
      <c r="L342" s="6"/>
      <c r="M342" s="6"/>
      <c r="N342" s="6"/>
      <c r="O342" s="16"/>
      <c r="P342" s="6"/>
      <c r="Q342" s="4"/>
      <c r="R342" s="4"/>
      <c r="S342" s="4"/>
      <c r="T342" s="4"/>
      <c r="U342" s="4"/>
      <c r="V342" s="4"/>
      <c r="W342" s="4"/>
      <c r="X342" s="4"/>
      <c r="Y342" s="4"/>
      <c r="Z342" s="4"/>
      <c r="AA342" s="4"/>
    </row>
    <row r="343" spans="1:27" ht="12.75" x14ac:dyDescent="0.2">
      <c r="A343" s="16"/>
      <c r="B343" s="6"/>
      <c r="C343" s="6"/>
      <c r="D343" s="6"/>
      <c r="E343" s="4"/>
      <c r="F343" s="6"/>
      <c r="G343" s="6"/>
      <c r="H343" s="6"/>
      <c r="I343" s="6"/>
      <c r="J343" s="6"/>
      <c r="K343" s="6"/>
      <c r="L343" s="6"/>
      <c r="M343" s="6"/>
      <c r="N343" s="6"/>
      <c r="O343" s="16"/>
      <c r="P343" s="6"/>
      <c r="Q343" s="4"/>
      <c r="R343" s="4"/>
      <c r="S343" s="4"/>
      <c r="T343" s="4"/>
      <c r="U343" s="4"/>
      <c r="V343" s="4"/>
      <c r="W343" s="4"/>
      <c r="X343" s="4"/>
      <c r="Y343" s="4"/>
      <c r="Z343" s="4"/>
      <c r="AA343" s="4"/>
    </row>
    <row r="344" spans="1:27" ht="12.75" x14ac:dyDescent="0.2">
      <c r="A344" s="16"/>
      <c r="B344" s="6"/>
      <c r="C344" s="6"/>
      <c r="D344" s="6"/>
      <c r="E344" s="4"/>
      <c r="F344" s="6"/>
      <c r="G344" s="6"/>
      <c r="H344" s="6"/>
      <c r="I344" s="6"/>
      <c r="J344" s="6"/>
      <c r="K344" s="6"/>
      <c r="L344" s="6"/>
      <c r="M344" s="6"/>
      <c r="N344" s="6"/>
      <c r="O344" s="16"/>
      <c r="P344" s="6"/>
      <c r="Q344" s="4"/>
      <c r="R344" s="4"/>
      <c r="S344" s="4"/>
      <c r="T344" s="4"/>
      <c r="U344" s="4"/>
      <c r="V344" s="4"/>
      <c r="W344" s="4"/>
      <c r="X344" s="4"/>
      <c r="Y344" s="4"/>
      <c r="Z344" s="4"/>
      <c r="AA344" s="4"/>
    </row>
    <row r="345" spans="1:27" ht="12.75" x14ac:dyDescent="0.2">
      <c r="A345" s="16"/>
      <c r="B345" s="6"/>
      <c r="C345" s="6"/>
      <c r="D345" s="6"/>
      <c r="E345" s="4"/>
      <c r="F345" s="6"/>
      <c r="G345" s="6"/>
      <c r="H345" s="6"/>
      <c r="I345" s="6"/>
      <c r="J345" s="6"/>
      <c r="K345" s="6"/>
      <c r="L345" s="6"/>
      <c r="M345" s="6"/>
      <c r="N345" s="6"/>
      <c r="O345" s="16"/>
      <c r="P345" s="6"/>
      <c r="Q345" s="4"/>
      <c r="R345" s="4"/>
      <c r="S345" s="4"/>
      <c r="T345" s="4"/>
      <c r="U345" s="4"/>
      <c r="V345" s="4"/>
      <c r="W345" s="4"/>
      <c r="X345" s="4"/>
      <c r="Y345" s="4"/>
      <c r="Z345" s="4"/>
      <c r="AA345" s="4"/>
    </row>
    <row r="346" spans="1:27" ht="12.75" x14ac:dyDescent="0.2">
      <c r="A346" s="16"/>
      <c r="B346" s="6"/>
      <c r="C346" s="6"/>
      <c r="D346" s="6"/>
      <c r="E346" s="4"/>
      <c r="F346" s="6"/>
      <c r="G346" s="6"/>
      <c r="H346" s="6"/>
      <c r="I346" s="6"/>
      <c r="J346" s="6"/>
      <c r="K346" s="6"/>
      <c r="L346" s="6"/>
      <c r="M346" s="6"/>
      <c r="N346" s="6"/>
      <c r="O346" s="16"/>
      <c r="P346" s="6"/>
      <c r="Q346" s="4"/>
      <c r="R346" s="4"/>
      <c r="S346" s="4"/>
      <c r="T346" s="4"/>
      <c r="U346" s="4"/>
      <c r="V346" s="4"/>
      <c r="W346" s="4"/>
      <c r="X346" s="4"/>
      <c r="Y346" s="4"/>
      <c r="Z346" s="4"/>
      <c r="AA346" s="4"/>
    </row>
    <row r="347" spans="1:27" ht="12.75" x14ac:dyDescent="0.2">
      <c r="A347" s="16"/>
      <c r="B347" s="6"/>
      <c r="C347" s="6"/>
      <c r="D347" s="6"/>
      <c r="E347" s="4"/>
      <c r="F347" s="6"/>
      <c r="G347" s="6"/>
      <c r="H347" s="6"/>
      <c r="I347" s="6"/>
      <c r="J347" s="6"/>
      <c r="K347" s="6"/>
      <c r="L347" s="6"/>
      <c r="M347" s="6"/>
      <c r="N347" s="6"/>
      <c r="O347" s="16"/>
      <c r="P347" s="6"/>
      <c r="Q347" s="4"/>
      <c r="R347" s="4"/>
      <c r="S347" s="4"/>
      <c r="T347" s="4"/>
      <c r="U347" s="4"/>
      <c r="V347" s="4"/>
      <c r="W347" s="4"/>
      <c r="X347" s="4"/>
      <c r="Y347" s="4"/>
      <c r="Z347" s="4"/>
      <c r="AA347" s="4"/>
    </row>
    <row r="348" spans="1:27" ht="12.75" x14ac:dyDescent="0.2">
      <c r="A348" s="16"/>
      <c r="B348" s="6"/>
      <c r="C348" s="6"/>
      <c r="D348" s="6"/>
      <c r="E348" s="4"/>
      <c r="F348" s="6"/>
      <c r="G348" s="6"/>
      <c r="H348" s="6"/>
      <c r="I348" s="6"/>
      <c r="J348" s="6"/>
      <c r="K348" s="6"/>
      <c r="L348" s="6"/>
      <c r="M348" s="6"/>
      <c r="N348" s="6"/>
      <c r="O348" s="16"/>
      <c r="P348" s="6"/>
      <c r="Q348" s="4"/>
      <c r="R348" s="4"/>
      <c r="S348" s="4"/>
      <c r="T348" s="4"/>
      <c r="U348" s="4"/>
      <c r="V348" s="4"/>
      <c r="W348" s="4"/>
      <c r="X348" s="4"/>
      <c r="Y348" s="4"/>
      <c r="Z348" s="4"/>
      <c r="AA348" s="4"/>
    </row>
    <row r="349" spans="1:27" ht="12.75" x14ac:dyDescent="0.2">
      <c r="A349" s="16"/>
      <c r="B349" s="6"/>
      <c r="C349" s="6"/>
      <c r="D349" s="6"/>
      <c r="E349" s="4"/>
      <c r="F349" s="6"/>
      <c r="G349" s="6"/>
      <c r="H349" s="6"/>
      <c r="I349" s="6"/>
      <c r="J349" s="6"/>
      <c r="K349" s="6"/>
      <c r="L349" s="6"/>
      <c r="M349" s="6"/>
      <c r="N349" s="6"/>
      <c r="O349" s="16"/>
      <c r="P349" s="6"/>
      <c r="Q349" s="4"/>
      <c r="R349" s="4"/>
      <c r="S349" s="4"/>
      <c r="T349" s="4"/>
      <c r="U349" s="4"/>
      <c r="V349" s="4"/>
      <c r="W349" s="4"/>
      <c r="X349" s="4"/>
      <c r="Y349" s="4"/>
      <c r="Z349" s="4"/>
      <c r="AA349" s="4"/>
    </row>
    <row r="350" spans="1:27" ht="12.75" x14ac:dyDescent="0.2">
      <c r="A350" s="16"/>
      <c r="B350" s="6"/>
      <c r="C350" s="6"/>
      <c r="D350" s="6"/>
      <c r="E350" s="4"/>
      <c r="F350" s="6"/>
      <c r="G350" s="6"/>
      <c r="H350" s="6"/>
      <c r="I350" s="6"/>
      <c r="J350" s="6"/>
      <c r="K350" s="6"/>
      <c r="L350" s="6"/>
      <c r="M350" s="6"/>
      <c r="N350" s="6"/>
      <c r="O350" s="16"/>
      <c r="P350" s="6"/>
      <c r="Q350" s="4"/>
      <c r="R350" s="4"/>
      <c r="S350" s="4"/>
      <c r="T350" s="4"/>
      <c r="U350" s="4"/>
      <c r="V350" s="4"/>
      <c r="W350" s="4"/>
      <c r="X350" s="4"/>
      <c r="Y350" s="4"/>
      <c r="Z350" s="4"/>
      <c r="AA350" s="4"/>
    </row>
    <row r="351" spans="1:27" ht="12.75" x14ac:dyDescent="0.2">
      <c r="A351" s="16"/>
      <c r="B351" s="6"/>
      <c r="C351" s="6"/>
      <c r="D351" s="6"/>
      <c r="E351" s="4"/>
      <c r="F351" s="6"/>
      <c r="G351" s="6"/>
      <c r="H351" s="6"/>
      <c r="I351" s="6"/>
      <c r="J351" s="6"/>
      <c r="K351" s="6"/>
      <c r="L351" s="6"/>
      <c r="M351" s="6"/>
      <c r="N351" s="6"/>
      <c r="O351" s="16"/>
      <c r="P351" s="6"/>
      <c r="Q351" s="4"/>
      <c r="R351" s="4"/>
      <c r="S351" s="4"/>
      <c r="T351" s="4"/>
      <c r="U351" s="4"/>
      <c r="V351" s="4"/>
      <c r="W351" s="4"/>
      <c r="X351" s="4"/>
      <c r="Y351" s="4"/>
      <c r="Z351" s="4"/>
      <c r="AA351" s="4"/>
    </row>
    <row r="352" spans="1:27" ht="12.75" x14ac:dyDescent="0.2">
      <c r="A352" s="16"/>
      <c r="B352" s="6"/>
      <c r="C352" s="6"/>
      <c r="D352" s="6"/>
      <c r="E352" s="4"/>
      <c r="F352" s="6"/>
      <c r="G352" s="6"/>
      <c r="H352" s="6"/>
      <c r="I352" s="6"/>
      <c r="J352" s="6"/>
      <c r="K352" s="6"/>
      <c r="L352" s="6"/>
      <c r="M352" s="6"/>
      <c r="N352" s="6"/>
      <c r="O352" s="16"/>
      <c r="P352" s="6"/>
      <c r="Q352" s="4"/>
      <c r="R352" s="4"/>
      <c r="S352" s="4"/>
      <c r="T352" s="4"/>
      <c r="U352" s="4"/>
      <c r="V352" s="4"/>
      <c r="W352" s="4"/>
      <c r="X352" s="4"/>
      <c r="Y352" s="4"/>
      <c r="Z352" s="4"/>
      <c r="AA352" s="4"/>
    </row>
    <row r="353" spans="1:27" ht="12.75" x14ac:dyDescent="0.2">
      <c r="A353" s="16"/>
      <c r="B353" s="6"/>
      <c r="C353" s="6"/>
      <c r="D353" s="6"/>
      <c r="E353" s="4"/>
      <c r="F353" s="6"/>
      <c r="G353" s="6"/>
      <c r="H353" s="6"/>
      <c r="I353" s="6"/>
      <c r="J353" s="6"/>
      <c r="K353" s="6"/>
      <c r="L353" s="6"/>
      <c r="M353" s="6"/>
      <c r="N353" s="6"/>
      <c r="O353" s="16"/>
      <c r="P353" s="6"/>
      <c r="Q353" s="4"/>
      <c r="R353" s="4"/>
      <c r="S353" s="4"/>
      <c r="T353" s="4"/>
      <c r="U353" s="4"/>
      <c r="V353" s="4"/>
      <c r="W353" s="4"/>
      <c r="X353" s="4"/>
      <c r="Y353" s="4"/>
      <c r="Z353" s="4"/>
      <c r="AA353" s="4"/>
    </row>
    <row r="354" spans="1:27" ht="12.75" x14ac:dyDescent="0.2">
      <c r="A354" s="16"/>
      <c r="B354" s="6"/>
      <c r="C354" s="6"/>
      <c r="D354" s="6"/>
      <c r="E354" s="4"/>
      <c r="F354" s="6"/>
      <c r="G354" s="6"/>
      <c r="H354" s="6"/>
      <c r="I354" s="6"/>
      <c r="J354" s="6"/>
      <c r="K354" s="6"/>
      <c r="L354" s="6"/>
      <c r="M354" s="6"/>
      <c r="N354" s="6"/>
      <c r="O354" s="16"/>
      <c r="P354" s="6"/>
      <c r="Q354" s="4"/>
      <c r="R354" s="4"/>
      <c r="S354" s="4"/>
      <c r="T354" s="4"/>
      <c r="U354" s="4"/>
      <c r="V354" s="4"/>
      <c r="W354" s="4"/>
      <c r="X354" s="4"/>
      <c r="Y354" s="4"/>
      <c r="Z354" s="4"/>
      <c r="AA354" s="4"/>
    </row>
    <row r="355" spans="1:27" ht="12.75" x14ac:dyDescent="0.2">
      <c r="A355" s="16"/>
      <c r="B355" s="6"/>
      <c r="C355" s="6"/>
      <c r="D355" s="6"/>
      <c r="E355" s="4"/>
      <c r="F355" s="6"/>
      <c r="G355" s="6"/>
      <c r="H355" s="6"/>
      <c r="I355" s="6"/>
      <c r="J355" s="6"/>
      <c r="K355" s="6"/>
      <c r="L355" s="6"/>
      <c r="M355" s="6"/>
      <c r="N355" s="6"/>
      <c r="O355" s="16"/>
      <c r="P355" s="6"/>
      <c r="Q355" s="4"/>
      <c r="R355" s="4"/>
      <c r="S355" s="4"/>
      <c r="T355" s="4"/>
      <c r="U355" s="4"/>
      <c r="V355" s="4"/>
      <c r="W355" s="4"/>
      <c r="X355" s="4"/>
      <c r="Y355" s="4"/>
      <c r="Z355" s="4"/>
      <c r="AA355" s="4"/>
    </row>
    <row r="356" spans="1:27" ht="12.75" x14ac:dyDescent="0.2">
      <c r="A356" s="16"/>
      <c r="B356" s="6"/>
      <c r="C356" s="6"/>
      <c r="D356" s="6"/>
      <c r="E356" s="4"/>
      <c r="F356" s="6"/>
      <c r="G356" s="6"/>
      <c r="H356" s="6"/>
      <c r="I356" s="6"/>
      <c r="J356" s="6"/>
      <c r="K356" s="6"/>
      <c r="L356" s="6"/>
      <c r="M356" s="6"/>
      <c r="N356" s="6"/>
      <c r="O356" s="16"/>
      <c r="P356" s="6"/>
      <c r="Q356" s="4"/>
      <c r="R356" s="4"/>
      <c r="S356" s="4"/>
      <c r="T356" s="4"/>
      <c r="U356" s="4"/>
      <c r="V356" s="4"/>
      <c r="W356" s="4"/>
      <c r="X356" s="4"/>
      <c r="Y356" s="4"/>
      <c r="Z356" s="4"/>
      <c r="AA356" s="4"/>
    </row>
    <row r="357" spans="1:27" ht="12.75" x14ac:dyDescent="0.2">
      <c r="A357" s="16"/>
      <c r="B357" s="6"/>
      <c r="C357" s="6"/>
      <c r="D357" s="6"/>
      <c r="E357" s="4"/>
      <c r="F357" s="6"/>
      <c r="G357" s="6"/>
      <c r="H357" s="6"/>
      <c r="I357" s="6"/>
      <c r="J357" s="6"/>
      <c r="K357" s="6"/>
      <c r="L357" s="6"/>
      <c r="M357" s="6"/>
      <c r="N357" s="6"/>
      <c r="O357" s="16"/>
      <c r="P357" s="6"/>
      <c r="Q357" s="4"/>
      <c r="R357" s="4"/>
      <c r="S357" s="4"/>
      <c r="T357" s="4"/>
      <c r="U357" s="4"/>
      <c r="V357" s="4"/>
      <c r="W357" s="4"/>
      <c r="X357" s="4"/>
      <c r="Y357" s="4"/>
      <c r="Z357" s="4"/>
      <c r="AA357" s="4"/>
    </row>
    <row r="358" spans="1:27" ht="12.75" x14ac:dyDescent="0.2">
      <c r="A358" s="16"/>
      <c r="B358" s="6"/>
      <c r="C358" s="6"/>
      <c r="D358" s="6"/>
      <c r="E358" s="4"/>
      <c r="F358" s="6"/>
      <c r="G358" s="6"/>
      <c r="H358" s="6"/>
      <c r="I358" s="6"/>
      <c r="J358" s="6"/>
      <c r="K358" s="6"/>
      <c r="L358" s="6"/>
      <c r="M358" s="6"/>
      <c r="N358" s="6"/>
      <c r="O358" s="16"/>
      <c r="P358" s="6"/>
      <c r="Q358" s="4"/>
      <c r="R358" s="4"/>
      <c r="S358" s="4"/>
      <c r="T358" s="4"/>
      <c r="U358" s="4"/>
      <c r="V358" s="4"/>
      <c r="W358" s="4"/>
      <c r="X358" s="4"/>
      <c r="Y358" s="4"/>
      <c r="Z358" s="4"/>
      <c r="AA358" s="4"/>
    </row>
    <row r="359" spans="1:27" ht="12.75" x14ac:dyDescent="0.2">
      <c r="A359" s="16"/>
      <c r="B359" s="6"/>
      <c r="C359" s="6"/>
      <c r="D359" s="6"/>
      <c r="E359" s="4"/>
      <c r="F359" s="6"/>
      <c r="G359" s="6"/>
      <c r="H359" s="6"/>
      <c r="I359" s="6"/>
      <c r="J359" s="6"/>
      <c r="K359" s="6"/>
      <c r="L359" s="6"/>
      <c r="M359" s="6"/>
      <c r="N359" s="6"/>
      <c r="O359" s="16"/>
      <c r="P359" s="6"/>
      <c r="Q359" s="4"/>
      <c r="R359" s="4"/>
      <c r="S359" s="4"/>
      <c r="T359" s="4"/>
      <c r="U359" s="4"/>
      <c r="V359" s="4"/>
      <c r="W359" s="4"/>
      <c r="X359" s="4"/>
      <c r="Y359" s="4"/>
      <c r="Z359" s="4"/>
      <c r="AA359" s="4"/>
    </row>
    <row r="360" spans="1:27" ht="12.75" x14ac:dyDescent="0.2">
      <c r="A360" s="16"/>
      <c r="B360" s="6"/>
      <c r="C360" s="6"/>
      <c r="D360" s="6"/>
      <c r="E360" s="4"/>
      <c r="F360" s="6"/>
      <c r="G360" s="6"/>
      <c r="H360" s="6"/>
      <c r="I360" s="6"/>
      <c r="J360" s="6"/>
      <c r="K360" s="6"/>
      <c r="L360" s="6"/>
      <c r="M360" s="6"/>
      <c r="N360" s="6"/>
      <c r="O360" s="16"/>
      <c r="P360" s="6"/>
      <c r="Q360" s="4"/>
      <c r="R360" s="4"/>
      <c r="S360" s="4"/>
      <c r="T360" s="4"/>
      <c r="U360" s="4"/>
      <c r="V360" s="4"/>
      <c r="W360" s="4"/>
      <c r="X360" s="4"/>
      <c r="Y360" s="4"/>
      <c r="Z360" s="4"/>
      <c r="AA360" s="4"/>
    </row>
    <row r="361" spans="1:27" ht="12.75" x14ac:dyDescent="0.2">
      <c r="A361" s="16"/>
      <c r="B361" s="6"/>
      <c r="C361" s="6"/>
      <c r="D361" s="6"/>
      <c r="E361" s="4"/>
      <c r="F361" s="6"/>
      <c r="G361" s="6"/>
      <c r="H361" s="6"/>
      <c r="I361" s="6"/>
      <c r="J361" s="6"/>
      <c r="K361" s="6"/>
      <c r="L361" s="6"/>
      <c r="M361" s="6"/>
      <c r="N361" s="6"/>
      <c r="O361" s="16"/>
      <c r="P361" s="6"/>
      <c r="Q361" s="4"/>
      <c r="R361" s="4"/>
      <c r="S361" s="4"/>
      <c r="T361" s="4"/>
      <c r="U361" s="4"/>
      <c r="V361" s="4"/>
      <c r="W361" s="4"/>
      <c r="X361" s="4"/>
      <c r="Y361" s="4"/>
      <c r="Z361" s="4"/>
      <c r="AA361" s="4"/>
    </row>
    <row r="362" spans="1:27" ht="12.75" x14ac:dyDescent="0.2">
      <c r="A362" s="16"/>
      <c r="B362" s="6"/>
      <c r="C362" s="6"/>
      <c r="D362" s="6"/>
      <c r="E362" s="4"/>
      <c r="F362" s="6"/>
      <c r="G362" s="6"/>
      <c r="H362" s="6"/>
      <c r="I362" s="6"/>
      <c r="J362" s="6"/>
      <c r="K362" s="6"/>
      <c r="L362" s="6"/>
      <c r="M362" s="6"/>
      <c r="N362" s="6"/>
      <c r="O362" s="16"/>
      <c r="P362" s="6"/>
      <c r="Q362" s="4"/>
      <c r="R362" s="4"/>
      <c r="S362" s="4"/>
      <c r="T362" s="4"/>
      <c r="U362" s="4"/>
      <c r="V362" s="4"/>
      <c r="W362" s="4"/>
      <c r="X362" s="4"/>
      <c r="Y362" s="4"/>
      <c r="Z362" s="4"/>
      <c r="AA362" s="4"/>
    </row>
    <row r="363" spans="1:27" ht="12.75" x14ac:dyDescent="0.2">
      <c r="A363" s="16"/>
      <c r="B363" s="6"/>
      <c r="C363" s="6"/>
      <c r="D363" s="6"/>
      <c r="E363" s="4"/>
      <c r="F363" s="6"/>
      <c r="G363" s="6"/>
      <c r="H363" s="6"/>
      <c r="I363" s="6"/>
      <c r="J363" s="6"/>
      <c r="K363" s="6"/>
      <c r="L363" s="6"/>
      <c r="M363" s="6"/>
      <c r="N363" s="6"/>
      <c r="O363" s="16"/>
      <c r="P363" s="6"/>
      <c r="Q363" s="4"/>
      <c r="R363" s="4"/>
      <c r="S363" s="4"/>
      <c r="T363" s="4"/>
      <c r="U363" s="4"/>
      <c r="V363" s="4"/>
      <c r="W363" s="4"/>
      <c r="X363" s="4"/>
      <c r="Y363" s="4"/>
      <c r="Z363" s="4"/>
      <c r="AA363" s="4"/>
    </row>
    <row r="364" spans="1:27" ht="12.75" x14ac:dyDescent="0.2">
      <c r="A364" s="16"/>
      <c r="B364" s="6"/>
      <c r="C364" s="6"/>
      <c r="D364" s="6"/>
      <c r="E364" s="4"/>
      <c r="F364" s="6"/>
      <c r="G364" s="6"/>
      <c r="H364" s="6"/>
      <c r="I364" s="6"/>
      <c r="J364" s="6"/>
      <c r="K364" s="6"/>
      <c r="L364" s="6"/>
      <c r="M364" s="6"/>
      <c r="N364" s="6"/>
      <c r="O364" s="16"/>
      <c r="P364" s="6"/>
      <c r="Q364" s="4"/>
      <c r="R364" s="4"/>
      <c r="S364" s="4"/>
      <c r="T364" s="4"/>
      <c r="U364" s="4"/>
      <c r="V364" s="4"/>
      <c r="W364" s="4"/>
      <c r="X364" s="4"/>
      <c r="Y364" s="4"/>
      <c r="Z364" s="4"/>
      <c r="AA364" s="4"/>
    </row>
    <row r="365" spans="1:27" ht="12.75" x14ac:dyDescent="0.2">
      <c r="A365" s="16"/>
      <c r="B365" s="6"/>
      <c r="C365" s="6"/>
      <c r="D365" s="6"/>
      <c r="E365" s="4"/>
      <c r="F365" s="6"/>
      <c r="G365" s="6"/>
      <c r="H365" s="6"/>
      <c r="I365" s="6"/>
      <c r="J365" s="6"/>
      <c r="K365" s="6"/>
      <c r="L365" s="6"/>
      <c r="M365" s="6"/>
      <c r="N365" s="6"/>
      <c r="O365" s="16"/>
      <c r="P365" s="6"/>
      <c r="Q365" s="4"/>
      <c r="R365" s="4"/>
      <c r="S365" s="4"/>
      <c r="T365" s="4"/>
      <c r="U365" s="4"/>
      <c r="V365" s="4"/>
      <c r="W365" s="4"/>
      <c r="X365" s="4"/>
      <c r="Y365" s="4"/>
      <c r="Z365" s="4"/>
      <c r="AA365" s="4"/>
    </row>
    <row r="366" spans="1:27" ht="12.75" x14ac:dyDescent="0.2">
      <c r="A366" s="16"/>
      <c r="B366" s="6"/>
      <c r="C366" s="6"/>
      <c r="D366" s="6"/>
      <c r="E366" s="4"/>
      <c r="F366" s="6"/>
      <c r="G366" s="6"/>
      <c r="H366" s="6"/>
      <c r="I366" s="6"/>
      <c r="J366" s="6"/>
      <c r="K366" s="6"/>
      <c r="L366" s="6"/>
      <c r="M366" s="6"/>
      <c r="N366" s="6"/>
      <c r="O366" s="16"/>
      <c r="P366" s="6"/>
      <c r="Q366" s="4"/>
      <c r="R366" s="4"/>
      <c r="S366" s="4"/>
      <c r="T366" s="4"/>
      <c r="U366" s="4"/>
      <c r="V366" s="4"/>
      <c r="W366" s="4"/>
      <c r="X366" s="4"/>
      <c r="Y366" s="4"/>
      <c r="Z366" s="4"/>
      <c r="AA366" s="4"/>
    </row>
    <row r="367" spans="1:27" ht="12.75" x14ac:dyDescent="0.2">
      <c r="A367" s="16"/>
      <c r="B367" s="6"/>
      <c r="C367" s="6"/>
      <c r="D367" s="6"/>
      <c r="E367" s="4"/>
      <c r="F367" s="6"/>
      <c r="G367" s="6"/>
      <c r="H367" s="6"/>
      <c r="I367" s="6"/>
      <c r="J367" s="6"/>
      <c r="K367" s="6"/>
      <c r="L367" s="6"/>
      <c r="M367" s="6"/>
      <c r="N367" s="6"/>
      <c r="O367" s="16"/>
      <c r="P367" s="6"/>
      <c r="Q367" s="4"/>
      <c r="R367" s="4"/>
      <c r="S367" s="4"/>
      <c r="T367" s="4"/>
      <c r="U367" s="4"/>
      <c r="V367" s="4"/>
      <c r="W367" s="4"/>
      <c r="X367" s="4"/>
      <c r="Y367" s="4"/>
      <c r="Z367" s="4"/>
      <c r="AA367" s="4"/>
    </row>
    <row r="368" spans="1:27" ht="12.75" x14ac:dyDescent="0.2">
      <c r="A368" s="16"/>
      <c r="B368" s="6"/>
      <c r="C368" s="6"/>
      <c r="D368" s="6"/>
      <c r="E368" s="4"/>
      <c r="F368" s="6"/>
      <c r="G368" s="6"/>
      <c r="H368" s="6"/>
      <c r="I368" s="6"/>
      <c r="J368" s="6"/>
      <c r="K368" s="6"/>
      <c r="L368" s="6"/>
      <c r="M368" s="6"/>
      <c r="N368" s="6"/>
      <c r="O368" s="16"/>
      <c r="P368" s="6"/>
      <c r="Q368" s="4"/>
      <c r="R368" s="4"/>
      <c r="S368" s="4"/>
      <c r="T368" s="4"/>
      <c r="U368" s="4"/>
      <c r="V368" s="4"/>
      <c r="W368" s="4"/>
      <c r="X368" s="4"/>
      <c r="Y368" s="4"/>
      <c r="Z368" s="4"/>
      <c r="AA368" s="4"/>
    </row>
    <row r="369" spans="1:27" ht="12.75" x14ac:dyDescent="0.2">
      <c r="A369" s="16"/>
      <c r="B369" s="6"/>
      <c r="C369" s="6"/>
      <c r="D369" s="6"/>
      <c r="E369" s="4"/>
      <c r="F369" s="6"/>
      <c r="G369" s="6"/>
      <c r="H369" s="6"/>
      <c r="I369" s="6"/>
      <c r="J369" s="6"/>
      <c r="K369" s="6"/>
      <c r="L369" s="6"/>
      <c r="M369" s="6"/>
      <c r="N369" s="6"/>
      <c r="O369" s="16"/>
      <c r="P369" s="6"/>
      <c r="Q369" s="4"/>
      <c r="R369" s="4"/>
      <c r="S369" s="4"/>
      <c r="T369" s="4"/>
      <c r="U369" s="4"/>
      <c r="V369" s="4"/>
      <c r="W369" s="4"/>
      <c r="X369" s="4"/>
      <c r="Y369" s="4"/>
      <c r="Z369" s="4"/>
      <c r="AA369" s="4"/>
    </row>
    <row r="370" spans="1:27" ht="12.75" x14ac:dyDescent="0.2">
      <c r="A370" s="16"/>
      <c r="B370" s="6"/>
      <c r="C370" s="6"/>
      <c r="D370" s="6"/>
      <c r="E370" s="4"/>
      <c r="F370" s="6"/>
      <c r="G370" s="6"/>
      <c r="H370" s="6"/>
      <c r="I370" s="6"/>
      <c r="J370" s="6"/>
      <c r="K370" s="6"/>
      <c r="L370" s="6"/>
      <c r="M370" s="6"/>
      <c r="N370" s="6"/>
      <c r="O370" s="16"/>
      <c r="P370" s="6"/>
      <c r="Q370" s="4"/>
      <c r="R370" s="4"/>
      <c r="S370" s="4"/>
      <c r="T370" s="4"/>
      <c r="U370" s="4"/>
      <c r="V370" s="4"/>
      <c r="W370" s="4"/>
      <c r="X370" s="4"/>
      <c r="Y370" s="4"/>
      <c r="Z370" s="4"/>
      <c r="AA370" s="4"/>
    </row>
    <row r="371" spans="1:27" ht="12.75" x14ac:dyDescent="0.2">
      <c r="A371" s="16"/>
      <c r="B371" s="6"/>
      <c r="C371" s="6"/>
      <c r="D371" s="6"/>
      <c r="E371" s="4"/>
      <c r="F371" s="6"/>
      <c r="G371" s="6"/>
      <c r="H371" s="6"/>
      <c r="I371" s="6"/>
      <c r="J371" s="6"/>
      <c r="K371" s="6"/>
      <c r="L371" s="6"/>
      <c r="M371" s="6"/>
      <c r="N371" s="6"/>
      <c r="O371" s="16"/>
      <c r="P371" s="6"/>
      <c r="Q371" s="4"/>
      <c r="R371" s="4"/>
      <c r="S371" s="4"/>
      <c r="T371" s="4"/>
      <c r="U371" s="4"/>
      <c r="V371" s="4"/>
      <c r="W371" s="4"/>
      <c r="X371" s="4"/>
      <c r="Y371" s="4"/>
      <c r="Z371" s="4"/>
      <c r="AA371" s="4"/>
    </row>
    <row r="372" spans="1:27" ht="12.75" x14ac:dyDescent="0.2">
      <c r="A372" s="16"/>
      <c r="B372" s="6"/>
      <c r="C372" s="6"/>
      <c r="D372" s="6"/>
      <c r="E372" s="4"/>
      <c r="F372" s="6"/>
      <c r="G372" s="6"/>
      <c r="H372" s="6"/>
      <c r="I372" s="6"/>
      <c r="J372" s="6"/>
      <c r="K372" s="6"/>
      <c r="L372" s="6"/>
      <c r="M372" s="6"/>
      <c r="N372" s="6"/>
      <c r="O372" s="16"/>
      <c r="P372" s="6"/>
      <c r="Q372" s="4"/>
      <c r="R372" s="4"/>
      <c r="S372" s="4"/>
      <c r="T372" s="4"/>
      <c r="U372" s="4"/>
      <c r="V372" s="4"/>
      <c r="W372" s="4"/>
      <c r="X372" s="4"/>
      <c r="Y372" s="4"/>
      <c r="Z372" s="4"/>
      <c r="AA372" s="4"/>
    </row>
    <row r="373" spans="1:27" ht="12.75" x14ac:dyDescent="0.2">
      <c r="A373" s="16"/>
      <c r="B373" s="6"/>
      <c r="C373" s="6"/>
      <c r="D373" s="6"/>
      <c r="E373" s="4"/>
      <c r="F373" s="6"/>
      <c r="G373" s="6"/>
      <c r="H373" s="6"/>
      <c r="I373" s="6"/>
      <c r="J373" s="6"/>
      <c r="K373" s="6"/>
      <c r="L373" s="6"/>
      <c r="M373" s="6"/>
      <c r="N373" s="6"/>
      <c r="O373" s="16"/>
      <c r="P373" s="6"/>
      <c r="Q373" s="4"/>
      <c r="R373" s="4"/>
      <c r="S373" s="4"/>
      <c r="T373" s="4"/>
      <c r="U373" s="4"/>
      <c r="V373" s="4"/>
      <c r="W373" s="4"/>
      <c r="X373" s="4"/>
      <c r="Y373" s="4"/>
      <c r="Z373" s="4"/>
      <c r="AA373" s="4"/>
    </row>
    <row r="374" spans="1:27" ht="12.75" x14ac:dyDescent="0.2">
      <c r="A374" s="16"/>
      <c r="B374" s="6"/>
      <c r="C374" s="6"/>
      <c r="D374" s="6"/>
      <c r="E374" s="4"/>
      <c r="F374" s="6"/>
      <c r="G374" s="6"/>
      <c r="H374" s="6"/>
      <c r="I374" s="6"/>
      <c r="J374" s="6"/>
      <c r="K374" s="6"/>
      <c r="L374" s="6"/>
      <c r="M374" s="6"/>
      <c r="N374" s="6"/>
      <c r="O374" s="16"/>
      <c r="P374" s="6"/>
      <c r="Q374" s="4"/>
      <c r="R374" s="4"/>
      <c r="S374" s="4"/>
      <c r="T374" s="4"/>
      <c r="U374" s="4"/>
      <c r="V374" s="4"/>
      <c r="W374" s="4"/>
      <c r="X374" s="4"/>
      <c r="Y374" s="4"/>
      <c r="Z374" s="4"/>
      <c r="AA374" s="4"/>
    </row>
    <row r="375" spans="1:27" ht="12.75" x14ac:dyDescent="0.2">
      <c r="A375" s="16"/>
      <c r="B375" s="6"/>
      <c r="C375" s="6"/>
      <c r="D375" s="6"/>
      <c r="E375" s="4"/>
      <c r="F375" s="6"/>
      <c r="G375" s="6"/>
      <c r="H375" s="6"/>
      <c r="I375" s="6"/>
      <c r="J375" s="6"/>
      <c r="K375" s="6"/>
      <c r="L375" s="6"/>
      <c r="M375" s="6"/>
      <c r="N375" s="6"/>
      <c r="O375" s="16"/>
      <c r="P375" s="6"/>
      <c r="Q375" s="4"/>
      <c r="R375" s="4"/>
      <c r="S375" s="4"/>
      <c r="T375" s="4"/>
      <c r="U375" s="4"/>
      <c r="V375" s="4"/>
      <c r="W375" s="4"/>
      <c r="X375" s="4"/>
      <c r="Y375" s="4"/>
      <c r="Z375" s="4"/>
      <c r="AA375" s="4"/>
    </row>
    <row r="376" spans="1:27" ht="12.75" x14ac:dyDescent="0.2">
      <c r="A376" s="16"/>
      <c r="B376" s="6"/>
      <c r="C376" s="6"/>
      <c r="D376" s="6"/>
      <c r="E376" s="4"/>
      <c r="F376" s="6"/>
      <c r="G376" s="6"/>
      <c r="H376" s="6"/>
      <c r="I376" s="6"/>
      <c r="J376" s="6"/>
      <c r="K376" s="6"/>
      <c r="L376" s="6"/>
      <c r="M376" s="6"/>
      <c r="N376" s="6"/>
      <c r="O376" s="16"/>
      <c r="P376" s="6"/>
      <c r="Q376" s="4"/>
      <c r="R376" s="4"/>
      <c r="S376" s="4"/>
      <c r="T376" s="4"/>
      <c r="U376" s="4"/>
      <c r="V376" s="4"/>
      <c r="W376" s="4"/>
      <c r="X376" s="4"/>
      <c r="Y376" s="4"/>
      <c r="Z376" s="4"/>
      <c r="AA376" s="4"/>
    </row>
    <row r="377" spans="1:27" ht="12.75" x14ac:dyDescent="0.2">
      <c r="A377" s="16"/>
      <c r="B377" s="6"/>
      <c r="C377" s="6"/>
      <c r="D377" s="6"/>
      <c r="E377" s="4"/>
      <c r="F377" s="6"/>
      <c r="G377" s="6"/>
      <c r="H377" s="6"/>
      <c r="I377" s="6"/>
      <c r="J377" s="6"/>
      <c r="K377" s="6"/>
      <c r="L377" s="6"/>
      <c r="M377" s="6"/>
      <c r="N377" s="6"/>
      <c r="O377" s="16"/>
      <c r="P377" s="6"/>
      <c r="Q377" s="4"/>
      <c r="R377" s="4"/>
      <c r="S377" s="4"/>
      <c r="T377" s="4"/>
      <c r="U377" s="4"/>
      <c r="V377" s="4"/>
      <c r="W377" s="4"/>
      <c r="X377" s="4"/>
      <c r="Y377" s="4"/>
      <c r="Z377" s="4"/>
      <c r="AA377" s="4"/>
    </row>
    <row r="378" spans="1:27" ht="12.75" x14ac:dyDescent="0.2">
      <c r="A378" s="16"/>
      <c r="B378" s="6"/>
      <c r="C378" s="6"/>
      <c r="D378" s="6"/>
      <c r="E378" s="4"/>
      <c r="F378" s="6"/>
      <c r="G378" s="6"/>
      <c r="H378" s="6"/>
      <c r="I378" s="6"/>
      <c r="J378" s="6"/>
      <c r="K378" s="6"/>
      <c r="L378" s="6"/>
      <c r="M378" s="6"/>
      <c r="N378" s="6"/>
      <c r="O378" s="16"/>
      <c r="P378" s="6"/>
      <c r="Q378" s="4"/>
      <c r="R378" s="4"/>
      <c r="S378" s="4"/>
      <c r="T378" s="4"/>
      <c r="U378" s="4"/>
      <c r="V378" s="4"/>
      <c r="W378" s="4"/>
      <c r="X378" s="4"/>
      <c r="Y378" s="4"/>
      <c r="Z378" s="4"/>
      <c r="AA378" s="4"/>
    </row>
    <row r="379" spans="1:27" ht="12.75" x14ac:dyDescent="0.2">
      <c r="A379" s="16"/>
      <c r="B379" s="6"/>
      <c r="C379" s="6"/>
      <c r="D379" s="6"/>
      <c r="E379" s="4"/>
      <c r="F379" s="6"/>
      <c r="G379" s="6"/>
      <c r="H379" s="6"/>
      <c r="I379" s="6"/>
      <c r="J379" s="6"/>
      <c r="K379" s="6"/>
      <c r="L379" s="6"/>
      <c r="M379" s="6"/>
      <c r="N379" s="6"/>
      <c r="O379" s="16"/>
      <c r="P379" s="6"/>
      <c r="Q379" s="4"/>
      <c r="R379" s="4"/>
      <c r="S379" s="4"/>
      <c r="T379" s="4"/>
      <c r="U379" s="4"/>
      <c r="V379" s="4"/>
      <c r="W379" s="4"/>
      <c r="X379" s="4"/>
      <c r="Y379" s="4"/>
      <c r="Z379" s="4"/>
      <c r="AA379" s="4"/>
    </row>
    <row r="380" spans="1:27" ht="12.75" x14ac:dyDescent="0.2">
      <c r="A380" s="16"/>
      <c r="B380" s="6"/>
      <c r="C380" s="6"/>
      <c r="D380" s="6"/>
      <c r="E380" s="4"/>
      <c r="F380" s="6"/>
      <c r="G380" s="6"/>
      <c r="H380" s="6"/>
      <c r="I380" s="6"/>
      <c r="J380" s="6"/>
      <c r="K380" s="6"/>
      <c r="L380" s="6"/>
      <c r="M380" s="6"/>
      <c r="N380" s="6"/>
      <c r="O380" s="16"/>
      <c r="P380" s="6"/>
      <c r="Q380" s="4"/>
      <c r="R380" s="4"/>
      <c r="S380" s="4"/>
      <c r="T380" s="4"/>
      <c r="U380" s="4"/>
      <c r="V380" s="4"/>
      <c r="W380" s="4"/>
      <c r="X380" s="4"/>
      <c r="Y380" s="4"/>
      <c r="Z380" s="4"/>
      <c r="AA380" s="4"/>
    </row>
    <row r="381" spans="1:27" ht="12.75" x14ac:dyDescent="0.2">
      <c r="A381" s="16"/>
      <c r="B381" s="6"/>
      <c r="C381" s="6"/>
      <c r="D381" s="6"/>
      <c r="E381" s="4"/>
      <c r="F381" s="6"/>
      <c r="G381" s="6"/>
      <c r="H381" s="6"/>
      <c r="I381" s="6"/>
      <c r="J381" s="6"/>
      <c r="K381" s="6"/>
      <c r="L381" s="6"/>
      <c r="M381" s="6"/>
      <c r="N381" s="6"/>
      <c r="O381" s="16"/>
      <c r="P381" s="6"/>
      <c r="Q381" s="4"/>
      <c r="R381" s="4"/>
      <c r="S381" s="4"/>
      <c r="T381" s="4"/>
      <c r="U381" s="4"/>
      <c r="V381" s="4"/>
      <c r="W381" s="4"/>
      <c r="X381" s="4"/>
      <c r="Y381" s="4"/>
      <c r="Z381" s="4"/>
      <c r="AA381" s="4"/>
    </row>
    <row r="382" spans="1:27" ht="12.75" x14ac:dyDescent="0.2">
      <c r="A382" s="16"/>
      <c r="B382" s="6"/>
      <c r="C382" s="6"/>
      <c r="D382" s="6"/>
      <c r="E382" s="4"/>
      <c r="F382" s="6"/>
      <c r="G382" s="6"/>
      <c r="H382" s="6"/>
      <c r="I382" s="6"/>
      <c r="J382" s="6"/>
      <c r="K382" s="6"/>
      <c r="L382" s="6"/>
      <c r="M382" s="6"/>
      <c r="N382" s="6"/>
      <c r="O382" s="16"/>
      <c r="P382" s="6"/>
      <c r="Q382" s="4"/>
      <c r="R382" s="4"/>
      <c r="S382" s="4"/>
      <c r="T382" s="4"/>
      <c r="U382" s="4"/>
      <c r="V382" s="4"/>
      <c r="W382" s="4"/>
      <c r="X382" s="4"/>
      <c r="Y382" s="4"/>
      <c r="Z382" s="4"/>
      <c r="AA382" s="4"/>
    </row>
    <row r="383" spans="1:27" ht="12.75" x14ac:dyDescent="0.2">
      <c r="A383" s="16"/>
      <c r="B383" s="6"/>
      <c r="C383" s="6"/>
      <c r="D383" s="6"/>
      <c r="E383" s="4"/>
      <c r="F383" s="6"/>
      <c r="G383" s="6"/>
      <c r="H383" s="6"/>
      <c r="I383" s="6"/>
      <c r="J383" s="6"/>
      <c r="K383" s="6"/>
      <c r="L383" s="6"/>
      <c r="M383" s="6"/>
      <c r="N383" s="6"/>
      <c r="O383" s="16"/>
      <c r="P383" s="6"/>
      <c r="Q383" s="4"/>
      <c r="R383" s="4"/>
      <c r="S383" s="4"/>
      <c r="T383" s="4"/>
      <c r="U383" s="4"/>
      <c r="V383" s="4"/>
      <c r="W383" s="4"/>
      <c r="X383" s="4"/>
      <c r="Y383" s="4"/>
      <c r="Z383" s="4"/>
      <c r="AA383" s="4"/>
    </row>
    <row r="384" spans="1:27" ht="12.75" x14ac:dyDescent="0.2">
      <c r="A384" s="16"/>
      <c r="B384" s="6"/>
      <c r="C384" s="6"/>
      <c r="D384" s="6"/>
      <c r="E384" s="4"/>
      <c r="F384" s="6"/>
      <c r="G384" s="6"/>
      <c r="H384" s="6"/>
      <c r="I384" s="6"/>
      <c r="J384" s="6"/>
      <c r="K384" s="6"/>
      <c r="L384" s="6"/>
      <c r="M384" s="6"/>
      <c r="N384" s="6"/>
      <c r="O384" s="16"/>
      <c r="P384" s="6"/>
      <c r="Q384" s="4"/>
      <c r="R384" s="4"/>
      <c r="S384" s="4"/>
      <c r="T384" s="4"/>
      <c r="U384" s="4"/>
      <c r="V384" s="4"/>
      <c r="W384" s="4"/>
      <c r="X384" s="4"/>
      <c r="Y384" s="4"/>
      <c r="Z384" s="4"/>
      <c r="AA384" s="4"/>
    </row>
    <row r="385" spans="1:27" ht="12.75" x14ac:dyDescent="0.2">
      <c r="A385" s="16"/>
      <c r="B385" s="6"/>
      <c r="C385" s="6"/>
      <c r="D385" s="6"/>
      <c r="E385" s="4"/>
      <c r="F385" s="6"/>
      <c r="G385" s="6"/>
      <c r="H385" s="6"/>
      <c r="I385" s="6"/>
      <c r="J385" s="6"/>
      <c r="K385" s="6"/>
      <c r="L385" s="6"/>
      <c r="M385" s="6"/>
      <c r="N385" s="6"/>
      <c r="O385" s="16"/>
      <c r="P385" s="6"/>
      <c r="Q385" s="4"/>
      <c r="R385" s="4"/>
      <c r="S385" s="4"/>
      <c r="T385" s="4"/>
      <c r="U385" s="4"/>
      <c r="V385" s="4"/>
      <c r="W385" s="4"/>
      <c r="X385" s="4"/>
      <c r="Y385" s="4"/>
      <c r="Z385" s="4"/>
      <c r="AA385" s="4"/>
    </row>
    <row r="386" spans="1:27" ht="12.75" x14ac:dyDescent="0.2">
      <c r="A386" s="16"/>
      <c r="B386" s="6"/>
      <c r="C386" s="6"/>
      <c r="D386" s="6"/>
      <c r="E386" s="4"/>
      <c r="F386" s="6"/>
      <c r="G386" s="6"/>
      <c r="H386" s="6"/>
      <c r="I386" s="6"/>
      <c r="J386" s="6"/>
      <c r="K386" s="6"/>
      <c r="L386" s="6"/>
      <c r="M386" s="6"/>
      <c r="N386" s="6"/>
      <c r="O386" s="16"/>
      <c r="P386" s="6"/>
      <c r="Q386" s="4"/>
      <c r="R386" s="4"/>
      <c r="S386" s="4"/>
      <c r="T386" s="4"/>
      <c r="U386" s="4"/>
      <c r="V386" s="4"/>
      <c r="W386" s="4"/>
      <c r="X386" s="4"/>
      <c r="Y386" s="4"/>
      <c r="Z386" s="4"/>
      <c r="AA386" s="4"/>
    </row>
    <row r="387" spans="1:27" ht="12.75" x14ac:dyDescent="0.2">
      <c r="A387" s="16"/>
      <c r="B387" s="6"/>
      <c r="C387" s="6"/>
      <c r="D387" s="6"/>
      <c r="E387" s="4"/>
      <c r="F387" s="6"/>
      <c r="G387" s="6"/>
      <c r="H387" s="6"/>
      <c r="I387" s="6"/>
      <c r="J387" s="6"/>
      <c r="K387" s="6"/>
      <c r="L387" s="6"/>
      <c r="M387" s="6"/>
      <c r="N387" s="6"/>
      <c r="O387" s="16"/>
      <c r="P387" s="6"/>
      <c r="Q387" s="4"/>
      <c r="R387" s="4"/>
      <c r="S387" s="4"/>
      <c r="T387" s="4"/>
      <c r="U387" s="4"/>
      <c r="V387" s="4"/>
      <c r="W387" s="4"/>
      <c r="X387" s="4"/>
      <c r="Y387" s="4"/>
      <c r="Z387" s="4"/>
      <c r="AA387" s="4"/>
    </row>
    <row r="388" spans="1:27" ht="12.75" x14ac:dyDescent="0.2">
      <c r="A388" s="16"/>
      <c r="B388" s="6"/>
      <c r="C388" s="6"/>
      <c r="D388" s="6"/>
      <c r="E388" s="4"/>
      <c r="F388" s="6"/>
      <c r="G388" s="6"/>
      <c r="H388" s="6"/>
      <c r="I388" s="6"/>
      <c r="J388" s="6"/>
      <c r="K388" s="6"/>
      <c r="L388" s="6"/>
      <c r="M388" s="6"/>
      <c r="N388" s="6"/>
      <c r="O388" s="16"/>
      <c r="P388" s="6"/>
      <c r="Q388" s="4"/>
      <c r="R388" s="4"/>
      <c r="S388" s="4"/>
      <c r="T388" s="4"/>
      <c r="U388" s="4"/>
      <c r="V388" s="4"/>
      <c r="W388" s="4"/>
      <c r="X388" s="4"/>
      <c r="Y388" s="4"/>
      <c r="Z388" s="4"/>
      <c r="AA388" s="4"/>
    </row>
    <row r="389" spans="1:27" ht="12.75" x14ac:dyDescent="0.2">
      <c r="A389" s="16"/>
      <c r="B389" s="6"/>
      <c r="C389" s="6"/>
      <c r="D389" s="6"/>
      <c r="E389" s="4"/>
      <c r="F389" s="6"/>
      <c r="G389" s="6"/>
      <c r="H389" s="6"/>
      <c r="I389" s="6"/>
      <c r="J389" s="6"/>
      <c r="K389" s="6"/>
      <c r="L389" s="6"/>
      <c r="M389" s="6"/>
      <c r="N389" s="6"/>
      <c r="O389" s="16"/>
      <c r="P389" s="6"/>
      <c r="Q389" s="4"/>
      <c r="R389" s="4"/>
      <c r="S389" s="4"/>
      <c r="T389" s="4"/>
      <c r="U389" s="4"/>
      <c r="V389" s="4"/>
      <c r="W389" s="4"/>
      <c r="X389" s="4"/>
      <c r="Y389" s="4"/>
      <c r="Z389" s="4"/>
      <c r="AA389" s="4"/>
    </row>
    <row r="390" spans="1:27" ht="12.75" x14ac:dyDescent="0.2">
      <c r="A390" s="16"/>
      <c r="B390" s="6"/>
      <c r="C390" s="6"/>
      <c r="D390" s="6"/>
      <c r="E390" s="4"/>
      <c r="F390" s="6"/>
      <c r="G390" s="6"/>
      <c r="H390" s="6"/>
      <c r="I390" s="6"/>
      <c r="J390" s="6"/>
      <c r="K390" s="6"/>
      <c r="L390" s="6"/>
      <c r="M390" s="6"/>
      <c r="N390" s="6"/>
      <c r="O390" s="16"/>
      <c r="P390" s="6"/>
      <c r="Q390" s="4"/>
      <c r="R390" s="4"/>
      <c r="S390" s="4"/>
      <c r="T390" s="4"/>
      <c r="U390" s="4"/>
      <c r="V390" s="4"/>
      <c r="W390" s="4"/>
      <c r="X390" s="4"/>
      <c r="Y390" s="4"/>
      <c r="Z390" s="4"/>
      <c r="AA390" s="4"/>
    </row>
    <row r="391" spans="1:27" ht="12.75" x14ac:dyDescent="0.2">
      <c r="A391" s="16"/>
      <c r="B391" s="6"/>
      <c r="C391" s="6"/>
      <c r="D391" s="6"/>
      <c r="E391" s="4"/>
      <c r="F391" s="6"/>
      <c r="G391" s="6"/>
      <c r="H391" s="6"/>
      <c r="I391" s="6"/>
      <c r="J391" s="6"/>
      <c r="K391" s="6"/>
      <c r="L391" s="6"/>
      <c r="M391" s="6"/>
      <c r="N391" s="6"/>
      <c r="O391" s="16"/>
      <c r="P391" s="6"/>
      <c r="Q391" s="4"/>
      <c r="R391" s="4"/>
      <c r="S391" s="4"/>
      <c r="T391" s="4"/>
      <c r="U391" s="4"/>
      <c r="V391" s="4"/>
      <c r="W391" s="4"/>
      <c r="X391" s="4"/>
      <c r="Y391" s="4"/>
      <c r="Z391" s="4"/>
      <c r="AA391" s="4"/>
    </row>
    <row r="392" spans="1:27" ht="12.75" x14ac:dyDescent="0.2">
      <c r="A392" s="16"/>
      <c r="B392" s="6"/>
      <c r="C392" s="6"/>
      <c r="D392" s="6"/>
      <c r="E392" s="4"/>
      <c r="F392" s="6"/>
      <c r="G392" s="6"/>
      <c r="H392" s="6"/>
      <c r="I392" s="6"/>
      <c r="J392" s="6"/>
      <c r="K392" s="6"/>
      <c r="L392" s="6"/>
      <c r="M392" s="6"/>
      <c r="N392" s="6"/>
      <c r="O392" s="16"/>
      <c r="P392" s="6"/>
      <c r="Q392" s="4"/>
      <c r="R392" s="4"/>
      <c r="S392" s="4"/>
      <c r="T392" s="4"/>
      <c r="U392" s="4"/>
      <c r="V392" s="4"/>
      <c r="W392" s="4"/>
      <c r="X392" s="4"/>
      <c r="Y392" s="4"/>
      <c r="Z392" s="4"/>
      <c r="AA392" s="4"/>
    </row>
    <row r="393" spans="1:27" ht="12.75" x14ac:dyDescent="0.2">
      <c r="A393" s="16"/>
      <c r="B393" s="6"/>
      <c r="C393" s="6"/>
      <c r="D393" s="6"/>
      <c r="E393" s="4"/>
      <c r="F393" s="6"/>
      <c r="G393" s="6"/>
      <c r="H393" s="6"/>
      <c r="I393" s="6"/>
      <c r="J393" s="6"/>
      <c r="K393" s="6"/>
      <c r="L393" s="6"/>
      <c r="M393" s="6"/>
      <c r="N393" s="6"/>
      <c r="O393" s="16"/>
      <c r="P393" s="6"/>
      <c r="Q393" s="4"/>
      <c r="R393" s="4"/>
      <c r="S393" s="4"/>
      <c r="T393" s="4"/>
      <c r="U393" s="4"/>
      <c r="V393" s="4"/>
      <c r="W393" s="4"/>
      <c r="X393" s="4"/>
      <c r="Y393" s="4"/>
      <c r="Z393" s="4"/>
      <c r="AA393" s="4"/>
    </row>
    <row r="394" spans="1:27" ht="12.75" x14ac:dyDescent="0.2">
      <c r="A394" s="16"/>
      <c r="B394" s="6"/>
      <c r="C394" s="6"/>
      <c r="D394" s="6"/>
      <c r="E394" s="4"/>
      <c r="F394" s="6"/>
      <c r="G394" s="6"/>
      <c r="H394" s="6"/>
      <c r="I394" s="6"/>
      <c r="J394" s="6"/>
      <c r="K394" s="6"/>
      <c r="L394" s="6"/>
      <c r="M394" s="6"/>
      <c r="N394" s="6"/>
      <c r="O394" s="16"/>
      <c r="P394" s="6"/>
      <c r="Q394" s="4"/>
      <c r="R394" s="4"/>
      <c r="S394" s="4"/>
      <c r="T394" s="4"/>
      <c r="U394" s="4"/>
      <c r="V394" s="4"/>
      <c r="W394" s="4"/>
      <c r="X394" s="4"/>
      <c r="Y394" s="4"/>
      <c r="Z394" s="4"/>
      <c r="AA394" s="4"/>
    </row>
    <row r="395" spans="1:27" ht="12.75" x14ac:dyDescent="0.2">
      <c r="A395" s="16"/>
      <c r="B395" s="6"/>
      <c r="C395" s="6"/>
      <c r="D395" s="6"/>
      <c r="E395" s="4"/>
      <c r="F395" s="6"/>
      <c r="G395" s="6"/>
      <c r="H395" s="6"/>
      <c r="I395" s="6"/>
      <c r="J395" s="6"/>
      <c r="K395" s="6"/>
      <c r="L395" s="6"/>
      <c r="M395" s="6"/>
      <c r="N395" s="6"/>
      <c r="O395" s="16"/>
      <c r="P395" s="6"/>
      <c r="Q395" s="4"/>
      <c r="R395" s="4"/>
      <c r="S395" s="4"/>
      <c r="T395" s="4"/>
      <c r="U395" s="4"/>
      <c r="V395" s="4"/>
      <c r="W395" s="4"/>
      <c r="X395" s="4"/>
      <c r="Y395" s="4"/>
      <c r="Z395" s="4"/>
      <c r="AA395" s="4"/>
    </row>
    <row r="396" spans="1:27" ht="12.75" x14ac:dyDescent="0.2">
      <c r="A396" s="16"/>
      <c r="B396" s="6"/>
      <c r="C396" s="6"/>
      <c r="D396" s="6"/>
      <c r="E396" s="4"/>
      <c r="F396" s="6"/>
      <c r="G396" s="6"/>
      <c r="H396" s="6"/>
      <c r="I396" s="6"/>
      <c r="J396" s="6"/>
      <c r="K396" s="6"/>
      <c r="L396" s="6"/>
      <c r="M396" s="6"/>
      <c r="N396" s="6"/>
      <c r="O396" s="16"/>
      <c r="P396" s="6"/>
      <c r="Q396" s="4"/>
      <c r="R396" s="4"/>
      <c r="S396" s="4"/>
      <c r="T396" s="4"/>
      <c r="U396" s="4"/>
      <c r="V396" s="4"/>
      <c r="W396" s="4"/>
      <c r="X396" s="4"/>
      <c r="Y396" s="4"/>
      <c r="Z396" s="4"/>
      <c r="AA396" s="4"/>
    </row>
    <row r="397" spans="1:27" ht="12.75" x14ac:dyDescent="0.2">
      <c r="A397" s="16"/>
      <c r="B397" s="6"/>
      <c r="C397" s="6"/>
      <c r="D397" s="6"/>
      <c r="E397" s="4"/>
      <c r="F397" s="6"/>
      <c r="G397" s="6"/>
      <c r="H397" s="6"/>
      <c r="I397" s="6"/>
      <c r="J397" s="6"/>
      <c r="K397" s="6"/>
      <c r="L397" s="6"/>
      <c r="M397" s="6"/>
      <c r="N397" s="6"/>
      <c r="O397" s="16"/>
      <c r="P397" s="6"/>
      <c r="Q397" s="4"/>
      <c r="R397" s="4"/>
      <c r="S397" s="4"/>
      <c r="T397" s="4"/>
      <c r="U397" s="4"/>
      <c r="V397" s="4"/>
      <c r="W397" s="4"/>
      <c r="X397" s="4"/>
      <c r="Y397" s="4"/>
      <c r="Z397" s="4"/>
      <c r="AA397" s="4"/>
    </row>
    <row r="398" spans="1:27" ht="12.75" x14ac:dyDescent="0.2">
      <c r="A398" s="16"/>
      <c r="B398" s="6"/>
      <c r="C398" s="6"/>
      <c r="D398" s="6"/>
      <c r="E398" s="4"/>
      <c r="F398" s="6"/>
      <c r="G398" s="6"/>
      <c r="H398" s="6"/>
      <c r="I398" s="6"/>
      <c r="J398" s="6"/>
      <c r="K398" s="6"/>
      <c r="L398" s="6"/>
      <c r="M398" s="6"/>
      <c r="N398" s="6"/>
      <c r="O398" s="16"/>
      <c r="P398" s="6"/>
      <c r="Q398" s="4"/>
      <c r="R398" s="4"/>
      <c r="S398" s="4"/>
      <c r="T398" s="4"/>
      <c r="U398" s="4"/>
      <c r="V398" s="4"/>
      <c r="W398" s="4"/>
      <c r="X398" s="4"/>
      <c r="Y398" s="4"/>
      <c r="Z398" s="4"/>
      <c r="AA398" s="4"/>
    </row>
    <row r="399" spans="1:27" ht="12.75" x14ac:dyDescent="0.2">
      <c r="A399" s="16"/>
      <c r="B399" s="6"/>
      <c r="C399" s="6"/>
      <c r="D399" s="6"/>
      <c r="E399" s="4"/>
      <c r="F399" s="6"/>
      <c r="G399" s="6"/>
      <c r="H399" s="6"/>
      <c r="I399" s="6"/>
      <c r="J399" s="6"/>
      <c r="K399" s="6"/>
      <c r="L399" s="6"/>
      <c r="M399" s="6"/>
      <c r="N399" s="6"/>
      <c r="O399" s="16"/>
      <c r="P399" s="6"/>
      <c r="Q399" s="4"/>
      <c r="R399" s="4"/>
      <c r="S399" s="4"/>
      <c r="T399" s="4"/>
      <c r="U399" s="4"/>
      <c r="V399" s="4"/>
      <c r="W399" s="4"/>
      <c r="X399" s="4"/>
      <c r="Y399" s="4"/>
      <c r="Z399" s="4"/>
      <c r="AA399" s="4"/>
    </row>
    <row r="400" spans="1:27" ht="12.75" x14ac:dyDescent="0.2">
      <c r="A400" s="16"/>
      <c r="B400" s="6"/>
      <c r="C400" s="6"/>
      <c r="D400" s="6"/>
      <c r="E400" s="4"/>
      <c r="F400" s="6"/>
      <c r="G400" s="6"/>
      <c r="H400" s="6"/>
      <c r="I400" s="6"/>
      <c r="J400" s="6"/>
      <c r="K400" s="6"/>
      <c r="L400" s="6"/>
      <c r="M400" s="6"/>
      <c r="N400" s="6"/>
      <c r="O400" s="16"/>
      <c r="P400" s="6"/>
      <c r="Q400" s="4"/>
      <c r="R400" s="4"/>
      <c r="S400" s="4"/>
      <c r="T400" s="4"/>
      <c r="U400" s="4"/>
      <c r="V400" s="4"/>
      <c r="W400" s="4"/>
      <c r="X400" s="4"/>
      <c r="Y400" s="4"/>
      <c r="Z400" s="4"/>
      <c r="AA400" s="4"/>
    </row>
    <row r="401" spans="1:27" ht="12.75" x14ac:dyDescent="0.2">
      <c r="A401" s="16"/>
      <c r="B401" s="6"/>
      <c r="C401" s="6"/>
      <c r="D401" s="6"/>
      <c r="E401" s="4"/>
      <c r="F401" s="6"/>
      <c r="G401" s="6"/>
      <c r="H401" s="6"/>
      <c r="I401" s="6"/>
      <c r="J401" s="6"/>
      <c r="K401" s="6"/>
      <c r="L401" s="6"/>
      <c r="M401" s="6"/>
      <c r="N401" s="6"/>
      <c r="O401" s="16"/>
      <c r="P401" s="6"/>
      <c r="Q401" s="4"/>
      <c r="R401" s="4"/>
      <c r="S401" s="4"/>
      <c r="T401" s="4"/>
      <c r="U401" s="4"/>
      <c r="V401" s="4"/>
      <c r="W401" s="4"/>
      <c r="X401" s="4"/>
      <c r="Y401" s="4"/>
      <c r="Z401" s="4"/>
      <c r="AA401" s="4"/>
    </row>
    <row r="402" spans="1:27" ht="12.75" x14ac:dyDescent="0.2">
      <c r="A402" s="16"/>
      <c r="B402" s="6"/>
      <c r="C402" s="6"/>
      <c r="D402" s="6"/>
      <c r="E402" s="4"/>
      <c r="F402" s="6"/>
      <c r="G402" s="6"/>
      <c r="H402" s="6"/>
      <c r="I402" s="6"/>
      <c r="J402" s="6"/>
      <c r="K402" s="6"/>
      <c r="L402" s="6"/>
      <c r="M402" s="6"/>
      <c r="N402" s="6"/>
      <c r="O402" s="16"/>
      <c r="P402" s="6"/>
      <c r="Q402" s="4"/>
      <c r="R402" s="4"/>
      <c r="S402" s="4"/>
      <c r="T402" s="4"/>
      <c r="U402" s="4"/>
      <c r="V402" s="4"/>
      <c r="W402" s="4"/>
      <c r="X402" s="4"/>
      <c r="Y402" s="4"/>
      <c r="Z402" s="4"/>
      <c r="AA402" s="4"/>
    </row>
    <row r="403" spans="1:27" ht="12.75" x14ac:dyDescent="0.2">
      <c r="A403" s="16"/>
      <c r="B403" s="6"/>
      <c r="C403" s="6"/>
      <c r="D403" s="6"/>
      <c r="E403" s="4"/>
      <c r="F403" s="6"/>
      <c r="G403" s="6"/>
      <c r="H403" s="6"/>
      <c r="I403" s="6"/>
      <c r="J403" s="6"/>
      <c r="K403" s="6"/>
      <c r="L403" s="6"/>
      <c r="M403" s="6"/>
      <c r="N403" s="6"/>
      <c r="O403" s="16"/>
      <c r="P403" s="6"/>
      <c r="Q403" s="4"/>
      <c r="R403" s="4"/>
      <c r="S403" s="4"/>
      <c r="T403" s="4"/>
      <c r="U403" s="4"/>
      <c r="V403" s="4"/>
      <c r="W403" s="4"/>
      <c r="X403" s="4"/>
      <c r="Y403" s="4"/>
      <c r="Z403" s="4"/>
      <c r="AA403" s="4"/>
    </row>
    <row r="404" spans="1:27" ht="12.75" x14ac:dyDescent="0.2">
      <c r="A404" s="16"/>
      <c r="B404" s="6"/>
      <c r="C404" s="6"/>
      <c r="D404" s="6"/>
      <c r="E404" s="4"/>
      <c r="F404" s="6"/>
      <c r="G404" s="6"/>
      <c r="H404" s="6"/>
      <c r="I404" s="6"/>
      <c r="J404" s="6"/>
      <c r="K404" s="6"/>
      <c r="L404" s="6"/>
      <c r="M404" s="6"/>
      <c r="N404" s="6"/>
      <c r="O404" s="16"/>
      <c r="P404" s="6"/>
      <c r="Q404" s="4"/>
      <c r="R404" s="4"/>
      <c r="S404" s="4"/>
      <c r="T404" s="4"/>
      <c r="U404" s="4"/>
      <c r="V404" s="4"/>
      <c r="W404" s="4"/>
      <c r="X404" s="4"/>
      <c r="Y404" s="4"/>
      <c r="Z404" s="4"/>
      <c r="AA404" s="4"/>
    </row>
    <row r="405" spans="1:27" ht="12.75" x14ac:dyDescent="0.2">
      <c r="A405" s="16"/>
      <c r="B405" s="6"/>
      <c r="C405" s="6"/>
      <c r="D405" s="6"/>
      <c r="E405" s="4"/>
      <c r="F405" s="6"/>
      <c r="G405" s="6"/>
      <c r="H405" s="6"/>
      <c r="I405" s="6"/>
      <c r="J405" s="6"/>
      <c r="K405" s="6"/>
      <c r="L405" s="6"/>
      <c r="M405" s="6"/>
      <c r="N405" s="6"/>
      <c r="O405" s="16"/>
      <c r="P405" s="6"/>
      <c r="Q405" s="4"/>
      <c r="R405" s="4"/>
      <c r="S405" s="4"/>
      <c r="T405" s="4"/>
      <c r="U405" s="4"/>
      <c r="V405" s="4"/>
      <c r="W405" s="4"/>
      <c r="X405" s="4"/>
      <c r="Y405" s="4"/>
      <c r="Z405" s="4"/>
      <c r="AA405" s="4"/>
    </row>
    <row r="406" spans="1:27" ht="12.75" x14ac:dyDescent="0.2">
      <c r="A406" s="16"/>
      <c r="B406" s="6"/>
      <c r="C406" s="6"/>
      <c r="D406" s="6"/>
      <c r="E406" s="4"/>
      <c r="F406" s="6"/>
      <c r="G406" s="6"/>
      <c r="H406" s="6"/>
      <c r="I406" s="6"/>
      <c r="J406" s="6"/>
      <c r="K406" s="6"/>
      <c r="L406" s="6"/>
      <c r="M406" s="6"/>
      <c r="N406" s="6"/>
      <c r="O406" s="16"/>
      <c r="P406" s="6"/>
      <c r="Q406" s="4"/>
      <c r="R406" s="4"/>
      <c r="S406" s="4"/>
      <c r="T406" s="4"/>
      <c r="U406" s="4"/>
      <c r="V406" s="4"/>
      <c r="W406" s="4"/>
      <c r="X406" s="4"/>
      <c r="Y406" s="4"/>
      <c r="Z406" s="4"/>
      <c r="AA406" s="4"/>
    </row>
    <row r="407" spans="1:27" ht="12.75" x14ac:dyDescent="0.2">
      <c r="A407" s="16"/>
      <c r="B407" s="6"/>
      <c r="C407" s="6"/>
      <c r="D407" s="6"/>
      <c r="E407" s="4"/>
      <c r="F407" s="6"/>
      <c r="G407" s="6"/>
      <c r="H407" s="6"/>
      <c r="I407" s="6"/>
      <c r="J407" s="6"/>
      <c r="K407" s="6"/>
      <c r="L407" s="6"/>
      <c r="M407" s="6"/>
      <c r="N407" s="6"/>
      <c r="O407" s="16"/>
      <c r="P407" s="6"/>
      <c r="Q407" s="4"/>
      <c r="R407" s="4"/>
      <c r="S407" s="4"/>
      <c r="T407" s="4"/>
      <c r="U407" s="4"/>
      <c r="V407" s="4"/>
      <c r="W407" s="4"/>
      <c r="X407" s="4"/>
      <c r="Y407" s="4"/>
      <c r="Z407" s="4"/>
      <c r="AA407" s="4"/>
    </row>
    <row r="408" spans="1:27" ht="12.75" x14ac:dyDescent="0.2">
      <c r="A408" s="16"/>
      <c r="B408" s="6"/>
      <c r="C408" s="6"/>
      <c r="D408" s="6"/>
      <c r="E408" s="4"/>
      <c r="F408" s="6"/>
      <c r="G408" s="6"/>
      <c r="H408" s="6"/>
      <c r="I408" s="6"/>
      <c r="J408" s="6"/>
      <c r="K408" s="6"/>
      <c r="L408" s="6"/>
      <c r="M408" s="6"/>
      <c r="N408" s="6"/>
      <c r="O408" s="16"/>
      <c r="P408" s="6"/>
      <c r="Q408" s="4"/>
      <c r="R408" s="4"/>
      <c r="S408" s="4"/>
      <c r="T408" s="4"/>
      <c r="U408" s="4"/>
      <c r="V408" s="4"/>
      <c r="W408" s="4"/>
      <c r="X408" s="4"/>
      <c r="Y408" s="4"/>
      <c r="Z408" s="4"/>
      <c r="AA408" s="4"/>
    </row>
    <row r="409" spans="1:27" ht="12.75" x14ac:dyDescent="0.2">
      <c r="A409" s="16"/>
      <c r="B409" s="6"/>
      <c r="C409" s="6"/>
      <c r="D409" s="6"/>
      <c r="E409" s="4"/>
      <c r="F409" s="6"/>
      <c r="G409" s="6"/>
      <c r="H409" s="6"/>
      <c r="I409" s="6"/>
      <c r="J409" s="6"/>
      <c r="K409" s="6"/>
      <c r="L409" s="6"/>
      <c r="M409" s="6"/>
      <c r="N409" s="6"/>
      <c r="O409" s="16"/>
      <c r="P409" s="6"/>
      <c r="Q409" s="4"/>
      <c r="R409" s="4"/>
      <c r="S409" s="4"/>
      <c r="T409" s="4"/>
      <c r="U409" s="4"/>
      <c r="V409" s="4"/>
      <c r="W409" s="4"/>
      <c r="X409" s="4"/>
      <c r="Y409" s="4"/>
      <c r="Z409" s="4"/>
      <c r="AA409" s="4"/>
    </row>
    <row r="410" spans="1:27" ht="12.75" x14ac:dyDescent="0.2">
      <c r="A410" s="16"/>
      <c r="B410" s="6"/>
      <c r="C410" s="6"/>
      <c r="D410" s="6"/>
      <c r="E410" s="4"/>
      <c r="F410" s="6"/>
      <c r="G410" s="6"/>
      <c r="H410" s="6"/>
      <c r="I410" s="6"/>
      <c r="J410" s="6"/>
      <c r="K410" s="6"/>
      <c r="L410" s="6"/>
      <c r="M410" s="6"/>
      <c r="N410" s="6"/>
      <c r="O410" s="16"/>
      <c r="P410" s="6"/>
      <c r="Q410" s="4"/>
      <c r="R410" s="4"/>
      <c r="S410" s="4"/>
      <c r="T410" s="4"/>
      <c r="U410" s="4"/>
      <c r="V410" s="4"/>
      <c r="W410" s="4"/>
      <c r="X410" s="4"/>
      <c r="Y410" s="4"/>
      <c r="Z410" s="4"/>
      <c r="AA410" s="4"/>
    </row>
    <row r="411" spans="1:27" ht="12.75" x14ac:dyDescent="0.2">
      <c r="A411" s="16"/>
      <c r="B411" s="6"/>
      <c r="C411" s="6"/>
      <c r="D411" s="6"/>
      <c r="E411" s="4"/>
      <c r="F411" s="6"/>
      <c r="G411" s="6"/>
      <c r="H411" s="6"/>
      <c r="I411" s="6"/>
      <c r="J411" s="6"/>
      <c r="K411" s="6"/>
      <c r="L411" s="6"/>
      <c r="M411" s="6"/>
      <c r="N411" s="6"/>
      <c r="O411" s="16"/>
      <c r="P411" s="6"/>
      <c r="Q411" s="4"/>
      <c r="R411" s="4"/>
      <c r="S411" s="4"/>
      <c r="T411" s="4"/>
      <c r="U411" s="4"/>
      <c r="V411" s="4"/>
      <c r="W411" s="4"/>
      <c r="X411" s="4"/>
      <c r="Y411" s="4"/>
      <c r="Z411" s="4"/>
      <c r="AA411" s="4"/>
    </row>
    <row r="412" spans="1:27" ht="12.75" x14ac:dyDescent="0.2">
      <c r="A412" s="16"/>
      <c r="B412" s="6"/>
      <c r="C412" s="6"/>
      <c r="D412" s="6"/>
      <c r="E412" s="4"/>
      <c r="F412" s="6"/>
      <c r="G412" s="6"/>
      <c r="H412" s="6"/>
      <c r="I412" s="6"/>
      <c r="J412" s="6"/>
      <c r="K412" s="6"/>
      <c r="L412" s="6"/>
      <c r="M412" s="6"/>
      <c r="N412" s="6"/>
      <c r="O412" s="16"/>
      <c r="P412" s="6"/>
      <c r="Q412" s="4"/>
      <c r="R412" s="4"/>
      <c r="S412" s="4"/>
      <c r="T412" s="4"/>
      <c r="U412" s="4"/>
      <c r="V412" s="4"/>
      <c r="W412" s="4"/>
      <c r="X412" s="4"/>
      <c r="Y412" s="4"/>
      <c r="Z412" s="4"/>
      <c r="AA412" s="4"/>
    </row>
    <row r="413" spans="1:27" ht="12.75" x14ac:dyDescent="0.2">
      <c r="A413" s="16"/>
      <c r="B413" s="6"/>
      <c r="C413" s="6"/>
      <c r="D413" s="6"/>
      <c r="E413" s="4"/>
      <c r="F413" s="6"/>
      <c r="G413" s="6"/>
      <c r="H413" s="6"/>
      <c r="I413" s="6"/>
      <c r="J413" s="6"/>
      <c r="K413" s="6"/>
      <c r="L413" s="6"/>
      <c r="M413" s="6"/>
      <c r="N413" s="6"/>
      <c r="O413" s="16"/>
      <c r="P413" s="6"/>
      <c r="Q413" s="4"/>
      <c r="R413" s="4"/>
      <c r="S413" s="4"/>
      <c r="T413" s="4"/>
      <c r="U413" s="4"/>
      <c r="V413" s="4"/>
      <c r="W413" s="4"/>
      <c r="X413" s="4"/>
      <c r="Y413" s="4"/>
      <c r="Z413" s="4"/>
      <c r="AA413" s="4"/>
    </row>
    <row r="414" spans="1:27" ht="12.75" x14ac:dyDescent="0.2">
      <c r="A414" s="16"/>
      <c r="B414" s="6"/>
      <c r="C414" s="6"/>
      <c r="D414" s="6"/>
      <c r="E414" s="4"/>
      <c r="F414" s="6"/>
      <c r="G414" s="6"/>
      <c r="H414" s="6"/>
      <c r="I414" s="6"/>
      <c r="J414" s="6"/>
      <c r="K414" s="6"/>
      <c r="L414" s="6"/>
      <c r="M414" s="6"/>
      <c r="N414" s="6"/>
      <c r="O414" s="16"/>
      <c r="P414" s="6"/>
      <c r="Q414" s="4"/>
      <c r="R414" s="4"/>
      <c r="S414" s="4"/>
      <c r="T414" s="4"/>
      <c r="U414" s="4"/>
      <c r="V414" s="4"/>
      <c r="W414" s="4"/>
      <c r="X414" s="4"/>
      <c r="Y414" s="4"/>
      <c r="Z414" s="4"/>
      <c r="AA414" s="4"/>
    </row>
    <row r="415" spans="1:27" ht="12.75" x14ac:dyDescent="0.2">
      <c r="A415" s="16"/>
      <c r="B415" s="6"/>
      <c r="C415" s="6"/>
      <c r="D415" s="6"/>
      <c r="E415" s="4"/>
      <c r="F415" s="6"/>
      <c r="G415" s="6"/>
      <c r="H415" s="6"/>
      <c r="I415" s="6"/>
      <c r="J415" s="6"/>
      <c r="K415" s="6"/>
      <c r="L415" s="6"/>
      <c r="M415" s="6"/>
      <c r="N415" s="6"/>
      <c r="O415" s="16"/>
      <c r="P415" s="6"/>
      <c r="Q415" s="4"/>
      <c r="R415" s="4"/>
      <c r="S415" s="4"/>
      <c r="T415" s="4"/>
      <c r="U415" s="4"/>
      <c r="V415" s="4"/>
      <c r="W415" s="4"/>
      <c r="X415" s="4"/>
      <c r="Y415" s="4"/>
      <c r="Z415" s="4"/>
      <c r="AA415" s="4"/>
    </row>
    <row r="416" spans="1:27" ht="12.75" x14ac:dyDescent="0.2">
      <c r="A416" s="16"/>
      <c r="B416" s="6"/>
      <c r="C416" s="6"/>
      <c r="D416" s="6"/>
      <c r="E416" s="4"/>
      <c r="F416" s="6"/>
      <c r="G416" s="6"/>
      <c r="H416" s="6"/>
      <c r="I416" s="6"/>
      <c r="J416" s="6"/>
      <c r="K416" s="6"/>
      <c r="L416" s="6"/>
      <c r="M416" s="6"/>
      <c r="N416" s="6"/>
      <c r="O416" s="16"/>
      <c r="P416" s="6"/>
      <c r="Q416" s="4"/>
      <c r="R416" s="4"/>
      <c r="S416" s="4"/>
      <c r="T416" s="4"/>
      <c r="U416" s="4"/>
      <c r="V416" s="4"/>
      <c r="W416" s="4"/>
      <c r="X416" s="4"/>
      <c r="Y416" s="4"/>
      <c r="Z416" s="4"/>
      <c r="AA416" s="4"/>
    </row>
    <row r="417" spans="1:27" ht="12.75" x14ac:dyDescent="0.2">
      <c r="A417" s="16"/>
      <c r="B417" s="6"/>
      <c r="C417" s="6"/>
      <c r="D417" s="6"/>
      <c r="E417" s="4"/>
      <c r="F417" s="6"/>
      <c r="G417" s="6"/>
      <c r="H417" s="6"/>
      <c r="I417" s="6"/>
      <c r="J417" s="6"/>
      <c r="K417" s="6"/>
      <c r="L417" s="6"/>
      <c r="M417" s="6"/>
      <c r="N417" s="6"/>
      <c r="O417" s="16"/>
      <c r="P417" s="6"/>
      <c r="Q417" s="4"/>
      <c r="R417" s="4"/>
      <c r="S417" s="4"/>
      <c r="T417" s="4"/>
      <c r="U417" s="4"/>
      <c r="V417" s="4"/>
      <c r="W417" s="4"/>
      <c r="X417" s="4"/>
      <c r="Y417" s="4"/>
      <c r="Z417" s="4"/>
      <c r="AA417" s="4"/>
    </row>
    <row r="418" spans="1:27" ht="12.75" x14ac:dyDescent="0.2">
      <c r="A418" s="16"/>
      <c r="B418" s="6"/>
      <c r="C418" s="6"/>
      <c r="D418" s="6"/>
      <c r="E418" s="4"/>
      <c r="F418" s="6"/>
      <c r="G418" s="6"/>
      <c r="H418" s="6"/>
      <c r="I418" s="6"/>
      <c r="J418" s="6"/>
      <c r="K418" s="6"/>
      <c r="L418" s="6"/>
      <c r="M418" s="6"/>
      <c r="N418" s="6"/>
      <c r="O418" s="16"/>
      <c r="P418" s="6"/>
      <c r="Q418" s="4"/>
      <c r="R418" s="4"/>
      <c r="S418" s="4"/>
      <c r="T418" s="4"/>
      <c r="U418" s="4"/>
      <c r="V418" s="4"/>
      <c r="W418" s="4"/>
      <c r="X418" s="4"/>
      <c r="Y418" s="4"/>
      <c r="Z418" s="4"/>
      <c r="AA418" s="4"/>
    </row>
    <row r="419" spans="1:27" ht="12.75" x14ac:dyDescent="0.2">
      <c r="A419" s="16"/>
      <c r="B419" s="6"/>
      <c r="C419" s="6"/>
      <c r="D419" s="6"/>
      <c r="E419" s="4"/>
      <c r="F419" s="6"/>
      <c r="G419" s="6"/>
      <c r="H419" s="6"/>
      <c r="I419" s="6"/>
      <c r="J419" s="6"/>
      <c r="K419" s="6"/>
      <c r="L419" s="6"/>
      <c r="M419" s="6"/>
      <c r="N419" s="6"/>
      <c r="O419" s="16"/>
      <c r="P419" s="6"/>
      <c r="Q419" s="4"/>
      <c r="R419" s="4"/>
      <c r="S419" s="4"/>
      <c r="T419" s="4"/>
      <c r="U419" s="4"/>
      <c r="V419" s="4"/>
      <c r="W419" s="4"/>
      <c r="X419" s="4"/>
      <c r="Y419" s="4"/>
      <c r="Z419" s="4"/>
      <c r="AA419" s="4"/>
    </row>
    <row r="420" spans="1:27" ht="12.75" x14ac:dyDescent="0.2">
      <c r="A420" s="16"/>
      <c r="B420" s="6"/>
      <c r="C420" s="6"/>
      <c r="D420" s="6"/>
      <c r="E420" s="4"/>
      <c r="F420" s="6"/>
      <c r="G420" s="6"/>
      <c r="H420" s="6"/>
      <c r="I420" s="6"/>
      <c r="J420" s="6"/>
      <c r="K420" s="6"/>
      <c r="L420" s="6"/>
      <c r="M420" s="6"/>
      <c r="N420" s="6"/>
      <c r="O420" s="16"/>
      <c r="P420" s="6"/>
      <c r="Q420" s="4"/>
      <c r="R420" s="4"/>
      <c r="S420" s="4"/>
      <c r="T420" s="4"/>
      <c r="U420" s="4"/>
      <c r="V420" s="4"/>
      <c r="W420" s="4"/>
      <c r="X420" s="4"/>
      <c r="Y420" s="4"/>
      <c r="Z420" s="4"/>
      <c r="AA420" s="4"/>
    </row>
    <row r="421" spans="1:27" ht="12.75" x14ac:dyDescent="0.2">
      <c r="A421" s="16"/>
      <c r="B421" s="6"/>
      <c r="C421" s="6"/>
      <c r="D421" s="6"/>
      <c r="E421" s="4"/>
      <c r="F421" s="6"/>
      <c r="G421" s="6"/>
      <c r="H421" s="6"/>
      <c r="I421" s="6"/>
      <c r="J421" s="6"/>
      <c r="K421" s="6"/>
      <c r="L421" s="6"/>
      <c r="M421" s="6"/>
      <c r="N421" s="6"/>
      <c r="O421" s="16"/>
      <c r="P421" s="6"/>
      <c r="Q421" s="4"/>
      <c r="R421" s="4"/>
      <c r="S421" s="4"/>
      <c r="T421" s="4"/>
      <c r="U421" s="4"/>
      <c r="V421" s="4"/>
      <c r="W421" s="4"/>
      <c r="X421" s="4"/>
      <c r="Y421" s="4"/>
      <c r="Z421" s="4"/>
      <c r="AA421" s="4"/>
    </row>
    <row r="422" spans="1:27" ht="12.75" x14ac:dyDescent="0.2">
      <c r="A422" s="16"/>
      <c r="B422" s="6"/>
      <c r="C422" s="6"/>
      <c r="D422" s="6"/>
      <c r="E422" s="4"/>
      <c r="F422" s="6"/>
      <c r="G422" s="6"/>
      <c r="H422" s="6"/>
      <c r="I422" s="6"/>
      <c r="J422" s="6"/>
      <c r="K422" s="6"/>
      <c r="L422" s="6"/>
      <c r="M422" s="6"/>
      <c r="N422" s="6"/>
      <c r="O422" s="16"/>
      <c r="P422" s="6"/>
      <c r="Q422" s="4"/>
      <c r="R422" s="4"/>
      <c r="S422" s="4"/>
      <c r="T422" s="4"/>
      <c r="U422" s="4"/>
      <c r="V422" s="4"/>
      <c r="W422" s="4"/>
      <c r="X422" s="4"/>
      <c r="Y422" s="4"/>
      <c r="Z422" s="4"/>
      <c r="AA422" s="4"/>
    </row>
    <row r="423" spans="1:27" ht="12.75" x14ac:dyDescent="0.2">
      <c r="A423" s="16"/>
      <c r="B423" s="6"/>
      <c r="C423" s="6"/>
      <c r="D423" s="6"/>
      <c r="E423" s="4"/>
      <c r="F423" s="6"/>
      <c r="G423" s="6"/>
      <c r="H423" s="6"/>
      <c r="I423" s="6"/>
      <c r="J423" s="6"/>
      <c r="K423" s="6"/>
      <c r="L423" s="6"/>
      <c r="M423" s="6"/>
      <c r="N423" s="6"/>
      <c r="O423" s="16"/>
      <c r="P423" s="6"/>
      <c r="Q423" s="4"/>
      <c r="R423" s="4"/>
      <c r="S423" s="4"/>
      <c r="T423" s="4"/>
      <c r="U423" s="4"/>
      <c r="V423" s="4"/>
      <c r="W423" s="4"/>
      <c r="X423" s="4"/>
      <c r="Y423" s="4"/>
      <c r="Z423" s="4"/>
      <c r="AA423" s="4"/>
    </row>
    <row r="424" spans="1:27" ht="12.75" x14ac:dyDescent="0.2">
      <c r="A424" s="16"/>
      <c r="B424" s="6"/>
      <c r="C424" s="6"/>
      <c r="D424" s="6"/>
      <c r="E424" s="4"/>
      <c r="F424" s="6"/>
      <c r="G424" s="6"/>
      <c r="H424" s="6"/>
      <c r="I424" s="6"/>
      <c r="J424" s="6"/>
      <c r="K424" s="6"/>
      <c r="L424" s="6"/>
      <c r="M424" s="6"/>
      <c r="N424" s="6"/>
      <c r="O424" s="16"/>
      <c r="P424" s="6"/>
      <c r="Q424" s="4"/>
      <c r="R424" s="4"/>
      <c r="S424" s="4"/>
      <c r="T424" s="4"/>
      <c r="U424" s="4"/>
      <c r="V424" s="4"/>
      <c r="W424" s="4"/>
      <c r="X424" s="4"/>
      <c r="Y424" s="4"/>
      <c r="Z424" s="4"/>
      <c r="AA424" s="4"/>
    </row>
    <row r="425" spans="1:27" ht="12.75" x14ac:dyDescent="0.2">
      <c r="A425" s="16"/>
      <c r="B425" s="6"/>
      <c r="C425" s="6"/>
      <c r="D425" s="6"/>
      <c r="E425" s="4"/>
      <c r="F425" s="6"/>
      <c r="G425" s="6"/>
      <c r="H425" s="6"/>
      <c r="I425" s="6"/>
      <c r="J425" s="6"/>
      <c r="K425" s="6"/>
      <c r="L425" s="6"/>
      <c r="M425" s="6"/>
      <c r="N425" s="6"/>
      <c r="O425" s="16"/>
      <c r="P425" s="6"/>
      <c r="Q425" s="4"/>
      <c r="R425" s="4"/>
      <c r="S425" s="4"/>
      <c r="T425" s="4"/>
      <c r="U425" s="4"/>
      <c r="V425" s="4"/>
      <c r="W425" s="4"/>
      <c r="X425" s="4"/>
      <c r="Y425" s="4"/>
      <c r="Z425" s="4"/>
      <c r="AA425" s="4"/>
    </row>
    <row r="426" spans="1:27" ht="12.75" x14ac:dyDescent="0.2">
      <c r="A426" s="16"/>
      <c r="B426" s="6"/>
      <c r="C426" s="6"/>
      <c r="D426" s="6"/>
      <c r="E426" s="4"/>
      <c r="F426" s="6"/>
      <c r="G426" s="6"/>
      <c r="H426" s="6"/>
      <c r="I426" s="6"/>
      <c r="J426" s="6"/>
      <c r="K426" s="6"/>
      <c r="L426" s="6"/>
      <c r="M426" s="6"/>
      <c r="N426" s="6"/>
      <c r="O426" s="16"/>
      <c r="P426" s="6"/>
      <c r="Q426" s="4"/>
      <c r="R426" s="4"/>
      <c r="S426" s="4"/>
      <c r="T426" s="4"/>
      <c r="U426" s="4"/>
      <c r="V426" s="4"/>
      <c r="W426" s="4"/>
      <c r="X426" s="4"/>
      <c r="Y426" s="4"/>
      <c r="Z426" s="4"/>
      <c r="AA426" s="4"/>
    </row>
    <row r="427" spans="1:27" ht="12.75" x14ac:dyDescent="0.2">
      <c r="A427" s="16"/>
      <c r="B427" s="6"/>
      <c r="C427" s="6"/>
      <c r="D427" s="6"/>
      <c r="E427" s="4"/>
      <c r="F427" s="6"/>
      <c r="G427" s="6"/>
      <c r="H427" s="6"/>
      <c r="I427" s="6"/>
      <c r="J427" s="6"/>
      <c r="K427" s="6"/>
      <c r="L427" s="6"/>
      <c r="M427" s="6"/>
      <c r="N427" s="6"/>
      <c r="O427" s="16"/>
      <c r="P427" s="6"/>
      <c r="Q427" s="4"/>
      <c r="R427" s="4"/>
      <c r="S427" s="4"/>
      <c r="T427" s="4"/>
      <c r="U427" s="4"/>
      <c r="V427" s="4"/>
      <c r="W427" s="4"/>
      <c r="X427" s="4"/>
      <c r="Y427" s="4"/>
      <c r="Z427" s="4"/>
      <c r="AA427" s="4"/>
    </row>
    <row r="428" spans="1:27" ht="12.75" x14ac:dyDescent="0.2">
      <c r="A428" s="16"/>
      <c r="B428" s="6"/>
      <c r="C428" s="6"/>
      <c r="D428" s="6"/>
      <c r="E428" s="4"/>
      <c r="F428" s="6"/>
      <c r="G428" s="6"/>
      <c r="H428" s="6"/>
      <c r="I428" s="6"/>
      <c r="J428" s="6"/>
      <c r="K428" s="6"/>
      <c r="L428" s="6"/>
      <c r="M428" s="6"/>
      <c r="N428" s="6"/>
      <c r="O428" s="16"/>
      <c r="P428" s="6"/>
      <c r="Q428" s="4"/>
      <c r="R428" s="4"/>
      <c r="S428" s="4"/>
      <c r="T428" s="4"/>
      <c r="U428" s="4"/>
      <c r="V428" s="4"/>
      <c r="W428" s="4"/>
      <c r="X428" s="4"/>
      <c r="Y428" s="4"/>
      <c r="Z428" s="4"/>
      <c r="AA428" s="4"/>
    </row>
    <row r="429" spans="1:27" ht="12.75" x14ac:dyDescent="0.2">
      <c r="A429" s="16"/>
      <c r="B429" s="6"/>
      <c r="C429" s="6"/>
      <c r="D429" s="6"/>
      <c r="E429" s="4"/>
      <c r="F429" s="6"/>
      <c r="G429" s="6"/>
      <c r="H429" s="6"/>
      <c r="I429" s="6"/>
      <c r="J429" s="6"/>
      <c r="K429" s="6"/>
      <c r="L429" s="6"/>
      <c r="M429" s="6"/>
      <c r="N429" s="6"/>
      <c r="O429" s="16"/>
      <c r="P429" s="6"/>
      <c r="Q429" s="4"/>
      <c r="R429" s="4"/>
      <c r="S429" s="4"/>
      <c r="T429" s="4"/>
      <c r="U429" s="4"/>
      <c r="V429" s="4"/>
      <c r="W429" s="4"/>
      <c r="X429" s="4"/>
      <c r="Y429" s="4"/>
      <c r="Z429" s="4"/>
      <c r="AA429" s="4"/>
    </row>
    <row r="430" spans="1:27" ht="12.75" x14ac:dyDescent="0.2">
      <c r="A430" s="16"/>
      <c r="B430" s="6"/>
      <c r="C430" s="6"/>
      <c r="D430" s="6"/>
      <c r="E430" s="4"/>
      <c r="F430" s="6"/>
      <c r="G430" s="6"/>
      <c r="H430" s="6"/>
      <c r="I430" s="6"/>
      <c r="J430" s="6"/>
      <c r="K430" s="6"/>
      <c r="L430" s="6"/>
      <c r="M430" s="6"/>
      <c r="N430" s="6"/>
      <c r="O430" s="16"/>
      <c r="P430" s="6"/>
      <c r="Q430" s="4"/>
      <c r="R430" s="4"/>
      <c r="S430" s="4"/>
      <c r="T430" s="4"/>
      <c r="U430" s="4"/>
      <c r="V430" s="4"/>
      <c r="W430" s="4"/>
      <c r="X430" s="4"/>
      <c r="Y430" s="4"/>
      <c r="Z430" s="4"/>
      <c r="AA430" s="4"/>
    </row>
    <row r="431" spans="1:27" ht="12.75" x14ac:dyDescent="0.2">
      <c r="A431" s="16"/>
      <c r="B431" s="6"/>
      <c r="C431" s="6"/>
      <c r="D431" s="6"/>
      <c r="E431" s="4"/>
      <c r="F431" s="6"/>
      <c r="G431" s="6"/>
      <c r="H431" s="6"/>
      <c r="I431" s="6"/>
      <c r="J431" s="6"/>
      <c r="K431" s="6"/>
      <c r="L431" s="6"/>
      <c r="M431" s="6"/>
      <c r="N431" s="6"/>
      <c r="O431" s="16"/>
      <c r="P431" s="6"/>
      <c r="Q431" s="4"/>
      <c r="R431" s="4"/>
      <c r="S431" s="4"/>
      <c r="T431" s="4"/>
      <c r="U431" s="4"/>
      <c r="V431" s="4"/>
      <c r="W431" s="4"/>
      <c r="X431" s="4"/>
      <c r="Y431" s="4"/>
      <c r="Z431" s="4"/>
      <c r="AA431" s="4"/>
    </row>
    <row r="432" spans="1:27" ht="12.75" x14ac:dyDescent="0.2">
      <c r="A432" s="16"/>
      <c r="B432" s="6"/>
      <c r="C432" s="6"/>
      <c r="D432" s="6"/>
      <c r="E432" s="4"/>
      <c r="F432" s="6"/>
      <c r="G432" s="6"/>
      <c r="H432" s="6"/>
      <c r="I432" s="6"/>
      <c r="J432" s="6"/>
      <c r="K432" s="6"/>
      <c r="L432" s="6"/>
      <c r="M432" s="6"/>
      <c r="N432" s="6"/>
      <c r="O432" s="16"/>
      <c r="P432" s="6"/>
      <c r="Q432" s="4"/>
      <c r="R432" s="4"/>
      <c r="S432" s="4"/>
      <c r="T432" s="4"/>
      <c r="U432" s="4"/>
      <c r="V432" s="4"/>
      <c r="W432" s="4"/>
      <c r="X432" s="4"/>
      <c r="Y432" s="4"/>
      <c r="Z432" s="4"/>
      <c r="AA432" s="4"/>
    </row>
    <row r="433" spans="1:27" ht="12.75" x14ac:dyDescent="0.2">
      <c r="A433" s="16"/>
      <c r="B433" s="6"/>
      <c r="C433" s="6"/>
      <c r="D433" s="6"/>
      <c r="E433" s="4"/>
      <c r="F433" s="6"/>
      <c r="G433" s="6"/>
      <c r="H433" s="6"/>
      <c r="I433" s="6"/>
      <c r="J433" s="6"/>
      <c r="K433" s="6"/>
      <c r="L433" s="6"/>
      <c r="M433" s="6"/>
      <c r="N433" s="6"/>
      <c r="O433" s="16"/>
      <c r="P433" s="6"/>
      <c r="Q433" s="4"/>
      <c r="R433" s="4"/>
      <c r="S433" s="4"/>
      <c r="T433" s="4"/>
      <c r="U433" s="4"/>
      <c r="V433" s="4"/>
      <c r="W433" s="4"/>
      <c r="X433" s="4"/>
      <c r="Y433" s="4"/>
      <c r="Z433" s="4"/>
      <c r="AA433" s="4"/>
    </row>
    <row r="434" spans="1:27" ht="12.75" x14ac:dyDescent="0.2">
      <c r="A434" s="16"/>
      <c r="B434" s="6"/>
      <c r="C434" s="6"/>
      <c r="D434" s="6"/>
      <c r="E434" s="4"/>
      <c r="F434" s="6"/>
      <c r="G434" s="6"/>
      <c r="H434" s="6"/>
      <c r="I434" s="6"/>
      <c r="J434" s="6"/>
      <c r="K434" s="6"/>
      <c r="L434" s="6"/>
      <c r="M434" s="6"/>
      <c r="N434" s="6"/>
      <c r="O434" s="16"/>
      <c r="P434" s="6"/>
      <c r="Q434" s="4"/>
      <c r="R434" s="4"/>
      <c r="S434" s="4"/>
      <c r="T434" s="4"/>
      <c r="U434" s="4"/>
      <c r="V434" s="4"/>
      <c r="W434" s="4"/>
      <c r="X434" s="4"/>
      <c r="Y434" s="4"/>
      <c r="Z434" s="4"/>
      <c r="AA434" s="4"/>
    </row>
    <row r="435" spans="1:27" ht="12.75" x14ac:dyDescent="0.2">
      <c r="A435" s="16"/>
      <c r="B435" s="6"/>
      <c r="C435" s="6"/>
      <c r="D435" s="6"/>
      <c r="E435" s="4"/>
      <c r="F435" s="6"/>
      <c r="G435" s="6"/>
      <c r="H435" s="6"/>
      <c r="I435" s="6"/>
      <c r="J435" s="6"/>
      <c r="K435" s="6"/>
      <c r="L435" s="6"/>
      <c r="M435" s="6"/>
      <c r="N435" s="6"/>
      <c r="O435" s="16"/>
      <c r="P435" s="6"/>
      <c r="Q435" s="4"/>
      <c r="R435" s="4"/>
      <c r="S435" s="4"/>
      <c r="T435" s="4"/>
      <c r="U435" s="4"/>
      <c r="V435" s="4"/>
      <c r="W435" s="4"/>
      <c r="X435" s="4"/>
      <c r="Y435" s="4"/>
      <c r="Z435" s="4"/>
      <c r="AA435" s="4"/>
    </row>
    <row r="436" spans="1:27" ht="12.75" x14ac:dyDescent="0.2">
      <c r="A436" s="16"/>
      <c r="B436" s="6"/>
      <c r="C436" s="6"/>
      <c r="D436" s="6"/>
      <c r="E436" s="4"/>
      <c r="F436" s="6"/>
      <c r="G436" s="6"/>
      <c r="H436" s="6"/>
      <c r="I436" s="6"/>
      <c r="J436" s="6"/>
      <c r="K436" s="6"/>
      <c r="L436" s="6"/>
      <c r="M436" s="6"/>
      <c r="N436" s="6"/>
      <c r="O436" s="16"/>
      <c r="P436" s="6"/>
      <c r="Q436" s="4"/>
      <c r="R436" s="4"/>
      <c r="S436" s="4"/>
      <c r="T436" s="4"/>
      <c r="U436" s="4"/>
      <c r="V436" s="4"/>
      <c r="W436" s="4"/>
      <c r="X436" s="4"/>
      <c r="Y436" s="4"/>
      <c r="Z436" s="4"/>
      <c r="AA436" s="4"/>
    </row>
    <row r="437" spans="1:27" ht="12.75" x14ac:dyDescent="0.2">
      <c r="A437" s="16"/>
      <c r="B437" s="6"/>
      <c r="C437" s="6"/>
      <c r="D437" s="6"/>
      <c r="E437" s="4"/>
      <c r="F437" s="6"/>
      <c r="G437" s="6"/>
      <c r="H437" s="6"/>
      <c r="I437" s="6"/>
      <c r="J437" s="6"/>
      <c r="K437" s="6"/>
      <c r="L437" s="6"/>
      <c r="M437" s="6"/>
      <c r="N437" s="6"/>
      <c r="O437" s="16"/>
      <c r="P437" s="6"/>
      <c r="Q437" s="4"/>
      <c r="R437" s="4"/>
      <c r="S437" s="4"/>
      <c r="T437" s="4"/>
      <c r="U437" s="4"/>
      <c r="V437" s="4"/>
      <c r="W437" s="4"/>
      <c r="X437" s="4"/>
      <c r="Y437" s="4"/>
      <c r="Z437" s="4"/>
      <c r="AA437" s="4"/>
    </row>
    <row r="438" spans="1:27" ht="12.75" x14ac:dyDescent="0.2">
      <c r="A438" s="16"/>
      <c r="B438" s="6"/>
      <c r="C438" s="6"/>
      <c r="D438" s="6"/>
      <c r="E438" s="4"/>
      <c r="F438" s="6"/>
      <c r="G438" s="6"/>
      <c r="H438" s="6"/>
      <c r="I438" s="6"/>
      <c r="J438" s="6"/>
      <c r="K438" s="6"/>
      <c r="L438" s="6"/>
      <c r="M438" s="6"/>
      <c r="N438" s="6"/>
      <c r="O438" s="16"/>
      <c r="P438" s="6"/>
      <c r="Q438" s="4"/>
      <c r="R438" s="4"/>
      <c r="S438" s="4"/>
      <c r="T438" s="4"/>
      <c r="U438" s="4"/>
      <c r="V438" s="4"/>
      <c r="W438" s="4"/>
      <c r="X438" s="4"/>
      <c r="Y438" s="4"/>
      <c r="Z438" s="4"/>
      <c r="AA438" s="4"/>
    </row>
    <row r="439" spans="1:27" ht="12.75" x14ac:dyDescent="0.2">
      <c r="A439" s="16"/>
      <c r="B439" s="6"/>
      <c r="C439" s="6"/>
      <c r="D439" s="6"/>
      <c r="E439" s="4"/>
      <c r="F439" s="6"/>
      <c r="G439" s="6"/>
      <c r="H439" s="6"/>
      <c r="I439" s="6"/>
      <c r="J439" s="6"/>
      <c r="K439" s="6"/>
      <c r="L439" s="6"/>
      <c r="M439" s="6"/>
      <c r="N439" s="6"/>
      <c r="O439" s="16"/>
      <c r="P439" s="6"/>
      <c r="Q439" s="4"/>
      <c r="R439" s="4"/>
      <c r="S439" s="4"/>
      <c r="T439" s="4"/>
      <c r="U439" s="4"/>
      <c r="V439" s="4"/>
      <c r="W439" s="4"/>
      <c r="X439" s="4"/>
      <c r="Y439" s="4"/>
      <c r="Z439" s="4"/>
      <c r="AA439" s="4"/>
    </row>
    <row r="440" spans="1:27" ht="12.75" x14ac:dyDescent="0.2">
      <c r="A440" s="16"/>
      <c r="B440" s="6"/>
      <c r="C440" s="6"/>
      <c r="D440" s="6"/>
      <c r="E440" s="4"/>
      <c r="F440" s="6"/>
      <c r="G440" s="6"/>
      <c r="H440" s="6"/>
      <c r="I440" s="6"/>
      <c r="J440" s="6"/>
      <c r="K440" s="6"/>
      <c r="L440" s="6"/>
      <c r="M440" s="6"/>
      <c r="N440" s="6"/>
      <c r="O440" s="16"/>
      <c r="P440" s="6"/>
      <c r="Q440" s="4"/>
      <c r="R440" s="4"/>
      <c r="S440" s="4"/>
      <c r="T440" s="4"/>
      <c r="U440" s="4"/>
      <c r="V440" s="4"/>
      <c r="W440" s="4"/>
      <c r="X440" s="4"/>
      <c r="Y440" s="4"/>
      <c r="Z440" s="4"/>
      <c r="AA440" s="4"/>
    </row>
    <row r="441" spans="1:27" ht="12.75" x14ac:dyDescent="0.2">
      <c r="A441" s="16"/>
      <c r="B441" s="6"/>
      <c r="C441" s="6"/>
      <c r="D441" s="6"/>
      <c r="E441" s="4"/>
      <c r="F441" s="6"/>
      <c r="G441" s="6"/>
      <c r="H441" s="6"/>
      <c r="I441" s="6"/>
      <c r="J441" s="6"/>
      <c r="K441" s="6"/>
      <c r="L441" s="6"/>
      <c r="M441" s="6"/>
      <c r="N441" s="6"/>
      <c r="O441" s="16"/>
      <c r="P441" s="6"/>
      <c r="Q441" s="4"/>
      <c r="R441" s="4"/>
      <c r="S441" s="4"/>
      <c r="T441" s="4"/>
      <c r="U441" s="4"/>
      <c r="V441" s="4"/>
      <c r="W441" s="4"/>
      <c r="X441" s="4"/>
      <c r="Y441" s="4"/>
      <c r="Z441" s="4"/>
      <c r="AA441" s="4"/>
    </row>
    <row r="442" spans="1:27" ht="12.75" x14ac:dyDescent="0.2">
      <c r="A442" s="16"/>
      <c r="B442" s="6"/>
      <c r="C442" s="6"/>
      <c r="D442" s="6"/>
      <c r="E442" s="4"/>
      <c r="F442" s="6"/>
      <c r="G442" s="6"/>
      <c r="H442" s="6"/>
      <c r="I442" s="6"/>
      <c r="J442" s="6"/>
      <c r="K442" s="6"/>
      <c r="L442" s="6"/>
      <c r="M442" s="6"/>
      <c r="N442" s="6"/>
      <c r="O442" s="16"/>
      <c r="P442" s="6"/>
      <c r="Q442" s="4"/>
      <c r="R442" s="4"/>
      <c r="S442" s="4"/>
      <c r="T442" s="4"/>
      <c r="U442" s="4"/>
      <c r="V442" s="4"/>
      <c r="W442" s="4"/>
      <c r="X442" s="4"/>
      <c r="Y442" s="4"/>
      <c r="Z442" s="4"/>
      <c r="AA442" s="4"/>
    </row>
    <row r="443" spans="1:27" ht="12.75" x14ac:dyDescent="0.2">
      <c r="A443" s="16"/>
      <c r="B443" s="6"/>
      <c r="C443" s="6"/>
      <c r="D443" s="6"/>
      <c r="E443" s="4"/>
      <c r="F443" s="6"/>
      <c r="G443" s="6"/>
      <c r="H443" s="6"/>
      <c r="I443" s="6"/>
      <c r="J443" s="6"/>
      <c r="K443" s="6"/>
      <c r="L443" s="6"/>
      <c r="M443" s="6"/>
      <c r="N443" s="6"/>
      <c r="O443" s="16"/>
      <c r="P443" s="6"/>
      <c r="Q443" s="4"/>
      <c r="R443" s="4"/>
      <c r="S443" s="4"/>
      <c r="T443" s="4"/>
      <c r="U443" s="4"/>
      <c r="V443" s="4"/>
      <c r="W443" s="4"/>
      <c r="X443" s="4"/>
      <c r="Y443" s="4"/>
      <c r="Z443" s="4"/>
      <c r="AA443" s="4"/>
    </row>
    <row r="444" spans="1:27" ht="12.75" x14ac:dyDescent="0.2">
      <c r="A444" s="16"/>
      <c r="B444" s="6"/>
      <c r="C444" s="6"/>
      <c r="D444" s="6"/>
      <c r="E444" s="4"/>
      <c r="F444" s="6"/>
      <c r="G444" s="6"/>
      <c r="H444" s="6"/>
      <c r="I444" s="6"/>
      <c r="J444" s="6"/>
      <c r="K444" s="6"/>
      <c r="L444" s="6"/>
      <c r="M444" s="6"/>
      <c r="N444" s="6"/>
      <c r="O444" s="16"/>
      <c r="P444" s="6"/>
      <c r="Q444" s="4"/>
      <c r="R444" s="4"/>
      <c r="S444" s="4"/>
      <c r="T444" s="4"/>
      <c r="U444" s="4"/>
      <c r="V444" s="4"/>
      <c r="W444" s="4"/>
      <c r="X444" s="4"/>
      <c r="Y444" s="4"/>
      <c r="Z444" s="4"/>
      <c r="AA444" s="4"/>
    </row>
    <row r="445" spans="1:27" ht="12.75" x14ac:dyDescent="0.2">
      <c r="A445" s="16"/>
      <c r="B445" s="6"/>
      <c r="C445" s="6"/>
      <c r="D445" s="6"/>
      <c r="E445" s="4"/>
      <c r="F445" s="6"/>
      <c r="G445" s="6"/>
      <c r="H445" s="6"/>
      <c r="I445" s="6"/>
      <c r="J445" s="6"/>
      <c r="K445" s="6"/>
      <c r="L445" s="6"/>
      <c r="M445" s="6"/>
      <c r="N445" s="6"/>
      <c r="O445" s="16"/>
      <c r="P445" s="6"/>
      <c r="Q445" s="4"/>
      <c r="R445" s="4"/>
      <c r="S445" s="4"/>
      <c r="T445" s="4"/>
      <c r="U445" s="4"/>
      <c r="V445" s="4"/>
      <c r="W445" s="4"/>
      <c r="X445" s="4"/>
      <c r="Y445" s="4"/>
      <c r="Z445" s="4"/>
      <c r="AA445" s="4"/>
    </row>
    <row r="446" spans="1:27" ht="12.75" x14ac:dyDescent="0.2">
      <c r="A446" s="16"/>
      <c r="B446" s="6"/>
      <c r="C446" s="6"/>
      <c r="D446" s="6"/>
      <c r="E446" s="4"/>
      <c r="F446" s="6"/>
      <c r="G446" s="6"/>
      <c r="H446" s="6"/>
      <c r="I446" s="6"/>
      <c r="J446" s="6"/>
      <c r="K446" s="6"/>
      <c r="L446" s="6"/>
      <c r="M446" s="6"/>
      <c r="N446" s="6"/>
      <c r="O446" s="16"/>
      <c r="P446" s="6"/>
      <c r="Q446" s="4"/>
      <c r="R446" s="4"/>
      <c r="S446" s="4"/>
      <c r="T446" s="4"/>
      <c r="U446" s="4"/>
      <c r="V446" s="4"/>
      <c r="W446" s="4"/>
      <c r="X446" s="4"/>
      <c r="Y446" s="4"/>
      <c r="Z446" s="4"/>
      <c r="AA446" s="4"/>
    </row>
    <row r="447" spans="1:27" ht="12.75" x14ac:dyDescent="0.2">
      <c r="A447" s="16"/>
      <c r="B447" s="6"/>
      <c r="C447" s="6"/>
      <c r="D447" s="6"/>
      <c r="E447" s="4"/>
      <c r="F447" s="6"/>
      <c r="G447" s="6"/>
      <c r="H447" s="6"/>
      <c r="I447" s="6"/>
      <c r="J447" s="6"/>
      <c r="K447" s="6"/>
      <c r="L447" s="6"/>
      <c r="M447" s="6"/>
      <c r="N447" s="6"/>
      <c r="O447" s="16"/>
      <c r="P447" s="6"/>
      <c r="Q447" s="4"/>
      <c r="R447" s="4"/>
      <c r="S447" s="4"/>
      <c r="T447" s="4"/>
      <c r="U447" s="4"/>
      <c r="V447" s="4"/>
      <c r="W447" s="4"/>
      <c r="X447" s="4"/>
      <c r="Y447" s="4"/>
      <c r="Z447" s="4"/>
      <c r="AA447" s="4"/>
    </row>
    <row r="448" spans="1:27" ht="12.75" x14ac:dyDescent="0.2">
      <c r="A448" s="16"/>
      <c r="B448" s="6"/>
      <c r="C448" s="6"/>
      <c r="D448" s="6"/>
      <c r="E448" s="4"/>
      <c r="F448" s="6"/>
      <c r="G448" s="6"/>
      <c r="H448" s="6"/>
      <c r="I448" s="6"/>
      <c r="J448" s="6"/>
      <c r="K448" s="6"/>
      <c r="L448" s="6"/>
      <c r="M448" s="6"/>
      <c r="N448" s="6"/>
      <c r="O448" s="16"/>
      <c r="P448" s="6"/>
      <c r="Q448" s="4"/>
      <c r="R448" s="4"/>
      <c r="S448" s="4"/>
      <c r="T448" s="4"/>
      <c r="U448" s="4"/>
      <c r="V448" s="4"/>
      <c r="W448" s="4"/>
      <c r="X448" s="4"/>
      <c r="Y448" s="4"/>
      <c r="Z448" s="4"/>
      <c r="AA448" s="4"/>
    </row>
    <row r="449" spans="1:27" ht="12.75" x14ac:dyDescent="0.2">
      <c r="A449" s="16"/>
      <c r="B449" s="6"/>
      <c r="C449" s="6"/>
      <c r="D449" s="6"/>
      <c r="E449" s="4"/>
      <c r="F449" s="6"/>
      <c r="G449" s="6"/>
      <c r="H449" s="6"/>
      <c r="I449" s="6"/>
      <c r="J449" s="6"/>
      <c r="K449" s="6"/>
      <c r="L449" s="6"/>
      <c r="M449" s="6"/>
      <c r="N449" s="6"/>
      <c r="O449" s="16"/>
      <c r="P449" s="6"/>
      <c r="Q449" s="4"/>
      <c r="R449" s="4"/>
      <c r="S449" s="4"/>
      <c r="T449" s="4"/>
      <c r="U449" s="4"/>
      <c r="V449" s="4"/>
      <c r="W449" s="4"/>
      <c r="X449" s="4"/>
      <c r="Y449" s="4"/>
      <c r="Z449" s="4"/>
      <c r="AA449" s="4"/>
    </row>
    <row r="450" spans="1:27" ht="12.75" x14ac:dyDescent="0.2">
      <c r="A450" s="16"/>
      <c r="B450" s="6"/>
      <c r="C450" s="6"/>
      <c r="D450" s="6"/>
      <c r="E450" s="4"/>
      <c r="F450" s="6"/>
      <c r="G450" s="6"/>
      <c r="H450" s="6"/>
      <c r="I450" s="6"/>
      <c r="J450" s="6"/>
      <c r="K450" s="6"/>
      <c r="L450" s="6"/>
      <c r="M450" s="6"/>
      <c r="N450" s="6"/>
      <c r="O450" s="16"/>
      <c r="P450" s="6"/>
      <c r="Q450" s="4"/>
      <c r="R450" s="4"/>
      <c r="S450" s="4"/>
      <c r="T450" s="4"/>
      <c r="U450" s="4"/>
      <c r="V450" s="4"/>
      <c r="W450" s="4"/>
      <c r="X450" s="4"/>
      <c r="Y450" s="4"/>
      <c r="Z450" s="4"/>
      <c r="AA450" s="4"/>
    </row>
    <row r="451" spans="1:27" ht="12.75" x14ac:dyDescent="0.2">
      <c r="A451" s="16"/>
      <c r="B451" s="6"/>
      <c r="C451" s="6"/>
      <c r="D451" s="6"/>
      <c r="E451" s="4"/>
      <c r="F451" s="6"/>
      <c r="G451" s="6"/>
      <c r="H451" s="6"/>
      <c r="I451" s="6"/>
      <c r="J451" s="6"/>
      <c r="K451" s="6"/>
      <c r="L451" s="6"/>
      <c r="M451" s="6"/>
      <c r="N451" s="6"/>
      <c r="O451" s="16"/>
      <c r="P451" s="6"/>
      <c r="Q451" s="4"/>
      <c r="R451" s="4"/>
      <c r="S451" s="4"/>
      <c r="T451" s="4"/>
      <c r="U451" s="4"/>
      <c r="V451" s="4"/>
      <c r="W451" s="4"/>
      <c r="X451" s="4"/>
      <c r="Y451" s="4"/>
      <c r="Z451" s="4"/>
      <c r="AA451" s="4"/>
    </row>
    <row r="452" spans="1:27" ht="12.75" x14ac:dyDescent="0.2">
      <c r="A452" s="16"/>
      <c r="B452" s="6"/>
      <c r="C452" s="6"/>
      <c r="D452" s="6"/>
      <c r="E452" s="4"/>
      <c r="F452" s="6"/>
      <c r="G452" s="6"/>
      <c r="H452" s="6"/>
      <c r="I452" s="6"/>
      <c r="J452" s="6"/>
      <c r="K452" s="6"/>
      <c r="L452" s="6"/>
      <c r="M452" s="6"/>
      <c r="N452" s="6"/>
      <c r="O452" s="16"/>
      <c r="P452" s="6"/>
      <c r="Q452" s="4"/>
      <c r="R452" s="4"/>
      <c r="S452" s="4"/>
      <c r="T452" s="4"/>
      <c r="U452" s="4"/>
      <c r="V452" s="4"/>
      <c r="W452" s="4"/>
      <c r="X452" s="4"/>
      <c r="Y452" s="4"/>
      <c r="Z452" s="4"/>
      <c r="AA452" s="4"/>
    </row>
    <row r="453" spans="1:27" ht="12.75" x14ac:dyDescent="0.2">
      <c r="A453" s="16"/>
      <c r="B453" s="6"/>
      <c r="C453" s="6"/>
      <c r="D453" s="6"/>
      <c r="E453" s="4"/>
      <c r="F453" s="6"/>
      <c r="G453" s="6"/>
      <c r="H453" s="6"/>
      <c r="I453" s="6"/>
      <c r="J453" s="6"/>
      <c r="K453" s="6"/>
      <c r="L453" s="6"/>
      <c r="M453" s="6"/>
      <c r="N453" s="6"/>
      <c r="O453" s="16"/>
      <c r="P453" s="6"/>
      <c r="Q453" s="4"/>
      <c r="R453" s="4"/>
      <c r="S453" s="4"/>
      <c r="T453" s="4"/>
      <c r="U453" s="4"/>
      <c r="V453" s="4"/>
      <c r="W453" s="4"/>
      <c r="X453" s="4"/>
      <c r="Y453" s="4"/>
      <c r="Z453" s="4"/>
      <c r="AA453" s="4"/>
    </row>
    <row r="454" spans="1:27" ht="12.75" x14ac:dyDescent="0.2">
      <c r="A454" s="16"/>
      <c r="B454" s="6"/>
      <c r="C454" s="6"/>
      <c r="D454" s="6"/>
      <c r="E454" s="4"/>
      <c r="F454" s="6"/>
      <c r="G454" s="6"/>
      <c r="H454" s="6"/>
      <c r="I454" s="6"/>
      <c r="J454" s="6"/>
      <c r="K454" s="6"/>
      <c r="L454" s="6"/>
      <c r="M454" s="6"/>
      <c r="N454" s="6"/>
      <c r="O454" s="16"/>
      <c r="P454" s="6"/>
      <c r="Q454" s="4"/>
      <c r="R454" s="4"/>
      <c r="S454" s="4"/>
      <c r="T454" s="4"/>
      <c r="U454" s="4"/>
      <c r="V454" s="4"/>
      <c r="W454" s="4"/>
      <c r="X454" s="4"/>
      <c r="Y454" s="4"/>
      <c r="Z454" s="4"/>
      <c r="AA454" s="4"/>
    </row>
    <row r="455" spans="1:27" ht="12.75" x14ac:dyDescent="0.2">
      <c r="A455" s="16"/>
      <c r="B455" s="6"/>
      <c r="C455" s="6"/>
      <c r="D455" s="6"/>
      <c r="E455" s="4"/>
      <c r="F455" s="6"/>
      <c r="G455" s="6"/>
      <c r="H455" s="6"/>
      <c r="I455" s="6"/>
      <c r="J455" s="6"/>
      <c r="K455" s="6"/>
      <c r="L455" s="6"/>
      <c r="M455" s="6"/>
      <c r="N455" s="6"/>
      <c r="O455" s="16"/>
      <c r="P455" s="6"/>
      <c r="Q455" s="4"/>
      <c r="R455" s="4"/>
      <c r="S455" s="4"/>
      <c r="T455" s="4"/>
      <c r="U455" s="4"/>
      <c r="V455" s="4"/>
      <c r="W455" s="4"/>
      <c r="X455" s="4"/>
      <c r="Y455" s="4"/>
      <c r="Z455" s="4"/>
      <c r="AA455" s="4"/>
    </row>
    <row r="456" spans="1:27" ht="12.75" x14ac:dyDescent="0.2">
      <c r="A456" s="16"/>
      <c r="B456" s="6"/>
      <c r="C456" s="6"/>
      <c r="D456" s="6"/>
      <c r="E456" s="4"/>
      <c r="F456" s="6"/>
      <c r="G456" s="6"/>
      <c r="H456" s="6"/>
      <c r="I456" s="6"/>
      <c r="J456" s="6"/>
      <c r="K456" s="6"/>
      <c r="L456" s="6"/>
      <c r="M456" s="6"/>
      <c r="N456" s="6"/>
      <c r="O456" s="16"/>
      <c r="P456" s="6"/>
      <c r="Q456" s="4"/>
      <c r="R456" s="4"/>
      <c r="S456" s="4"/>
      <c r="T456" s="4"/>
      <c r="U456" s="4"/>
      <c r="V456" s="4"/>
      <c r="W456" s="4"/>
      <c r="X456" s="4"/>
      <c r="Y456" s="4"/>
      <c r="Z456" s="4"/>
      <c r="AA456" s="4"/>
    </row>
    <row r="457" spans="1:27" ht="12.75" x14ac:dyDescent="0.2">
      <c r="A457" s="16"/>
      <c r="B457" s="6"/>
      <c r="C457" s="6"/>
      <c r="D457" s="6"/>
      <c r="E457" s="4"/>
      <c r="F457" s="6"/>
      <c r="G457" s="6"/>
      <c r="H457" s="6"/>
      <c r="I457" s="6"/>
      <c r="J457" s="6"/>
      <c r="K457" s="6"/>
      <c r="L457" s="6"/>
      <c r="M457" s="6"/>
      <c r="N457" s="6"/>
      <c r="O457" s="16"/>
      <c r="P457" s="6"/>
      <c r="Q457" s="4"/>
      <c r="R457" s="4"/>
      <c r="S457" s="4"/>
      <c r="T457" s="4"/>
      <c r="U457" s="4"/>
      <c r="V457" s="4"/>
      <c r="W457" s="4"/>
      <c r="X457" s="4"/>
      <c r="Y457" s="4"/>
      <c r="Z457" s="4"/>
      <c r="AA457" s="4"/>
    </row>
    <row r="458" spans="1:27" ht="12.75" x14ac:dyDescent="0.2">
      <c r="A458" s="16"/>
      <c r="B458" s="6"/>
      <c r="C458" s="6"/>
      <c r="D458" s="6"/>
      <c r="E458" s="4"/>
      <c r="F458" s="6"/>
      <c r="G458" s="6"/>
      <c r="H458" s="6"/>
      <c r="I458" s="6"/>
      <c r="J458" s="6"/>
      <c r="K458" s="6"/>
      <c r="L458" s="6"/>
      <c r="M458" s="6"/>
      <c r="N458" s="6"/>
      <c r="O458" s="16"/>
      <c r="P458" s="6"/>
      <c r="Q458" s="4"/>
      <c r="R458" s="4"/>
      <c r="S458" s="4"/>
      <c r="T458" s="4"/>
      <c r="U458" s="4"/>
      <c r="V458" s="4"/>
      <c r="W458" s="4"/>
      <c r="X458" s="4"/>
      <c r="Y458" s="4"/>
      <c r="Z458" s="4"/>
      <c r="AA458" s="4"/>
    </row>
    <row r="459" spans="1:27" ht="12.75" x14ac:dyDescent="0.2">
      <c r="A459" s="16"/>
      <c r="B459" s="6"/>
      <c r="C459" s="6"/>
      <c r="D459" s="6"/>
      <c r="E459" s="4"/>
      <c r="F459" s="6"/>
      <c r="G459" s="6"/>
      <c r="H459" s="6"/>
      <c r="I459" s="6"/>
      <c r="J459" s="6"/>
      <c r="K459" s="6"/>
      <c r="L459" s="6"/>
      <c r="M459" s="6"/>
      <c r="N459" s="6"/>
      <c r="O459" s="16"/>
      <c r="P459" s="6"/>
      <c r="Q459" s="4"/>
      <c r="R459" s="4"/>
      <c r="S459" s="4"/>
      <c r="T459" s="4"/>
      <c r="U459" s="4"/>
      <c r="V459" s="4"/>
      <c r="W459" s="4"/>
      <c r="X459" s="4"/>
      <c r="Y459" s="4"/>
      <c r="Z459" s="4"/>
      <c r="AA459" s="4"/>
    </row>
    <row r="460" spans="1:27" ht="12.75" x14ac:dyDescent="0.2">
      <c r="A460" s="16"/>
      <c r="B460" s="6"/>
      <c r="C460" s="6"/>
      <c r="D460" s="6"/>
      <c r="E460" s="4"/>
      <c r="F460" s="6"/>
      <c r="G460" s="6"/>
      <c r="H460" s="6"/>
      <c r="I460" s="6"/>
      <c r="J460" s="6"/>
      <c r="K460" s="6"/>
      <c r="L460" s="6"/>
      <c r="M460" s="6"/>
      <c r="N460" s="6"/>
      <c r="O460" s="16"/>
      <c r="P460" s="6"/>
      <c r="Q460" s="4"/>
      <c r="R460" s="4"/>
      <c r="S460" s="4"/>
      <c r="T460" s="4"/>
      <c r="U460" s="4"/>
      <c r="V460" s="4"/>
      <c r="W460" s="4"/>
      <c r="X460" s="4"/>
      <c r="Y460" s="4"/>
      <c r="Z460" s="4"/>
      <c r="AA460" s="4"/>
    </row>
    <row r="461" spans="1:27" ht="12.75" x14ac:dyDescent="0.2">
      <c r="A461" s="16"/>
      <c r="B461" s="6"/>
      <c r="C461" s="6"/>
      <c r="D461" s="6"/>
      <c r="E461" s="4"/>
      <c r="F461" s="6"/>
      <c r="G461" s="6"/>
      <c r="H461" s="6"/>
      <c r="I461" s="6"/>
      <c r="J461" s="6"/>
      <c r="K461" s="6"/>
      <c r="L461" s="6"/>
      <c r="M461" s="6"/>
      <c r="N461" s="6"/>
      <c r="O461" s="16"/>
      <c r="P461" s="6"/>
      <c r="Q461" s="4"/>
      <c r="R461" s="4"/>
      <c r="S461" s="4"/>
      <c r="T461" s="4"/>
      <c r="U461" s="4"/>
      <c r="V461" s="4"/>
      <c r="W461" s="4"/>
      <c r="X461" s="4"/>
      <c r="Y461" s="4"/>
      <c r="Z461" s="4"/>
      <c r="AA461" s="4"/>
    </row>
    <row r="462" spans="1:27" ht="12.75" x14ac:dyDescent="0.2">
      <c r="A462" s="16"/>
      <c r="B462" s="6"/>
      <c r="C462" s="6"/>
      <c r="D462" s="6"/>
      <c r="E462" s="4"/>
      <c r="F462" s="6"/>
      <c r="G462" s="6"/>
      <c r="H462" s="6"/>
      <c r="I462" s="6"/>
      <c r="J462" s="6"/>
      <c r="K462" s="6"/>
      <c r="L462" s="6"/>
      <c r="M462" s="6"/>
      <c r="N462" s="6"/>
      <c r="O462" s="16"/>
      <c r="P462" s="6"/>
      <c r="Q462" s="4"/>
      <c r="R462" s="4"/>
      <c r="S462" s="4"/>
      <c r="T462" s="4"/>
      <c r="U462" s="4"/>
      <c r="V462" s="4"/>
      <c r="W462" s="4"/>
      <c r="X462" s="4"/>
      <c r="Y462" s="4"/>
      <c r="Z462" s="4"/>
      <c r="AA462" s="4"/>
    </row>
    <row r="463" spans="1:27" ht="12.75" x14ac:dyDescent="0.2">
      <c r="A463" s="16"/>
      <c r="B463" s="6"/>
      <c r="C463" s="6"/>
      <c r="D463" s="6"/>
      <c r="E463" s="4"/>
      <c r="F463" s="6"/>
      <c r="G463" s="6"/>
      <c r="H463" s="6"/>
      <c r="I463" s="6"/>
      <c r="J463" s="6"/>
      <c r="K463" s="6"/>
      <c r="L463" s="6"/>
      <c r="M463" s="6"/>
      <c r="N463" s="6"/>
      <c r="O463" s="16"/>
      <c r="P463" s="6"/>
      <c r="Q463" s="4"/>
      <c r="R463" s="4"/>
      <c r="S463" s="4"/>
      <c r="T463" s="4"/>
      <c r="U463" s="4"/>
      <c r="V463" s="4"/>
      <c r="W463" s="4"/>
      <c r="X463" s="4"/>
      <c r="Y463" s="4"/>
      <c r="Z463" s="4"/>
      <c r="AA463" s="4"/>
    </row>
    <row r="464" spans="1:27" ht="12.75" x14ac:dyDescent="0.2">
      <c r="A464" s="16"/>
      <c r="B464" s="6"/>
      <c r="C464" s="6"/>
      <c r="D464" s="6"/>
      <c r="E464" s="4"/>
      <c r="F464" s="6"/>
      <c r="G464" s="6"/>
      <c r="H464" s="6"/>
      <c r="I464" s="6"/>
      <c r="J464" s="6"/>
      <c r="K464" s="6"/>
      <c r="L464" s="6"/>
      <c r="M464" s="6"/>
      <c r="N464" s="6"/>
      <c r="O464" s="16"/>
      <c r="P464" s="6"/>
      <c r="Q464" s="4"/>
      <c r="R464" s="4"/>
      <c r="S464" s="4"/>
      <c r="T464" s="4"/>
      <c r="U464" s="4"/>
      <c r="V464" s="4"/>
      <c r="W464" s="4"/>
      <c r="X464" s="4"/>
      <c r="Y464" s="4"/>
      <c r="Z464" s="4"/>
      <c r="AA464" s="4"/>
    </row>
    <row r="465" spans="1:27" ht="12.75" x14ac:dyDescent="0.2">
      <c r="A465" s="16"/>
      <c r="B465" s="6"/>
      <c r="C465" s="6"/>
      <c r="D465" s="6"/>
      <c r="E465" s="4"/>
      <c r="F465" s="6"/>
      <c r="G465" s="6"/>
      <c r="H465" s="6"/>
      <c r="I465" s="6"/>
      <c r="J465" s="6"/>
      <c r="K465" s="6"/>
      <c r="L465" s="6"/>
      <c r="M465" s="6"/>
      <c r="N465" s="6"/>
      <c r="O465" s="16"/>
      <c r="P465" s="6"/>
      <c r="Q465" s="4"/>
      <c r="R465" s="4"/>
      <c r="S465" s="4"/>
      <c r="T465" s="4"/>
      <c r="U465" s="4"/>
      <c r="V465" s="4"/>
      <c r="W465" s="4"/>
      <c r="X465" s="4"/>
      <c r="Y465" s="4"/>
      <c r="Z465" s="4"/>
      <c r="AA465" s="4"/>
    </row>
    <row r="466" spans="1:27" ht="12.75" x14ac:dyDescent="0.2">
      <c r="A466" s="16"/>
      <c r="B466" s="6"/>
      <c r="C466" s="6"/>
      <c r="D466" s="6"/>
      <c r="E466" s="4"/>
      <c r="F466" s="6"/>
      <c r="G466" s="6"/>
      <c r="H466" s="6"/>
      <c r="I466" s="6"/>
      <c r="J466" s="6"/>
      <c r="K466" s="6"/>
      <c r="L466" s="6"/>
      <c r="M466" s="6"/>
      <c r="N466" s="6"/>
      <c r="O466" s="16"/>
      <c r="P466" s="6"/>
      <c r="Q466" s="4"/>
      <c r="R466" s="4"/>
      <c r="S466" s="4"/>
      <c r="T466" s="4"/>
      <c r="U466" s="4"/>
      <c r="V466" s="4"/>
      <c r="W466" s="4"/>
      <c r="X466" s="4"/>
      <c r="Y466" s="4"/>
      <c r="Z466" s="4"/>
      <c r="AA466" s="4"/>
    </row>
    <row r="467" spans="1:27" ht="12.75" x14ac:dyDescent="0.2">
      <c r="A467" s="16"/>
      <c r="B467" s="6"/>
      <c r="C467" s="6"/>
      <c r="D467" s="6"/>
      <c r="E467" s="4"/>
      <c r="F467" s="6"/>
      <c r="G467" s="6"/>
      <c r="H467" s="6"/>
      <c r="I467" s="6"/>
      <c r="J467" s="6"/>
      <c r="K467" s="6"/>
      <c r="L467" s="6"/>
      <c r="M467" s="6"/>
      <c r="N467" s="6"/>
      <c r="O467" s="16"/>
      <c r="P467" s="6"/>
      <c r="Q467" s="4"/>
      <c r="R467" s="4"/>
      <c r="S467" s="4"/>
      <c r="T467" s="4"/>
      <c r="U467" s="4"/>
      <c r="V467" s="4"/>
      <c r="W467" s="4"/>
      <c r="X467" s="4"/>
      <c r="Y467" s="4"/>
      <c r="Z467" s="4"/>
      <c r="AA467" s="4"/>
    </row>
    <row r="468" spans="1:27" ht="12.75" x14ac:dyDescent="0.2">
      <c r="A468" s="16"/>
      <c r="B468" s="6"/>
      <c r="C468" s="6"/>
      <c r="D468" s="6"/>
      <c r="E468" s="4"/>
      <c r="F468" s="6"/>
      <c r="G468" s="6"/>
      <c r="H468" s="6"/>
      <c r="I468" s="6"/>
      <c r="J468" s="6"/>
      <c r="K468" s="6"/>
      <c r="L468" s="6"/>
      <c r="M468" s="6"/>
      <c r="N468" s="6"/>
      <c r="O468" s="16"/>
      <c r="P468" s="6"/>
      <c r="Q468" s="4"/>
      <c r="R468" s="4"/>
      <c r="S468" s="4"/>
      <c r="T468" s="4"/>
      <c r="U468" s="4"/>
      <c r="V468" s="4"/>
      <c r="W468" s="4"/>
      <c r="X468" s="4"/>
      <c r="Y468" s="4"/>
      <c r="Z468" s="4"/>
      <c r="AA468" s="4"/>
    </row>
    <row r="469" spans="1:27" ht="12.75" x14ac:dyDescent="0.2">
      <c r="A469" s="16"/>
      <c r="B469" s="6"/>
      <c r="C469" s="6"/>
      <c r="D469" s="6"/>
      <c r="E469" s="4"/>
      <c r="F469" s="6"/>
      <c r="G469" s="6"/>
      <c r="H469" s="6"/>
      <c r="I469" s="6"/>
      <c r="J469" s="6"/>
      <c r="K469" s="6"/>
      <c r="L469" s="6"/>
      <c r="M469" s="6"/>
      <c r="N469" s="6"/>
      <c r="O469" s="16"/>
      <c r="P469" s="6"/>
      <c r="Q469" s="4"/>
      <c r="R469" s="4"/>
      <c r="S469" s="4"/>
      <c r="T469" s="4"/>
      <c r="U469" s="4"/>
      <c r="V469" s="4"/>
      <c r="W469" s="4"/>
      <c r="X469" s="4"/>
      <c r="Y469" s="4"/>
      <c r="Z469" s="4"/>
      <c r="AA469" s="4"/>
    </row>
    <row r="470" spans="1:27" ht="12.75" x14ac:dyDescent="0.2">
      <c r="A470" s="16"/>
      <c r="B470" s="6"/>
      <c r="C470" s="6"/>
      <c r="D470" s="6"/>
      <c r="E470" s="4"/>
      <c r="F470" s="6"/>
      <c r="G470" s="6"/>
      <c r="H470" s="6"/>
      <c r="I470" s="6"/>
      <c r="J470" s="6"/>
      <c r="K470" s="6"/>
      <c r="L470" s="6"/>
      <c r="M470" s="6"/>
      <c r="N470" s="6"/>
      <c r="O470" s="16"/>
      <c r="P470" s="6"/>
      <c r="Q470" s="4"/>
      <c r="R470" s="4"/>
      <c r="S470" s="4"/>
      <c r="T470" s="4"/>
      <c r="U470" s="4"/>
      <c r="V470" s="4"/>
      <c r="W470" s="4"/>
      <c r="X470" s="4"/>
      <c r="Y470" s="4"/>
      <c r="Z470" s="4"/>
      <c r="AA470" s="4"/>
    </row>
    <row r="471" spans="1:27" ht="12.75" x14ac:dyDescent="0.2">
      <c r="A471" s="16"/>
      <c r="B471" s="6"/>
      <c r="C471" s="6"/>
      <c r="D471" s="6"/>
      <c r="E471" s="4"/>
      <c r="F471" s="6"/>
      <c r="G471" s="6"/>
      <c r="H471" s="6"/>
      <c r="I471" s="6"/>
      <c r="J471" s="6"/>
      <c r="K471" s="6"/>
      <c r="L471" s="6"/>
      <c r="M471" s="6"/>
      <c r="N471" s="6"/>
      <c r="O471" s="16"/>
      <c r="P471" s="6"/>
      <c r="Q471" s="4"/>
      <c r="R471" s="4"/>
      <c r="S471" s="4"/>
      <c r="T471" s="4"/>
      <c r="U471" s="4"/>
      <c r="V471" s="4"/>
      <c r="W471" s="4"/>
      <c r="X471" s="4"/>
      <c r="Y471" s="4"/>
      <c r="Z471" s="4"/>
      <c r="AA471" s="4"/>
    </row>
    <row r="472" spans="1:27" ht="12.75" x14ac:dyDescent="0.2">
      <c r="A472" s="16"/>
      <c r="B472" s="6"/>
      <c r="C472" s="6"/>
      <c r="D472" s="6"/>
      <c r="E472" s="4"/>
      <c r="F472" s="6"/>
      <c r="G472" s="6"/>
      <c r="H472" s="6"/>
      <c r="I472" s="6"/>
      <c r="J472" s="6"/>
      <c r="K472" s="6"/>
      <c r="L472" s="6"/>
      <c r="M472" s="6"/>
      <c r="N472" s="6"/>
      <c r="O472" s="16"/>
      <c r="P472" s="6"/>
      <c r="Q472" s="4"/>
      <c r="R472" s="4"/>
      <c r="S472" s="4"/>
      <c r="T472" s="4"/>
      <c r="U472" s="4"/>
      <c r="V472" s="4"/>
      <c r="W472" s="4"/>
      <c r="X472" s="4"/>
      <c r="Y472" s="4"/>
      <c r="Z472" s="4"/>
      <c r="AA472" s="4"/>
    </row>
    <row r="473" spans="1:27" ht="12.75" x14ac:dyDescent="0.2">
      <c r="A473" s="16"/>
      <c r="B473" s="6"/>
      <c r="C473" s="6"/>
      <c r="D473" s="6"/>
      <c r="E473" s="4"/>
      <c r="F473" s="6"/>
      <c r="G473" s="6"/>
      <c r="H473" s="6"/>
      <c r="I473" s="6"/>
      <c r="J473" s="6"/>
      <c r="K473" s="6"/>
      <c r="L473" s="6"/>
      <c r="M473" s="6"/>
      <c r="N473" s="6"/>
      <c r="O473" s="16"/>
      <c r="P473" s="6"/>
      <c r="Q473" s="4"/>
      <c r="R473" s="4"/>
      <c r="S473" s="4"/>
      <c r="T473" s="4"/>
      <c r="U473" s="4"/>
      <c r="V473" s="4"/>
      <c r="W473" s="4"/>
      <c r="X473" s="4"/>
      <c r="Y473" s="4"/>
      <c r="Z473" s="4"/>
      <c r="AA473" s="4"/>
    </row>
    <row r="474" spans="1:27" ht="12.75" x14ac:dyDescent="0.2">
      <c r="A474" s="16"/>
      <c r="B474" s="6"/>
      <c r="C474" s="6"/>
      <c r="D474" s="6"/>
      <c r="E474" s="4"/>
      <c r="F474" s="6"/>
      <c r="G474" s="6"/>
      <c r="H474" s="6"/>
      <c r="I474" s="6"/>
      <c r="J474" s="6"/>
      <c r="K474" s="6"/>
      <c r="L474" s="6"/>
      <c r="M474" s="6"/>
      <c r="N474" s="6"/>
      <c r="O474" s="16"/>
      <c r="P474" s="6"/>
      <c r="Q474" s="4"/>
      <c r="R474" s="4"/>
      <c r="S474" s="4"/>
      <c r="T474" s="4"/>
      <c r="U474" s="4"/>
      <c r="V474" s="4"/>
      <c r="W474" s="4"/>
      <c r="X474" s="4"/>
      <c r="Y474" s="4"/>
      <c r="Z474" s="4"/>
      <c r="AA474" s="4"/>
    </row>
    <row r="475" spans="1:27" ht="12.75" x14ac:dyDescent="0.2">
      <c r="A475" s="16"/>
      <c r="B475" s="6"/>
      <c r="C475" s="6"/>
      <c r="D475" s="6"/>
      <c r="E475" s="4"/>
      <c r="F475" s="6"/>
      <c r="G475" s="6"/>
      <c r="H475" s="6"/>
      <c r="I475" s="6"/>
      <c r="J475" s="6"/>
      <c r="K475" s="6"/>
      <c r="L475" s="6"/>
      <c r="M475" s="6"/>
      <c r="N475" s="6"/>
      <c r="O475" s="16"/>
      <c r="P475" s="6"/>
      <c r="Q475" s="4"/>
      <c r="R475" s="4"/>
      <c r="S475" s="4"/>
      <c r="T475" s="4"/>
      <c r="U475" s="4"/>
      <c r="V475" s="4"/>
      <c r="W475" s="4"/>
      <c r="X475" s="4"/>
      <c r="Y475" s="4"/>
      <c r="Z475" s="4"/>
      <c r="AA475" s="4"/>
    </row>
    <row r="476" spans="1:27" ht="12.75" x14ac:dyDescent="0.2">
      <c r="A476" s="16"/>
      <c r="B476" s="6"/>
      <c r="C476" s="6"/>
      <c r="D476" s="6"/>
      <c r="E476" s="4"/>
      <c r="F476" s="6"/>
      <c r="G476" s="6"/>
      <c r="H476" s="6"/>
      <c r="I476" s="6"/>
      <c r="J476" s="6"/>
      <c r="K476" s="6"/>
      <c r="L476" s="6"/>
      <c r="M476" s="6"/>
      <c r="N476" s="6"/>
      <c r="O476" s="16"/>
      <c r="P476" s="6"/>
      <c r="Q476" s="4"/>
      <c r="R476" s="4"/>
      <c r="S476" s="4"/>
      <c r="T476" s="4"/>
      <c r="U476" s="4"/>
      <c r="V476" s="4"/>
      <c r="W476" s="4"/>
      <c r="X476" s="4"/>
      <c r="Y476" s="4"/>
      <c r="Z476" s="4"/>
      <c r="AA476" s="4"/>
    </row>
    <row r="477" spans="1:27" ht="12.75" x14ac:dyDescent="0.2">
      <c r="A477" s="16"/>
      <c r="B477" s="6"/>
      <c r="C477" s="6"/>
      <c r="D477" s="6"/>
      <c r="E477" s="4"/>
      <c r="F477" s="6"/>
      <c r="G477" s="6"/>
      <c r="H477" s="6"/>
      <c r="I477" s="6"/>
      <c r="J477" s="6"/>
      <c r="K477" s="6"/>
      <c r="L477" s="6"/>
      <c r="M477" s="6"/>
      <c r="N477" s="6"/>
      <c r="O477" s="16"/>
      <c r="P477" s="6"/>
      <c r="Q477" s="4"/>
      <c r="R477" s="4"/>
      <c r="S477" s="4"/>
      <c r="T477" s="4"/>
      <c r="U477" s="4"/>
      <c r="V477" s="4"/>
      <c r="W477" s="4"/>
      <c r="X477" s="4"/>
      <c r="Y477" s="4"/>
      <c r="Z477" s="4"/>
      <c r="AA477" s="4"/>
    </row>
    <row r="478" spans="1:27" ht="12.75" x14ac:dyDescent="0.2">
      <c r="A478" s="16"/>
      <c r="B478" s="6"/>
      <c r="C478" s="6"/>
      <c r="D478" s="6"/>
      <c r="E478" s="4"/>
      <c r="F478" s="6"/>
      <c r="G478" s="6"/>
      <c r="H478" s="6"/>
      <c r="I478" s="6"/>
      <c r="J478" s="6"/>
      <c r="K478" s="6"/>
      <c r="L478" s="6"/>
      <c r="M478" s="6"/>
      <c r="N478" s="6"/>
      <c r="O478" s="16"/>
      <c r="P478" s="6"/>
      <c r="Q478" s="4"/>
      <c r="R478" s="4"/>
      <c r="S478" s="4"/>
      <c r="T478" s="4"/>
      <c r="U478" s="4"/>
      <c r="V478" s="4"/>
      <c r="W478" s="4"/>
      <c r="X478" s="4"/>
      <c r="Y478" s="4"/>
      <c r="Z478" s="4"/>
      <c r="AA478" s="4"/>
    </row>
    <row r="479" spans="1:27" ht="12.75" x14ac:dyDescent="0.2">
      <c r="A479" s="16"/>
      <c r="B479" s="6"/>
      <c r="C479" s="6"/>
      <c r="D479" s="6"/>
      <c r="E479" s="4"/>
      <c r="F479" s="6"/>
      <c r="G479" s="6"/>
      <c r="H479" s="6"/>
      <c r="I479" s="6"/>
      <c r="J479" s="6"/>
      <c r="K479" s="6"/>
      <c r="L479" s="6"/>
      <c r="M479" s="6"/>
      <c r="N479" s="6"/>
      <c r="O479" s="16"/>
      <c r="P479" s="6"/>
      <c r="Q479" s="4"/>
      <c r="R479" s="4"/>
      <c r="S479" s="4"/>
      <c r="T479" s="4"/>
      <c r="U479" s="4"/>
      <c r="V479" s="4"/>
      <c r="W479" s="4"/>
      <c r="X479" s="4"/>
      <c r="Y479" s="4"/>
      <c r="Z479" s="4"/>
      <c r="AA479" s="4"/>
    </row>
    <row r="480" spans="1:27" ht="12.75" x14ac:dyDescent="0.2">
      <c r="A480" s="16"/>
      <c r="B480" s="6"/>
      <c r="C480" s="6"/>
      <c r="D480" s="6"/>
      <c r="E480" s="4"/>
      <c r="F480" s="6"/>
      <c r="G480" s="6"/>
      <c r="H480" s="6"/>
      <c r="I480" s="6"/>
      <c r="J480" s="6"/>
      <c r="K480" s="6"/>
      <c r="L480" s="6"/>
      <c r="M480" s="6"/>
      <c r="N480" s="6"/>
      <c r="O480" s="16"/>
      <c r="P480" s="6"/>
      <c r="Q480" s="4"/>
      <c r="R480" s="4"/>
      <c r="S480" s="4"/>
      <c r="T480" s="4"/>
      <c r="U480" s="4"/>
      <c r="V480" s="4"/>
      <c r="W480" s="4"/>
      <c r="X480" s="4"/>
      <c r="Y480" s="4"/>
      <c r="Z480" s="4"/>
      <c r="AA480" s="4"/>
    </row>
    <row r="481" spans="1:27" ht="12.75" x14ac:dyDescent="0.2">
      <c r="A481" s="16"/>
      <c r="B481" s="6"/>
      <c r="C481" s="6"/>
      <c r="D481" s="6"/>
      <c r="E481" s="4"/>
      <c r="F481" s="6"/>
      <c r="G481" s="6"/>
      <c r="H481" s="6"/>
      <c r="I481" s="6"/>
      <c r="J481" s="6"/>
      <c r="K481" s="6"/>
      <c r="L481" s="6"/>
      <c r="M481" s="6"/>
      <c r="N481" s="6"/>
      <c r="O481" s="16"/>
      <c r="P481" s="6"/>
      <c r="Q481" s="4"/>
      <c r="R481" s="4"/>
      <c r="S481" s="4"/>
      <c r="T481" s="4"/>
      <c r="U481" s="4"/>
      <c r="V481" s="4"/>
      <c r="W481" s="4"/>
      <c r="X481" s="4"/>
      <c r="Y481" s="4"/>
      <c r="Z481" s="4"/>
      <c r="AA481" s="4"/>
    </row>
    <row r="482" spans="1:27" ht="12.75" x14ac:dyDescent="0.2">
      <c r="A482" s="16"/>
      <c r="B482" s="6"/>
      <c r="C482" s="6"/>
      <c r="D482" s="6"/>
      <c r="E482" s="4"/>
      <c r="F482" s="6"/>
      <c r="G482" s="6"/>
      <c r="H482" s="6"/>
      <c r="I482" s="6"/>
      <c r="J482" s="6"/>
      <c r="K482" s="6"/>
      <c r="L482" s="6"/>
      <c r="M482" s="6"/>
      <c r="N482" s="6"/>
      <c r="O482" s="16"/>
      <c r="P482" s="6"/>
      <c r="Q482" s="4"/>
      <c r="R482" s="4"/>
      <c r="S482" s="4"/>
      <c r="T482" s="4"/>
      <c r="U482" s="4"/>
      <c r="V482" s="4"/>
      <c r="W482" s="4"/>
      <c r="X482" s="4"/>
      <c r="Y482" s="4"/>
      <c r="Z482" s="4"/>
      <c r="AA482" s="4"/>
    </row>
    <row r="483" spans="1:27" ht="12.75" x14ac:dyDescent="0.2">
      <c r="A483" s="16"/>
      <c r="B483" s="6"/>
      <c r="C483" s="6"/>
      <c r="D483" s="6"/>
      <c r="E483" s="4"/>
      <c r="F483" s="6"/>
      <c r="G483" s="6"/>
      <c r="H483" s="6"/>
      <c r="I483" s="6"/>
      <c r="J483" s="6"/>
      <c r="K483" s="6"/>
      <c r="L483" s="6"/>
      <c r="M483" s="6"/>
      <c r="N483" s="6"/>
      <c r="O483" s="16"/>
      <c r="P483" s="6"/>
      <c r="Q483" s="4"/>
      <c r="R483" s="4"/>
      <c r="S483" s="4"/>
      <c r="T483" s="4"/>
      <c r="U483" s="4"/>
      <c r="V483" s="4"/>
      <c r="W483" s="4"/>
      <c r="X483" s="4"/>
      <c r="Y483" s="4"/>
      <c r="Z483" s="4"/>
      <c r="AA483" s="4"/>
    </row>
    <row r="484" spans="1:27" ht="12.75" x14ac:dyDescent="0.2">
      <c r="A484" s="16"/>
      <c r="B484" s="6"/>
      <c r="C484" s="6"/>
      <c r="D484" s="6"/>
      <c r="E484" s="4"/>
      <c r="F484" s="6"/>
      <c r="G484" s="6"/>
      <c r="H484" s="6"/>
      <c r="I484" s="6"/>
      <c r="J484" s="6"/>
      <c r="K484" s="6"/>
      <c r="L484" s="6"/>
      <c r="M484" s="6"/>
      <c r="N484" s="6"/>
      <c r="O484" s="16"/>
      <c r="P484" s="6"/>
      <c r="Q484" s="4"/>
      <c r="R484" s="4"/>
      <c r="S484" s="4"/>
      <c r="T484" s="4"/>
      <c r="U484" s="4"/>
      <c r="V484" s="4"/>
      <c r="W484" s="4"/>
      <c r="X484" s="4"/>
      <c r="Y484" s="4"/>
      <c r="Z484" s="4"/>
      <c r="AA484" s="4"/>
    </row>
    <row r="485" spans="1:27" ht="12.75" x14ac:dyDescent="0.2">
      <c r="A485" s="16"/>
      <c r="B485" s="6"/>
      <c r="C485" s="6"/>
      <c r="D485" s="6"/>
      <c r="E485" s="4"/>
      <c r="F485" s="6"/>
      <c r="G485" s="6"/>
      <c r="H485" s="6"/>
      <c r="I485" s="6"/>
      <c r="J485" s="6"/>
      <c r="K485" s="6"/>
      <c r="L485" s="6"/>
      <c r="M485" s="6"/>
      <c r="N485" s="6"/>
      <c r="O485" s="16"/>
      <c r="P485" s="6"/>
      <c r="Q485" s="4"/>
      <c r="R485" s="4"/>
      <c r="S485" s="4"/>
      <c r="T485" s="4"/>
      <c r="U485" s="4"/>
      <c r="V485" s="4"/>
      <c r="W485" s="4"/>
      <c r="X485" s="4"/>
      <c r="Y485" s="4"/>
      <c r="Z485" s="4"/>
      <c r="AA485" s="4"/>
    </row>
    <row r="486" spans="1:27" ht="12.75" x14ac:dyDescent="0.2">
      <c r="A486" s="16"/>
      <c r="B486" s="6"/>
      <c r="C486" s="6"/>
      <c r="D486" s="6"/>
      <c r="E486" s="4"/>
      <c r="F486" s="6"/>
      <c r="G486" s="6"/>
      <c r="H486" s="6"/>
      <c r="I486" s="6"/>
      <c r="J486" s="6"/>
      <c r="K486" s="6"/>
      <c r="L486" s="6"/>
      <c r="M486" s="6"/>
      <c r="N486" s="6"/>
      <c r="O486" s="16"/>
      <c r="P486" s="6"/>
      <c r="Q486" s="4"/>
      <c r="R486" s="4"/>
      <c r="S486" s="4"/>
      <c r="T486" s="4"/>
      <c r="U486" s="4"/>
      <c r="V486" s="4"/>
      <c r="W486" s="4"/>
      <c r="X486" s="4"/>
      <c r="Y486" s="4"/>
      <c r="Z486" s="4"/>
      <c r="AA486" s="4"/>
    </row>
    <row r="487" spans="1:27" ht="12.75" x14ac:dyDescent="0.2">
      <c r="A487" s="16"/>
      <c r="B487" s="6"/>
      <c r="C487" s="6"/>
      <c r="D487" s="6"/>
      <c r="E487" s="4"/>
      <c r="F487" s="6"/>
      <c r="G487" s="6"/>
      <c r="H487" s="6"/>
      <c r="I487" s="6"/>
      <c r="J487" s="6"/>
      <c r="K487" s="6"/>
      <c r="L487" s="6"/>
      <c r="M487" s="6"/>
      <c r="N487" s="6"/>
      <c r="O487" s="16"/>
      <c r="P487" s="6"/>
      <c r="Q487" s="4"/>
      <c r="R487" s="4"/>
      <c r="S487" s="4"/>
      <c r="T487" s="4"/>
      <c r="U487" s="4"/>
      <c r="V487" s="4"/>
      <c r="W487" s="4"/>
      <c r="X487" s="4"/>
      <c r="Y487" s="4"/>
      <c r="Z487" s="4"/>
      <c r="AA487" s="4"/>
    </row>
    <row r="488" spans="1:27" ht="12.75" x14ac:dyDescent="0.2">
      <c r="A488" s="16"/>
      <c r="B488" s="6"/>
      <c r="C488" s="6"/>
      <c r="D488" s="6"/>
      <c r="E488" s="4"/>
      <c r="F488" s="6"/>
      <c r="G488" s="6"/>
      <c r="H488" s="6"/>
      <c r="I488" s="6"/>
      <c r="J488" s="6"/>
      <c r="K488" s="6"/>
      <c r="L488" s="6"/>
      <c r="M488" s="6"/>
      <c r="N488" s="6"/>
      <c r="O488" s="16"/>
      <c r="P488" s="6"/>
      <c r="Q488" s="4"/>
      <c r="R488" s="4"/>
      <c r="S488" s="4"/>
      <c r="T488" s="4"/>
      <c r="U488" s="4"/>
      <c r="V488" s="4"/>
      <c r="W488" s="4"/>
      <c r="X488" s="4"/>
      <c r="Y488" s="4"/>
      <c r="Z488" s="4"/>
      <c r="AA488" s="4"/>
    </row>
    <row r="489" spans="1:27" ht="12.75" x14ac:dyDescent="0.2">
      <c r="A489" s="16"/>
      <c r="B489" s="6"/>
      <c r="C489" s="6"/>
      <c r="D489" s="6"/>
      <c r="E489" s="4"/>
      <c r="F489" s="6"/>
      <c r="G489" s="6"/>
      <c r="H489" s="6"/>
      <c r="I489" s="6"/>
      <c r="J489" s="6"/>
      <c r="K489" s="6"/>
      <c r="L489" s="6"/>
      <c r="M489" s="6"/>
      <c r="N489" s="6"/>
      <c r="O489" s="16"/>
      <c r="P489" s="6"/>
      <c r="Q489" s="4"/>
      <c r="R489" s="4"/>
      <c r="S489" s="4"/>
      <c r="T489" s="4"/>
      <c r="U489" s="4"/>
      <c r="V489" s="4"/>
      <c r="W489" s="4"/>
      <c r="X489" s="4"/>
      <c r="Y489" s="4"/>
      <c r="Z489" s="4"/>
      <c r="AA489" s="4"/>
    </row>
    <row r="490" spans="1:27" ht="12.75" x14ac:dyDescent="0.2">
      <c r="A490" s="16"/>
      <c r="B490" s="6"/>
      <c r="C490" s="6"/>
      <c r="D490" s="6"/>
      <c r="E490" s="4"/>
      <c r="F490" s="6"/>
      <c r="G490" s="6"/>
      <c r="H490" s="6"/>
      <c r="I490" s="6"/>
      <c r="J490" s="6"/>
      <c r="K490" s="6"/>
      <c r="L490" s="6"/>
      <c r="M490" s="6"/>
      <c r="N490" s="6"/>
      <c r="O490" s="16"/>
      <c r="P490" s="6"/>
      <c r="Q490" s="4"/>
      <c r="R490" s="4"/>
      <c r="S490" s="4"/>
      <c r="T490" s="4"/>
      <c r="U490" s="4"/>
      <c r="V490" s="4"/>
      <c r="W490" s="4"/>
      <c r="X490" s="4"/>
      <c r="Y490" s="4"/>
      <c r="Z490" s="4"/>
      <c r="AA490" s="4"/>
    </row>
    <row r="491" spans="1:27" ht="12.75" x14ac:dyDescent="0.2">
      <c r="A491" s="16"/>
      <c r="B491" s="6"/>
      <c r="C491" s="6"/>
      <c r="D491" s="6"/>
      <c r="E491" s="4"/>
      <c r="F491" s="6"/>
      <c r="G491" s="6"/>
      <c r="H491" s="6"/>
      <c r="I491" s="6"/>
      <c r="J491" s="6"/>
      <c r="K491" s="6"/>
      <c r="L491" s="6"/>
      <c r="M491" s="6"/>
      <c r="N491" s="6"/>
      <c r="O491" s="16"/>
      <c r="P491" s="6"/>
      <c r="Q491" s="4"/>
      <c r="R491" s="4"/>
      <c r="S491" s="4"/>
      <c r="T491" s="4"/>
      <c r="U491" s="4"/>
      <c r="V491" s="4"/>
      <c r="W491" s="4"/>
      <c r="X491" s="4"/>
      <c r="Y491" s="4"/>
      <c r="Z491" s="4"/>
      <c r="AA491" s="4"/>
    </row>
    <row r="492" spans="1:27" ht="12.75" x14ac:dyDescent="0.2">
      <c r="A492" s="16"/>
      <c r="B492" s="6"/>
      <c r="C492" s="6"/>
      <c r="D492" s="6"/>
      <c r="E492" s="4"/>
      <c r="F492" s="6"/>
      <c r="G492" s="6"/>
      <c r="H492" s="6"/>
      <c r="I492" s="6"/>
      <c r="J492" s="6"/>
      <c r="K492" s="6"/>
      <c r="L492" s="6"/>
      <c r="M492" s="6"/>
      <c r="N492" s="6"/>
      <c r="O492" s="16"/>
      <c r="P492" s="6"/>
      <c r="Q492" s="4"/>
      <c r="R492" s="4"/>
      <c r="S492" s="4"/>
      <c r="T492" s="4"/>
      <c r="U492" s="4"/>
      <c r="V492" s="4"/>
      <c r="W492" s="4"/>
      <c r="X492" s="4"/>
      <c r="Y492" s="4"/>
      <c r="Z492" s="4"/>
      <c r="AA492" s="4"/>
    </row>
    <row r="493" spans="1:27" ht="12.75" x14ac:dyDescent="0.2">
      <c r="A493" s="16"/>
      <c r="B493" s="6"/>
      <c r="C493" s="6"/>
      <c r="D493" s="6"/>
      <c r="E493" s="4"/>
      <c r="F493" s="6"/>
      <c r="G493" s="6"/>
      <c r="H493" s="6"/>
      <c r="I493" s="6"/>
      <c r="J493" s="6"/>
      <c r="K493" s="6"/>
      <c r="L493" s="6"/>
      <c r="M493" s="6"/>
      <c r="N493" s="6"/>
      <c r="O493" s="16"/>
      <c r="P493" s="6"/>
      <c r="Q493" s="4"/>
      <c r="R493" s="4"/>
      <c r="S493" s="4"/>
      <c r="T493" s="4"/>
      <c r="U493" s="4"/>
      <c r="V493" s="4"/>
      <c r="W493" s="4"/>
      <c r="X493" s="4"/>
      <c r="Y493" s="4"/>
      <c r="Z493" s="4"/>
      <c r="AA493" s="4"/>
    </row>
    <row r="494" spans="1:27" ht="12.75" x14ac:dyDescent="0.2">
      <c r="A494" s="16"/>
      <c r="B494" s="6"/>
      <c r="C494" s="6"/>
      <c r="D494" s="6"/>
      <c r="E494" s="4"/>
      <c r="F494" s="6"/>
      <c r="G494" s="6"/>
      <c r="H494" s="6"/>
      <c r="I494" s="6"/>
      <c r="J494" s="6"/>
      <c r="K494" s="6"/>
      <c r="L494" s="6"/>
      <c r="M494" s="6"/>
      <c r="N494" s="6"/>
      <c r="O494" s="16"/>
      <c r="P494" s="6"/>
      <c r="Q494" s="4"/>
      <c r="R494" s="4"/>
      <c r="S494" s="4"/>
      <c r="T494" s="4"/>
      <c r="U494" s="4"/>
      <c r="V494" s="4"/>
      <c r="W494" s="4"/>
      <c r="X494" s="4"/>
      <c r="Y494" s="4"/>
      <c r="Z494" s="4"/>
      <c r="AA494" s="4"/>
    </row>
    <row r="495" spans="1:27" ht="12.75" x14ac:dyDescent="0.2">
      <c r="A495" s="16"/>
      <c r="B495" s="6"/>
      <c r="C495" s="6"/>
      <c r="D495" s="6"/>
      <c r="E495" s="4"/>
      <c r="F495" s="6"/>
      <c r="G495" s="6"/>
      <c r="H495" s="6"/>
      <c r="I495" s="6"/>
      <c r="J495" s="6"/>
      <c r="K495" s="6"/>
      <c r="L495" s="6"/>
      <c r="M495" s="6"/>
      <c r="N495" s="6"/>
      <c r="O495" s="16"/>
      <c r="P495" s="6"/>
      <c r="Q495" s="4"/>
      <c r="R495" s="4"/>
      <c r="S495" s="4"/>
      <c r="T495" s="4"/>
      <c r="U495" s="4"/>
      <c r="V495" s="4"/>
      <c r="W495" s="4"/>
      <c r="X495" s="4"/>
      <c r="Y495" s="4"/>
      <c r="Z495" s="4"/>
      <c r="AA495" s="4"/>
    </row>
    <row r="496" spans="1:27" ht="12.75" x14ac:dyDescent="0.2">
      <c r="A496" s="16"/>
      <c r="B496" s="6"/>
      <c r="C496" s="6"/>
      <c r="D496" s="6"/>
      <c r="E496" s="4"/>
      <c r="F496" s="6"/>
      <c r="G496" s="6"/>
      <c r="H496" s="6"/>
      <c r="I496" s="6"/>
      <c r="J496" s="6"/>
      <c r="K496" s="6"/>
      <c r="L496" s="6"/>
      <c r="M496" s="6"/>
      <c r="N496" s="6"/>
      <c r="O496" s="16"/>
      <c r="P496" s="6"/>
      <c r="Q496" s="4"/>
      <c r="R496" s="4"/>
      <c r="S496" s="4"/>
      <c r="T496" s="4"/>
      <c r="U496" s="4"/>
      <c r="V496" s="4"/>
      <c r="W496" s="4"/>
      <c r="X496" s="4"/>
      <c r="Y496" s="4"/>
      <c r="Z496" s="4"/>
      <c r="AA496" s="4"/>
    </row>
    <row r="497" spans="1:27" ht="12.75" x14ac:dyDescent="0.2">
      <c r="A497" s="16"/>
      <c r="B497" s="6"/>
      <c r="C497" s="6"/>
      <c r="D497" s="6"/>
      <c r="E497" s="4"/>
      <c r="F497" s="6"/>
      <c r="G497" s="6"/>
      <c r="H497" s="6"/>
      <c r="I497" s="6"/>
      <c r="J497" s="6"/>
      <c r="K497" s="6"/>
      <c r="L497" s="6"/>
      <c r="M497" s="6"/>
      <c r="N497" s="6"/>
      <c r="O497" s="16"/>
      <c r="P497" s="6"/>
      <c r="Q497" s="4"/>
      <c r="R497" s="4"/>
      <c r="S497" s="4"/>
      <c r="T497" s="4"/>
      <c r="U497" s="4"/>
      <c r="V497" s="4"/>
      <c r="W497" s="4"/>
      <c r="X497" s="4"/>
      <c r="Y497" s="4"/>
      <c r="Z497" s="4"/>
      <c r="AA497" s="4"/>
    </row>
    <row r="498" spans="1:27" ht="12.75" x14ac:dyDescent="0.2">
      <c r="A498" s="16"/>
      <c r="B498" s="6"/>
      <c r="C498" s="6"/>
      <c r="D498" s="6"/>
      <c r="E498" s="4"/>
      <c r="F498" s="6"/>
      <c r="G498" s="6"/>
      <c r="H498" s="6"/>
      <c r="I498" s="6"/>
      <c r="J498" s="6"/>
      <c r="K498" s="6"/>
      <c r="L498" s="6"/>
      <c r="M498" s="6"/>
      <c r="N498" s="6"/>
      <c r="O498" s="16"/>
      <c r="P498" s="6"/>
      <c r="Q498" s="4"/>
      <c r="R498" s="4"/>
      <c r="S498" s="4"/>
      <c r="T498" s="4"/>
      <c r="U498" s="4"/>
      <c r="V498" s="4"/>
      <c r="W498" s="4"/>
      <c r="X498" s="4"/>
      <c r="Y498" s="4"/>
      <c r="Z498" s="4"/>
      <c r="AA498" s="4"/>
    </row>
    <row r="499" spans="1:27" ht="12.75" x14ac:dyDescent="0.2">
      <c r="A499" s="16"/>
      <c r="B499" s="6"/>
      <c r="C499" s="6"/>
      <c r="D499" s="6"/>
      <c r="E499" s="4"/>
      <c r="F499" s="6"/>
      <c r="G499" s="6"/>
      <c r="H499" s="6"/>
      <c r="I499" s="6"/>
      <c r="J499" s="6"/>
      <c r="K499" s="6"/>
      <c r="L499" s="6"/>
      <c r="M499" s="6"/>
      <c r="N499" s="6"/>
      <c r="O499" s="16"/>
      <c r="P499" s="6"/>
      <c r="Q499" s="4"/>
      <c r="R499" s="4"/>
      <c r="S499" s="4"/>
      <c r="T499" s="4"/>
      <c r="U499" s="4"/>
      <c r="V499" s="4"/>
      <c r="W499" s="4"/>
      <c r="X499" s="4"/>
      <c r="Y499" s="4"/>
      <c r="Z499" s="4"/>
      <c r="AA499" s="4"/>
    </row>
    <row r="500" spans="1:27" ht="12.75" x14ac:dyDescent="0.2">
      <c r="A500" s="16"/>
      <c r="B500" s="6"/>
      <c r="C500" s="6"/>
      <c r="D500" s="6"/>
      <c r="E500" s="4"/>
      <c r="F500" s="6"/>
      <c r="G500" s="6"/>
      <c r="H500" s="6"/>
      <c r="I500" s="6"/>
      <c r="J500" s="6"/>
      <c r="K500" s="6"/>
      <c r="L500" s="6"/>
      <c r="M500" s="6"/>
      <c r="N500" s="6"/>
      <c r="O500" s="16"/>
      <c r="P500" s="6"/>
      <c r="Q500" s="4"/>
      <c r="R500" s="4"/>
      <c r="S500" s="4"/>
      <c r="T500" s="4"/>
      <c r="U500" s="4"/>
      <c r="V500" s="4"/>
      <c r="W500" s="4"/>
      <c r="X500" s="4"/>
      <c r="Y500" s="4"/>
      <c r="Z500" s="4"/>
      <c r="AA500" s="4"/>
    </row>
    <row r="501" spans="1:27" ht="12.75" x14ac:dyDescent="0.2">
      <c r="A501" s="16"/>
      <c r="B501" s="6"/>
      <c r="C501" s="6"/>
      <c r="D501" s="6"/>
      <c r="E501" s="4"/>
      <c r="F501" s="6"/>
      <c r="G501" s="6"/>
      <c r="H501" s="6"/>
      <c r="I501" s="6"/>
      <c r="J501" s="6"/>
      <c r="K501" s="6"/>
      <c r="L501" s="6"/>
      <c r="M501" s="6"/>
      <c r="N501" s="6"/>
      <c r="O501" s="16"/>
      <c r="P501" s="6"/>
      <c r="Q501" s="4"/>
      <c r="R501" s="4"/>
      <c r="S501" s="4"/>
      <c r="T501" s="4"/>
      <c r="U501" s="4"/>
      <c r="V501" s="4"/>
      <c r="W501" s="4"/>
      <c r="X501" s="4"/>
      <c r="Y501" s="4"/>
      <c r="Z501" s="4"/>
      <c r="AA501" s="4"/>
    </row>
    <row r="502" spans="1:27" ht="12.75" x14ac:dyDescent="0.2">
      <c r="A502" s="16"/>
      <c r="B502" s="6"/>
      <c r="C502" s="6"/>
      <c r="D502" s="6"/>
      <c r="E502" s="4"/>
      <c r="F502" s="6"/>
      <c r="G502" s="6"/>
      <c r="H502" s="6"/>
      <c r="I502" s="6"/>
      <c r="J502" s="6"/>
      <c r="K502" s="6"/>
      <c r="L502" s="6"/>
      <c r="M502" s="6"/>
      <c r="N502" s="6"/>
      <c r="O502" s="16"/>
      <c r="P502" s="6"/>
      <c r="Q502" s="4"/>
      <c r="R502" s="4"/>
      <c r="S502" s="4"/>
      <c r="T502" s="4"/>
      <c r="U502" s="4"/>
      <c r="V502" s="4"/>
      <c r="W502" s="4"/>
      <c r="X502" s="4"/>
      <c r="Y502" s="4"/>
      <c r="Z502" s="4"/>
      <c r="AA502" s="4"/>
    </row>
    <row r="503" spans="1:27" ht="12.75" x14ac:dyDescent="0.2">
      <c r="A503" s="16"/>
      <c r="B503" s="6"/>
      <c r="C503" s="6"/>
      <c r="D503" s="6"/>
      <c r="E503" s="4"/>
      <c r="F503" s="6"/>
      <c r="G503" s="6"/>
      <c r="H503" s="6"/>
      <c r="I503" s="6"/>
      <c r="J503" s="6"/>
      <c r="K503" s="6"/>
      <c r="L503" s="6"/>
      <c r="M503" s="6"/>
      <c r="N503" s="6"/>
      <c r="O503" s="16"/>
      <c r="P503" s="6"/>
      <c r="Q503" s="4"/>
      <c r="R503" s="4"/>
      <c r="S503" s="4"/>
      <c r="T503" s="4"/>
      <c r="U503" s="4"/>
      <c r="V503" s="4"/>
      <c r="W503" s="4"/>
      <c r="X503" s="4"/>
      <c r="Y503" s="4"/>
      <c r="Z503" s="4"/>
      <c r="AA503" s="4"/>
    </row>
    <row r="504" spans="1:27" ht="12.75" x14ac:dyDescent="0.2">
      <c r="A504" s="16"/>
      <c r="B504" s="6"/>
      <c r="C504" s="6"/>
      <c r="D504" s="6"/>
      <c r="E504" s="4"/>
      <c r="F504" s="6"/>
      <c r="G504" s="6"/>
      <c r="H504" s="6"/>
      <c r="I504" s="6"/>
      <c r="J504" s="6"/>
      <c r="K504" s="6"/>
      <c r="L504" s="6"/>
      <c r="M504" s="6"/>
      <c r="N504" s="6"/>
      <c r="O504" s="16"/>
      <c r="P504" s="6"/>
      <c r="Q504" s="4"/>
      <c r="R504" s="4"/>
      <c r="S504" s="4"/>
      <c r="T504" s="4"/>
      <c r="U504" s="4"/>
      <c r="V504" s="4"/>
      <c r="W504" s="4"/>
      <c r="X504" s="4"/>
      <c r="Y504" s="4"/>
      <c r="Z504" s="4"/>
      <c r="AA504" s="4"/>
    </row>
    <row r="505" spans="1:27" ht="12.75" x14ac:dyDescent="0.2">
      <c r="A505" s="16"/>
      <c r="B505" s="6"/>
      <c r="C505" s="6"/>
      <c r="D505" s="6"/>
      <c r="E505" s="4"/>
      <c r="F505" s="6"/>
      <c r="G505" s="6"/>
      <c r="H505" s="6"/>
      <c r="I505" s="6"/>
      <c r="J505" s="6"/>
      <c r="K505" s="6"/>
      <c r="L505" s="6"/>
      <c r="M505" s="6"/>
      <c r="N505" s="6"/>
      <c r="O505" s="16"/>
      <c r="P505" s="6"/>
      <c r="Q505" s="4"/>
      <c r="R505" s="4"/>
      <c r="S505" s="4"/>
      <c r="T505" s="4"/>
      <c r="U505" s="4"/>
      <c r="V505" s="4"/>
      <c r="W505" s="4"/>
      <c r="X505" s="4"/>
      <c r="Y505" s="4"/>
      <c r="Z505" s="4"/>
      <c r="AA505" s="4"/>
    </row>
    <row r="506" spans="1:27" ht="12.75" x14ac:dyDescent="0.2">
      <c r="A506" s="16"/>
      <c r="B506" s="6"/>
      <c r="C506" s="6"/>
      <c r="D506" s="6"/>
      <c r="E506" s="4"/>
      <c r="F506" s="6"/>
      <c r="G506" s="6"/>
      <c r="H506" s="6"/>
      <c r="I506" s="6"/>
      <c r="J506" s="6"/>
      <c r="K506" s="6"/>
      <c r="L506" s="6"/>
      <c r="M506" s="6"/>
      <c r="N506" s="6"/>
      <c r="O506" s="16"/>
      <c r="P506" s="6"/>
      <c r="Q506" s="4"/>
      <c r="R506" s="4"/>
      <c r="S506" s="4"/>
      <c r="T506" s="4"/>
      <c r="U506" s="4"/>
      <c r="V506" s="4"/>
      <c r="W506" s="4"/>
      <c r="X506" s="4"/>
      <c r="Y506" s="4"/>
      <c r="Z506" s="4"/>
      <c r="AA506" s="4"/>
    </row>
    <row r="507" spans="1:27" ht="12.75" x14ac:dyDescent="0.2">
      <c r="A507" s="16"/>
      <c r="B507" s="6"/>
      <c r="C507" s="6"/>
      <c r="D507" s="6"/>
      <c r="E507" s="4"/>
      <c r="F507" s="6"/>
      <c r="G507" s="6"/>
      <c r="H507" s="6"/>
      <c r="I507" s="6"/>
      <c r="J507" s="6"/>
      <c r="K507" s="6"/>
      <c r="L507" s="6"/>
      <c r="M507" s="6"/>
      <c r="N507" s="6"/>
      <c r="O507" s="16"/>
      <c r="P507" s="6"/>
      <c r="Q507" s="4"/>
      <c r="R507" s="4"/>
      <c r="S507" s="4"/>
      <c r="T507" s="4"/>
      <c r="U507" s="4"/>
      <c r="V507" s="4"/>
      <c r="W507" s="4"/>
      <c r="X507" s="4"/>
      <c r="Y507" s="4"/>
      <c r="Z507" s="4"/>
      <c r="AA507" s="4"/>
    </row>
    <row r="508" spans="1:27" ht="12.75" x14ac:dyDescent="0.2">
      <c r="A508" s="16"/>
      <c r="B508" s="6"/>
      <c r="C508" s="6"/>
      <c r="D508" s="6"/>
      <c r="E508" s="4"/>
      <c r="F508" s="6"/>
      <c r="G508" s="6"/>
      <c r="H508" s="6"/>
      <c r="I508" s="6"/>
      <c r="J508" s="6"/>
      <c r="K508" s="6"/>
      <c r="L508" s="6"/>
      <c r="M508" s="6"/>
      <c r="N508" s="6"/>
      <c r="O508" s="16"/>
      <c r="P508" s="6"/>
      <c r="Q508" s="4"/>
      <c r="R508" s="4"/>
      <c r="S508" s="4"/>
      <c r="T508" s="4"/>
      <c r="U508" s="4"/>
      <c r="V508" s="4"/>
      <c r="W508" s="4"/>
      <c r="X508" s="4"/>
      <c r="Y508" s="4"/>
      <c r="Z508" s="4"/>
      <c r="AA508" s="4"/>
    </row>
    <row r="509" spans="1:27" ht="12.75" x14ac:dyDescent="0.2">
      <c r="A509" s="16"/>
      <c r="B509" s="6"/>
      <c r="C509" s="6"/>
      <c r="D509" s="6"/>
      <c r="E509" s="4"/>
      <c r="F509" s="6"/>
      <c r="G509" s="6"/>
      <c r="H509" s="6"/>
      <c r="I509" s="6"/>
      <c r="J509" s="6"/>
      <c r="K509" s="6"/>
      <c r="L509" s="6"/>
      <c r="M509" s="6"/>
      <c r="N509" s="6"/>
      <c r="O509" s="16"/>
      <c r="P509" s="6"/>
      <c r="Q509" s="4"/>
      <c r="R509" s="4"/>
      <c r="S509" s="4"/>
      <c r="T509" s="4"/>
      <c r="U509" s="4"/>
      <c r="V509" s="4"/>
      <c r="W509" s="4"/>
      <c r="X509" s="4"/>
      <c r="Y509" s="4"/>
      <c r="Z509" s="4"/>
      <c r="AA509" s="4"/>
    </row>
    <row r="510" spans="1:27" ht="12.75" x14ac:dyDescent="0.2">
      <c r="A510" s="16"/>
      <c r="B510" s="6"/>
      <c r="C510" s="6"/>
      <c r="D510" s="6"/>
      <c r="E510" s="4"/>
      <c r="F510" s="6"/>
      <c r="G510" s="6"/>
      <c r="H510" s="6"/>
      <c r="I510" s="6"/>
      <c r="J510" s="6"/>
      <c r="K510" s="6"/>
      <c r="L510" s="6"/>
      <c r="M510" s="6"/>
      <c r="N510" s="6"/>
      <c r="O510" s="16"/>
      <c r="P510" s="6"/>
      <c r="Q510" s="4"/>
      <c r="R510" s="4"/>
      <c r="S510" s="4"/>
      <c r="T510" s="4"/>
      <c r="U510" s="4"/>
      <c r="V510" s="4"/>
      <c r="W510" s="4"/>
      <c r="X510" s="4"/>
      <c r="Y510" s="4"/>
      <c r="Z510" s="4"/>
      <c r="AA510" s="4"/>
    </row>
    <row r="511" spans="1:27" ht="12.75" x14ac:dyDescent="0.2">
      <c r="A511" s="16"/>
      <c r="B511" s="6"/>
      <c r="C511" s="6"/>
      <c r="D511" s="6"/>
      <c r="E511" s="4"/>
      <c r="F511" s="6"/>
      <c r="G511" s="6"/>
      <c r="H511" s="6"/>
      <c r="I511" s="6"/>
      <c r="J511" s="6"/>
      <c r="K511" s="6"/>
      <c r="L511" s="6"/>
      <c r="M511" s="6"/>
      <c r="N511" s="6"/>
      <c r="O511" s="16"/>
      <c r="P511" s="6"/>
      <c r="Q511" s="4"/>
      <c r="R511" s="4"/>
      <c r="S511" s="4"/>
      <c r="T511" s="4"/>
      <c r="U511" s="4"/>
      <c r="V511" s="4"/>
      <c r="W511" s="4"/>
      <c r="X511" s="4"/>
      <c r="Y511" s="4"/>
      <c r="Z511" s="4"/>
      <c r="AA511" s="4"/>
    </row>
    <row r="512" spans="1:27" ht="12.75" x14ac:dyDescent="0.2">
      <c r="A512" s="16"/>
      <c r="B512" s="6"/>
      <c r="C512" s="6"/>
      <c r="D512" s="6"/>
      <c r="E512" s="4"/>
      <c r="F512" s="6"/>
      <c r="G512" s="6"/>
      <c r="H512" s="6"/>
      <c r="I512" s="6"/>
      <c r="J512" s="6"/>
      <c r="K512" s="6"/>
      <c r="L512" s="6"/>
      <c r="M512" s="6"/>
      <c r="N512" s="6"/>
      <c r="O512" s="16"/>
      <c r="P512" s="6"/>
      <c r="Q512" s="4"/>
      <c r="R512" s="4"/>
      <c r="S512" s="4"/>
      <c r="T512" s="4"/>
      <c r="U512" s="4"/>
      <c r="V512" s="4"/>
      <c r="W512" s="4"/>
      <c r="X512" s="4"/>
      <c r="Y512" s="4"/>
      <c r="Z512" s="4"/>
      <c r="AA512" s="4"/>
    </row>
    <row r="513" spans="1:27" ht="12.75" x14ac:dyDescent="0.2">
      <c r="A513" s="16"/>
      <c r="B513" s="6"/>
      <c r="C513" s="6"/>
      <c r="D513" s="6"/>
      <c r="E513" s="4"/>
      <c r="F513" s="6"/>
      <c r="G513" s="6"/>
      <c r="H513" s="6"/>
      <c r="I513" s="6"/>
      <c r="J513" s="6"/>
      <c r="K513" s="6"/>
      <c r="L513" s="6"/>
      <c r="M513" s="6"/>
      <c r="N513" s="6"/>
      <c r="O513" s="16"/>
      <c r="P513" s="6"/>
      <c r="Q513" s="4"/>
      <c r="R513" s="4"/>
      <c r="S513" s="4"/>
      <c r="T513" s="4"/>
      <c r="U513" s="4"/>
      <c r="V513" s="4"/>
      <c r="W513" s="4"/>
      <c r="X513" s="4"/>
      <c r="Y513" s="4"/>
      <c r="Z513" s="4"/>
      <c r="AA513" s="4"/>
    </row>
    <row r="514" spans="1:27" ht="12.75" x14ac:dyDescent="0.2">
      <c r="A514" s="16"/>
      <c r="B514" s="6"/>
      <c r="C514" s="6"/>
      <c r="D514" s="6"/>
      <c r="E514" s="4"/>
      <c r="F514" s="6"/>
      <c r="G514" s="6"/>
      <c r="H514" s="6"/>
      <c r="I514" s="6"/>
      <c r="J514" s="6"/>
      <c r="K514" s="6"/>
      <c r="L514" s="6"/>
      <c r="M514" s="6"/>
      <c r="N514" s="6"/>
      <c r="O514" s="16"/>
      <c r="P514" s="6"/>
      <c r="Q514" s="4"/>
      <c r="R514" s="4"/>
      <c r="S514" s="4"/>
      <c r="T514" s="4"/>
      <c r="U514" s="4"/>
      <c r="V514" s="4"/>
      <c r="W514" s="4"/>
      <c r="X514" s="4"/>
      <c r="Y514" s="4"/>
      <c r="Z514" s="4"/>
      <c r="AA514" s="4"/>
    </row>
    <row r="515" spans="1:27" ht="12.75" x14ac:dyDescent="0.2">
      <c r="A515" s="16"/>
      <c r="B515" s="6"/>
      <c r="C515" s="6"/>
      <c r="D515" s="6"/>
      <c r="E515" s="4"/>
      <c r="F515" s="6"/>
      <c r="G515" s="6"/>
      <c r="H515" s="6"/>
      <c r="I515" s="6"/>
      <c r="J515" s="6"/>
      <c r="K515" s="6"/>
      <c r="L515" s="6"/>
      <c r="M515" s="6"/>
      <c r="N515" s="6"/>
      <c r="O515" s="16"/>
      <c r="P515" s="6"/>
      <c r="Q515" s="4"/>
      <c r="R515" s="4"/>
      <c r="S515" s="4"/>
      <c r="T515" s="4"/>
      <c r="U515" s="4"/>
      <c r="V515" s="4"/>
      <c r="W515" s="4"/>
      <c r="X515" s="4"/>
      <c r="Y515" s="4"/>
      <c r="Z515" s="4"/>
      <c r="AA515" s="4"/>
    </row>
    <row r="516" spans="1:27" ht="12.75" x14ac:dyDescent="0.2">
      <c r="A516" s="16"/>
      <c r="B516" s="6"/>
      <c r="C516" s="6"/>
      <c r="D516" s="6"/>
      <c r="E516" s="4"/>
      <c r="F516" s="6"/>
      <c r="G516" s="6"/>
      <c r="H516" s="6"/>
      <c r="I516" s="6"/>
      <c r="J516" s="6"/>
      <c r="K516" s="6"/>
      <c r="L516" s="6"/>
      <c r="M516" s="6"/>
      <c r="N516" s="6"/>
      <c r="O516" s="16"/>
      <c r="P516" s="6"/>
      <c r="Q516" s="4"/>
      <c r="R516" s="4"/>
      <c r="S516" s="4"/>
      <c r="T516" s="4"/>
      <c r="U516" s="4"/>
      <c r="V516" s="4"/>
      <c r="W516" s="4"/>
      <c r="X516" s="4"/>
      <c r="Y516" s="4"/>
      <c r="Z516" s="4"/>
      <c r="AA516" s="4"/>
    </row>
    <row r="517" spans="1:27" ht="12.75" x14ac:dyDescent="0.2">
      <c r="A517" s="16"/>
      <c r="B517" s="6"/>
      <c r="C517" s="6"/>
      <c r="D517" s="6"/>
      <c r="E517" s="4"/>
      <c r="F517" s="6"/>
      <c r="G517" s="6"/>
      <c r="H517" s="6"/>
      <c r="I517" s="6"/>
      <c r="J517" s="6"/>
      <c r="K517" s="6"/>
      <c r="L517" s="6"/>
      <c r="M517" s="6"/>
      <c r="N517" s="6"/>
      <c r="O517" s="16"/>
      <c r="P517" s="6"/>
      <c r="Q517" s="4"/>
      <c r="R517" s="4"/>
      <c r="S517" s="4"/>
      <c r="T517" s="4"/>
      <c r="U517" s="4"/>
      <c r="V517" s="4"/>
      <c r="W517" s="4"/>
      <c r="X517" s="4"/>
      <c r="Y517" s="4"/>
      <c r="Z517" s="4"/>
      <c r="AA517" s="4"/>
    </row>
    <row r="518" spans="1:27" ht="12.75" x14ac:dyDescent="0.2">
      <c r="A518" s="16"/>
      <c r="B518" s="6"/>
      <c r="C518" s="6"/>
      <c r="D518" s="6"/>
      <c r="E518" s="4"/>
      <c r="F518" s="6"/>
      <c r="G518" s="6"/>
      <c r="H518" s="6"/>
      <c r="I518" s="6"/>
      <c r="J518" s="6"/>
      <c r="K518" s="6"/>
      <c r="L518" s="6"/>
      <c r="M518" s="6"/>
      <c r="N518" s="6"/>
      <c r="O518" s="16"/>
      <c r="P518" s="6"/>
      <c r="Q518" s="4"/>
      <c r="R518" s="4"/>
      <c r="S518" s="4"/>
      <c r="T518" s="4"/>
      <c r="U518" s="4"/>
      <c r="V518" s="4"/>
      <c r="W518" s="4"/>
      <c r="X518" s="4"/>
      <c r="Y518" s="4"/>
      <c r="Z518" s="4"/>
      <c r="AA518" s="4"/>
    </row>
    <row r="519" spans="1:27" ht="12.75" x14ac:dyDescent="0.2">
      <c r="A519" s="16"/>
      <c r="B519" s="6"/>
      <c r="C519" s="6"/>
      <c r="D519" s="6"/>
      <c r="E519" s="4"/>
      <c r="F519" s="6"/>
      <c r="G519" s="6"/>
      <c r="H519" s="6"/>
      <c r="I519" s="6"/>
      <c r="J519" s="6"/>
      <c r="K519" s="6"/>
      <c r="L519" s="6"/>
      <c r="M519" s="6"/>
      <c r="N519" s="6"/>
      <c r="O519" s="16"/>
      <c r="P519" s="6"/>
      <c r="Q519" s="4"/>
      <c r="R519" s="4"/>
      <c r="S519" s="4"/>
      <c r="T519" s="4"/>
      <c r="U519" s="4"/>
      <c r="V519" s="4"/>
      <c r="W519" s="4"/>
      <c r="X519" s="4"/>
      <c r="Y519" s="4"/>
      <c r="Z519" s="4"/>
      <c r="AA519" s="4"/>
    </row>
    <row r="520" spans="1:27" ht="12.75" x14ac:dyDescent="0.2">
      <c r="A520" s="16"/>
      <c r="B520" s="6"/>
      <c r="C520" s="6"/>
      <c r="D520" s="6"/>
      <c r="E520" s="4"/>
      <c r="F520" s="6"/>
      <c r="G520" s="6"/>
      <c r="H520" s="6"/>
      <c r="I520" s="6"/>
      <c r="J520" s="6"/>
      <c r="K520" s="6"/>
      <c r="L520" s="6"/>
      <c r="M520" s="6"/>
      <c r="N520" s="6"/>
      <c r="O520" s="16"/>
      <c r="P520" s="6"/>
      <c r="Q520" s="4"/>
      <c r="R520" s="4"/>
      <c r="S520" s="4"/>
      <c r="T520" s="4"/>
      <c r="U520" s="4"/>
      <c r="V520" s="4"/>
      <c r="W520" s="4"/>
      <c r="X520" s="4"/>
      <c r="Y520" s="4"/>
      <c r="Z520" s="4"/>
      <c r="AA520" s="4"/>
    </row>
    <row r="521" spans="1:27" ht="12.75" x14ac:dyDescent="0.2">
      <c r="A521" s="16"/>
      <c r="B521" s="6"/>
      <c r="C521" s="6"/>
      <c r="D521" s="6"/>
      <c r="E521" s="4"/>
      <c r="F521" s="6"/>
      <c r="G521" s="6"/>
      <c r="H521" s="6"/>
      <c r="I521" s="6"/>
      <c r="J521" s="6"/>
      <c r="K521" s="6"/>
      <c r="L521" s="6"/>
      <c r="M521" s="6"/>
      <c r="N521" s="6"/>
      <c r="O521" s="16"/>
      <c r="P521" s="6"/>
      <c r="Q521" s="4"/>
      <c r="R521" s="4"/>
      <c r="S521" s="4"/>
      <c r="T521" s="4"/>
      <c r="U521" s="4"/>
      <c r="V521" s="4"/>
      <c r="W521" s="4"/>
      <c r="X521" s="4"/>
      <c r="Y521" s="4"/>
      <c r="Z521" s="4"/>
      <c r="AA521" s="4"/>
    </row>
    <row r="522" spans="1:27" ht="12.75" x14ac:dyDescent="0.2">
      <c r="A522" s="16"/>
      <c r="B522" s="6"/>
      <c r="C522" s="6"/>
      <c r="D522" s="6"/>
      <c r="E522" s="4"/>
      <c r="F522" s="6"/>
      <c r="G522" s="6"/>
      <c r="H522" s="6"/>
      <c r="I522" s="6"/>
      <c r="J522" s="6"/>
      <c r="K522" s="6"/>
      <c r="L522" s="6"/>
      <c r="M522" s="6"/>
      <c r="N522" s="6"/>
      <c r="O522" s="16"/>
      <c r="P522" s="6"/>
      <c r="Q522" s="4"/>
      <c r="R522" s="4"/>
      <c r="S522" s="4"/>
      <c r="T522" s="4"/>
      <c r="U522" s="4"/>
      <c r="V522" s="4"/>
      <c r="W522" s="4"/>
      <c r="X522" s="4"/>
      <c r="Y522" s="4"/>
      <c r="Z522" s="4"/>
      <c r="AA522" s="4"/>
    </row>
    <row r="523" spans="1:27" ht="12.75" x14ac:dyDescent="0.2">
      <c r="A523" s="16"/>
      <c r="B523" s="6"/>
      <c r="C523" s="6"/>
      <c r="D523" s="6"/>
      <c r="E523" s="4"/>
      <c r="F523" s="6"/>
      <c r="G523" s="6"/>
      <c r="H523" s="6"/>
      <c r="I523" s="6"/>
      <c r="J523" s="6"/>
      <c r="K523" s="6"/>
      <c r="L523" s="6"/>
      <c r="M523" s="6"/>
      <c r="N523" s="6"/>
      <c r="O523" s="16"/>
      <c r="P523" s="6"/>
      <c r="Q523" s="4"/>
      <c r="R523" s="4"/>
      <c r="S523" s="4"/>
      <c r="T523" s="4"/>
      <c r="U523" s="4"/>
      <c r="V523" s="4"/>
      <c r="W523" s="4"/>
      <c r="X523" s="4"/>
      <c r="Y523" s="4"/>
      <c r="Z523" s="4"/>
      <c r="AA523" s="4"/>
    </row>
    <row r="524" spans="1:27" ht="12.75" x14ac:dyDescent="0.2">
      <c r="A524" s="16"/>
      <c r="B524" s="6"/>
      <c r="C524" s="6"/>
      <c r="D524" s="6"/>
      <c r="E524" s="4"/>
      <c r="F524" s="6"/>
      <c r="G524" s="6"/>
      <c r="H524" s="6"/>
      <c r="I524" s="6"/>
      <c r="J524" s="6"/>
      <c r="K524" s="6"/>
      <c r="L524" s="6"/>
      <c r="M524" s="6"/>
      <c r="N524" s="6"/>
      <c r="O524" s="16"/>
      <c r="P524" s="6"/>
      <c r="Q524" s="4"/>
      <c r="R524" s="4"/>
      <c r="S524" s="4"/>
      <c r="T524" s="4"/>
      <c r="U524" s="4"/>
      <c r="V524" s="4"/>
      <c r="W524" s="4"/>
      <c r="X524" s="4"/>
      <c r="Y524" s="4"/>
      <c r="Z524" s="4"/>
      <c r="AA524" s="4"/>
    </row>
    <row r="525" spans="1:27" ht="12.75" x14ac:dyDescent="0.2">
      <c r="A525" s="16"/>
      <c r="B525" s="6"/>
      <c r="C525" s="6"/>
      <c r="D525" s="6"/>
      <c r="E525" s="4"/>
      <c r="F525" s="6"/>
      <c r="G525" s="6"/>
      <c r="H525" s="6"/>
      <c r="I525" s="6"/>
      <c r="J525" s="6"/>
      <c r="K525" s="6"/>
      <c r="L525" s="6"/>
      <c r="M525" s="6"/>
      <c r="N525" s="6"/>
      <c r="O525" s="16"/>
      <c r="P525" s="6"/>
      <c r="Q525" s="4"/>
      <c r="R525" s="4"/>
      <c r="S525" s="4"/>
      <c r="T525" s="4"/>
      <c r="U525" s="4"/>
      <c r="V525" s="4"/>
      <c r="W525" s="4"/>
      <c r="X525" s="4"/>
      <c r="Y525" s="4"/>
      <c r="Z525" s="4"/>
      <c r="AA525" s="4"/>
    </row>
    <row r="526" spans="1:27" ht="12.75" x14ac:dyDescent="0.2">
      <c r="A526" s="16"/>
      <c r="B526" s="6"/>
      <c r="C526" s="6"/>
      <c r="D526" s="6"/>
      <c r="E526" s="4"/>
      <c r="F526" s="6"/>
      <c r="G526" s="6"/>
      <c r="H526" s="6"/>
      <c r="I526" s="6"/>
      <c r="J526" s="6"/>
      <c r="K526" s="6"/>
      <c r="L526" s="6"/>
      <c r="M526" s="6"/>
      <c r="N526" s="6"/>
      <c r="O526" s="16"/>
      <c r="P526" s="6"/>
      <c r="Q526" s="4"/>
      <c r="R526" s="4"/>
      <c r="S526" s="4"/>
      <c r="T526" s="4"/>
      <c r="U526" s="4"/>
      <c r="V526" s="4"/>
      <c r="W526" s="4"/>
      <c r="X526" s="4"/>
      <c r="Y526" s="4"/>
      <c r="Z526" s="4"/>
      <c r="AA526" s="4"/>
    </row>
    <row r="527" spans="1:27" ht="12.75" x14ac:dyDescent="0.2">
      <c r="A527" s="16"/>
      <c r="B527" s="6"/>
      <c r="C527" s="6"/>
      <c r="D527" s="6"/>
      <c r="E527" s="4"/>
      <c r="F527" s="6"/>
      <c r="G527" s="6"/>
      <c r="H527" s="6"/>
      <c r="I527" s="6"/>
      <c r="J527" s="6"/>
      <c r="K527" s="6"/>
      <c r="L527" s="6"/>
      <c r="M527" s="6"/>
      <c r="N527" s="6"/>
      <c r="O527" s="16"/>
      <c r="P527" s="6"/>
      <c r="Q527" s="4"/>
      <c r="R527" s="4"/>
      <c r="S527" s="4"/>
      <c r="T527" s="4"/>
      <c r="U527" s="4"/>
      <c r="V527" s="4"/>
      <c r="W527" s="4"/>
      <c r="X527" s="4"/>
      <c r="Y527" s="4"/>
      <c r="Z527" s="4"/>
      <c r="AA527" s="4"/>
    </row>
    <row r="528" spans="1:27" ht="12.75" x14ac:dyDescent="0.2">
      <c r="A528" s="16"/>
      <c r="B528" s="6"/>
      <c r="C528" s="6"/>
      <c r="D528" s="6"/>
      <c r="E528" s="4"/>
      <c r="F528" s="6"/>
      <c r="G528" s="6"/>
      <c r="H528" s="6"/>
      <c r="I528" s="6"/>
      <c r="J528" s="6"/>
      <c r="K528" s="6"/>
      <c r="L528" s="6"/>
      <c r="M528" s="6"/>
      <c r="N528" s="6"/>
      <c r="O528" s="16"/>
      <c r="P528" s="6"/>
      <c r="Q528" s="4"/>
      <c r="R528" s="4"/>
      <c r="S528" s="4"/>
      <c r="T528" s="4"/>
      <c r="U528" s="4"/>
      <c r="V528" s="4"/>
      <c r="W528" s="4"/>
      <c r="X528" s="4"/>
      <c r="Y528" s="4"/>
      <c r="Z528" s="4"/>
      <c r="AA528" s="4"/>
    </row>
    <row r="529" spans="1:27" ht="12.75" x14ac:dyDescent="0.2">
      <c r="A529" s="16"/>
      <c r="B529" s="6"/>
      <c r="C529" s="6"/>
      <c r="D529" s="6"/>
      <c r="E529" s="4"/>
      <c r="F529" s="6"/>
      <c r="G529" s="6"/>
      <c r="H529" s="6"/>
      <c r="I529" s="6"/>
      <c r="J529" s="6"/>
      <c r="K529" s="6"/>
      <c r="L529" s="6"/>
      <c r="M529" s="6"/>
      <c r="N529" s="6"/>
      <c r="O529" s="16"/>
      <c r="P529" s="6"/>
      <c r="Q529" s="4"/>
      <c r="R529" s="4"/>
      <c r="S529" s="4"/>
      <c r="T529" s="4"/>
      <c r="U529" s="4"/>
      <c r="V529" s="4"/>
      <c r="W529" s="4"/>
      <c r="X529" s="4"/>
      <c r="Y529" s="4"/>
      <c r="Z529" s="4"/>
      <c r="AA529" s="4"/>
    </row>
    <row r="530" spans="1:27" ht="12.75" x14ac:dyDescent="0.2">
      <c r="A530" s="16"/>
      <c r="B530" s="6"/>
      <c r="C530" s="6"/>
      <c r="D530" s="6"/>
      <c r="E530" s="4"/>
      <c r="F530" s="6"/>
      <c r="G530" s="6"/>
      <c r="H530" s="6"/>
      <c r="I530" s="6"/>
      <c r="J530" s="6"/>
      <c r="K530" s="6"/>
      <c r="L530" s="6"/>
      <c r="M530" s="6"/>
      <c r="N530" s="6"/>
      <c r="O530" s="16"/>
      <c r="P530" s="6"/>
      <c r="Q530" s="4"/>
      <c r="R530" s="4"/>
      <c r="S530" s="4"/>
      <c r="T530" s="4"/>
      <c r="U530" s="4"/>
      <c r="V530" s="4"/>
      <c r="W530" s="4"/>
      <c r="X530" s="4"/>
      <c r="Y530" s="4"/>
      <c r="Z530" s="4"/>
      <c r="AA530" s="4"/>
    </row>
    <row r="531" spans="1:27" ht="12.75" x14ac:dyDescent="0.2">
      <c r="A531" s="16"/>
      <c r="B531" s="6"/>
      <c r="C531" s="6"/>
      <c r="D531" s="6"/>
      <c r="E531" s="4"/>
      <c r="F531" s="6"/>
      <c r="G531" s="6"/>
      <c r="H531" s="6"/>
      <c r="I531" s="6"/>
      <c r="J531" s="6"/>
      <c r="K531" s="6"/>
      <c r="L531" s="6"/>
      <c r="M531" s="6"/>
      <c r="N531" s="6"/>
      <c r="O531" s="16"/>
      <c r="P531" s="6"/>
      <c r="Q531" s="4"/>
      <c r="R531" s="4"/>
      <c r="S531" s="4"/>
      <c r="T531" s="4"/>
      <c r="U531" s="4"/>
      <c r="V531" s="4"/>
      <c r="W531" s="4"/>
      <c r="X531" s="4"/>
      <c r="Y531" s="4"/>
      <c r="Z531" s="4"/>
      <c r="AA531" s="4"/>
    </row>
    <row r="532" spans="1:27" ht="12.75" x14ac:dyDescent="0.2">
      <c r="A532" s="16"/>
      <c r="B532" s="6"/>
      <c r="C532" s="6"/>
      <c r="D532" s="6"/>
      <c r="E532" s="4"/>
      <c r="F532" s="6"/>
      <c r="G532" s="6"/>
      <c r="H532" s="6"/>
      <c r="I532" s="6"/>
      <c r="J532" s="6"/>
      <c r="K532" s="6"/>
      <c r="L532" s="6"/>
      <c r="M532" s="6"/>
      <c r="N532" s="6"/>
      <c r="O532" s="16"/>
      <c r="P532" s="6"/>
      <c r="Q532" s="4"/>
      <c r="R532" s="4"/>
      <c r="S532" s="4"/>
      <c r="T532" s="4"/>
      <c r="U532" s="4"/>
      <c r="V532" s="4"/>
      <c r="W532" s="4"/>
      <c r="X532" s="4"/>
      <c r="Y532" s="4"/>
      <c r="Z532" s="4"/>
      <c r="AA532" s="4"/>
    </row>
    <row r="533" spans="1:27" ht="12.75" x14ac:dyDescent="0.2">
      <c r="A533" s="16"/>
      <c r="B533" s="6"/>
      <c r="C533" s="6"/>
      <c r="D533" s="6"/>
      <c r="E533" s="4"/>
      <c r="F533" s="6"/>
      <c r="G533" s="6"/>
      <c r="H533" s="6"/>
      <c r="I533" s="6"/>
      <c r="J533" s="6"/>
      <c r="K533" s="6"/>
      <c r="L533" s="6"/>
      <c r="M533" s="6"/>
      <c r="N533" s="6"/>
      <c r="O533" s="16"/>
      <c r="P533" s="6"/>
      <c r="Q533" s="4"/>
      <c r="R533" s="4"/>
      <c r="S533" s="4"/>
      <c r="T533" s="4"/>
      <c r="U533" s="4"/>
      <c r="V533" s="4"/>
      <c r="W533" s="4"/>
      <c r="X533" s="4"/>
      <c r="Y533" s="4"/>
      <c r="Z533" s="4"/>
      <c r="AA533" s="4"/>
    </row>
    <row r="534" spans="1:27" ht="12.75" x14ac:dyDescent="0.2">
      <c r="A534" s="16"/>
      <c r="B534" s="6"/>
      <c r="C534" s="6"/>
      <c r="D534" s="6"/>
      <c r="E534" s="4"/>
      <c r="F534" s="6"/>
      <c r="G534" s="6"/>
      <c r="H534" s="6"/>
      <c r="I534" s="6"/>
      <c r="J534" s="6"/>
      <c r="K534" s="6"/>
      <c r="L534" s="6"/>
      <c r="M534" s="6"/>
      <c r="N534" s="6"/>
      <c r="O534" s="16"/>
      <c r="P534" s="6"/>
      <c r="Q534" s="4"/>
      <c r="R534" s="4"/>
      <c r="S534" s="4"/>
      <c r="T534" s="4"/>
      <c r="U534" s="4"/>
      <c r="V534" s="4"/>
      <c r="W534" s="4"/>
      <c r="X534" s="4"/>
      <c r="Y534" s="4"/>
      <c r="Z534" s="4"/>
      <c r="AA534" s="4"/>
    </row>
    <row r="535" spans="1:27" ht="12.75" x14ac:dyDescent="0.2">
      <c r="A535" s="16"/>
      <c r="B535" s="6"/>
      <c r="C535" s="6"/>
      <c r="D535" s="6"/>
      <c r="E535" s="4"/>
      <c r="F535" s="6"/>
      <c r="G535" s="6"/>
      <c r="H535" s="6"/>
      <c r="I535" s="6"/>
      <c r="J535" s="6"/>
      <c r="K535" s="6"/>
      <c r="L535" s="6"/>
      <c r="M535" s="6"/>
      <c r="N535" s="6"/>
      <c r="O535" s="16"/>
      <c r="P535" s="6"/>
      <c r="Q535" s="4"/>
      <c r="R535" s="4"/>
      <c r="S535" s="4"/>
      <c r="T535" s="4"/>
      <c r="U535" s="4"/>
      <c r="V535" s="4"/>
      <c r="W535" s="4"/>
      <c r="X535" s="4"/>
      <c r="Y535" s="4"/>
      <c r="Z535" s="4"/>
      <c r="AA535" s="4"/>
    </row>
    <row r="536" spans="1:27" ht="12.75" x14ac:dyDescent="0.2">
      <c r="A536" s="16"/>
      <c r="B536" s="6"/>
      <c r="C536" s="6"/>
      <c r="D536" s="6"/>
      <c r="E536" s="4"/>
      <c r="F536" s="6"/>
      <c r="G536" s="6"/>
      <c r="H536" s="6"/>
      <c r="I536" s="6"/>
      <c r="J536" s="6"/>
      <c r="K536" s="6"/>
      <c r="L536" s="6"/>
      <c r="M536" s="6"/>
      <c r="N536" s="6"/>
      <c r="O536" s="16"/>
      <c r="P536" s="6"/>
      <c r="Q536" s="4"/>
      <c r="R536" s="4"/>
      <c r="S536" s="4"/>
      <c r="T536" s="4"/>
      <c r="U536" s="4"/>
      <c r="V536" s="4"/>
      <c r="W536" s="4"/>
      <c r="X536" s="4"/>
      <c r="Y536" s="4"/>
      <c r="Z536" s="4"/>
      <c r="AA536" s="4"/>
    </row>
    <row r="537" spans="1:27" ht="12.75" x14ac:dyDescent="0.2">
      <c r="A537" s="16"/>
      <c r="B537" s="6"/>
      <c r="C537" s="6"/>
      <c r="D537" s="6"/>
      <c r="E537" s="4"/>
      <c r="F537" s="6"/>
      <c r="G537" s="6"/>
      <c r="H537" s="6"/>
      <c r="I537" s="6"/>
      <c r="J537" s="6"/>
      <c r="K537" s="6"/>
      <c r="L537" s="6"/>
      <c r="M537" s="6"/>
      <c r="N537" s="6"/>
      <c r="O537" s="16"/>
      <c r="P537" s="6"/>
      <c r="Q537" s="4"/>
      <c r="R537" s="4"/>
      <c r="S537" s="4"/>
      <c r="T537" s="4"/>
      <c r="U537" s="4"/>
      <c r="V537" s="4"/>
      <c r="W537" s="4"/>
      <c r="X537" s="4"/>
      <c r="Y537" s="4"/>
      <c r="Z537" s="4"/>
      <c r="AA537" s="4"/>
    </row>
    <row r="538" spans="1:27" ht="12.75" x14ac:dyDescent="0.2">
      <c r="A538" s="16"/>
      <c r="B538" s="6"/>
      <c r="C538" s="6"/>
      <c r="D538" s="6"/>
      <c r="E538" s="4"/>
      <c r="F538" s="6"/>
      <c r="G538" s="6"/>
      <c r="H538" s="6"/>
      <c r="I538" s="6"/>
      <c r="J538" s="6"/>
      <c r="K538" s="6"/>
      <c r="L538" s="6"/>
      <c r="M538" s="6"/>
      <c r="N538" s="6"/>
      <c r="O538" s="16"/>
      <c r="P538" s="6"/>
      <c r="Q538" s="4"/>
      <c r="R538" s="4"/>
      <c r="S538" s="4"/>
      <c r="T538" s="4"/>
      <c r="U538" s="4"/>
      <c r="V538" s="4"/>
      <c r="W538" s="4"/>
      <c r="X538" s="4"/>
      <c r="Y538" s="4"/>
      <c r="Z538" s="4"/>
      <c r="AA538" s="4"/>
    </row>
    <row r="539" spans="1:27" ht="12.75" x14ac:dyDescent="0.2">
      <c r="A539" s="16"/>
      <c r="B539" s="6"/>
      <c r="C539" s="6"/>
      <c r="D539" s="6"/>
      <c r="E539" s="4"/>
      <c r="F539" s="6"/>
      <c r="G539" s="6"/>
      <c r="H539" s="6"/>
      <c r="I539" s="6"/>
      <c r="J539" s="6"/>
      <c r="K539" s="6"/>
      <c r="L539" s="6"/>
      <c r="M539" s="6"/>
      <c r="N539" s="6"/>
      <c r="O539" s="16"/>
      <c r="P539" s="6"/>
      <c r="Q539" s="4"/>
      <c r="R539" s="4"/>
      <c r="S539" s="4"/>
      <c r="T539" s="4"/>
      <c r="U539" s="4"/>
      <c r="V539" s="4"/>
      <c r="W539" s="4"/>
      <c r="X539" s="4"/>
      <c r="Y539" s="4"/>
      <c r="Z539" s="4"/>
      <c r="AA539" s="4"/>
    </row>
    <row r="540" spans="1:27" ht="12.75" x14ac:dyDescent="0.2">
      <c r="A540" s="16"/>
      <c r="B540" s="6"/>
      <c r="C540" s="6"/>
      <c r="D540" s="6"/>
      <c r="E540" s="4"/>
      <c r="F540" s="6"/>
      <c r="G540" s="6"/>
      <c r="H540" s="6"/>
      <c r="I540" s="6"/>
      <c r="J540" s="6"/>
      <c r="K540" s="6"/>
      <c r="L540" s="6"/>
      <c r="M540" s="6"/>
      <c r="N540" s="6"/>
      <c r="O540" s="16"/>
      <c r="P540" s="6"/>
      <c r="Q540" s="4"/>
      <c r="R540" s="4"/>
      <c r="S540" s="4"/>
      <c r="T540" s="4"/>
      <c r="U540" s="4"/>
      <c r="V540" s="4"/>
      <c r="W540" s="4"/>
      <c r="X540" s="4"/>
      <c r="Y540" s="4"/>
      <c r="Z540" s="4"/>
      <c r="AA540" s="4"/>
    </row>
    <row r="541" spans="1:27" ht="12.75" x14ac:dyDescent="0.2">
      <c r="A541" s="16"/>
      <c r="B541" s="6"/>
      <c r="C541" s="6"/>
      <c r="D541" s="6"/>
      <c r="E541" s="4"/>
      <c r="F541" s="6"/>
      <c r="G541" s="6"/>
      <c r="H541" s="6"/>
      <c r="I541" s="6"/>
      <c r="J541" s="6"/>
      <c r="K541" s="6"/>
      <c r="L541" s="6"/>
      <c r="M541" s="6"/>
      <c r="N541" s="6"/>
      <c r="O541" s="16"/>
      <c r="P541" s="6"/>
      <c r="Q541" s="4"/>
      <c r="R541" s="4"/>
      <c r="S541" s="4"/>
      <c r="T541" s="4"/>
      <c r="U541" s="4"/>
      <c r="V541" s="4"/>
      <c r="W541" s="4"/>
      <c r="X541" s="4"/>
      <c r="Y541" s="4"/>
      <c r="Z541" s="4"/>
      <c r="AA541" s="4"/>
    </row>
    <row r="542" spans="1:27" ht="12.75" x14ac:dyDescent="0.2">
      <c r="A542" s="16"/>
      <c r="B542" s="6"/>
      <c r="C542" s="6"/>
      <c r="D542" s="6"/>
      <c r="E542" s="4"/>
      <c r="F542" s="6"/>
      <c r="G542" s="6"/>
      <c r="H542" s="6"/>
      <c r="I542" s="6"/>
      <c r="J542" s="6"/>
      <c r="K542" s="6"/>
      <c r="L542" s="6"/>
      <c r="M542" s="6"/>
      <c r="N542" s="6"/>
      <c r="O542" s="16"/>
      <c r="P542" s="6"/>
      <c r="Q542" s="4"/>
      <c r="R542" s="4"/>
      <c r="S542" s="4"/>
      <c r="T542" s="4"/>
      <c r="U542" s="4"/>
      <c r="V542" s="4"/>
      <c r="W542" s="4"/>
      <c r="X542" s="4"/>
      <c r="Y542" s="4"/>
      <c r="Z542" s="4"/>
      <c r="AA542" s="4"/>
    </row>
    <row r="543" spans="1:27" ht="12.75" x14ac:dyDescent="0.2">
      <c r="A543" s="16"/>
      <c r="B543" s="6"/>
      <c r="C543" s="6"/>
      <c r="D543" s="6"/>
      <c r="E543" s="4"/>
      <c r="F543" s="6"/>
      <c r="G543" s="6"/>
      <c r="H543" s="6"/>
      <c r="I543" s="6"/>
      <c r="J543" s="6"/>
      <c r="K543" s="6"/>
      <c r="L543" s="6"/>
      <c r="M543" s="6"/>
      <c r="N543" s="6"/>
      <c r="O543" s="16"/>
      <c r="P543" s="6"/>
      <c r="Q543" s="4"/>
      <c r="R543" s="4"/>
      <c r="S543" s="4"/>
      <c r="T543" s="4"/>
      <c r="U543" s="4"/>
      <c r="V543" s="4"/>
      <c r="W543" s="4"/>
      <c r="X543" s="4"/>
      <c r="Y543" s="4"/>
      <c r="Z543" s="4"/>
      <c r="AA543" s="4"/>
    </row>
    <row r="544" spans="1:27" ht="12.75" x14ac:dyDescent="0.2">
      <c r="A544" s="16"/>
      <c r="B544" s="6"/>
      <c r="C544" s="6"/>
      <c r="D544" s="6"/>
      <c r="E544" s="4"/>
      <c r="F544" s="6"/>
      <c r="G544" s="6"/>
      <c r="H544" s="6"/>
      <c r="I544" s="6"/>
      <c r="J544" s="6"/>
      <c r="K544" s="6"/>
      <c r="L544" s="6"/>
      <c r="M544" s="6"/>
      <c r="N544" s="6"/>
      <c r="O544" s="16"/>
      <c r="P544" s="6"/>
      <c r="Q544" s="4"/>
      <c r="R544" s="4"/>
      <c r="S544" s="4"/>
      <c r="T544" s="4"/>
      <c r="U544" s="4"/>
      <c r="V544" s="4"/>
      <c r="W544" s="4"/>
      <c r="X544" s="4"/>
      <c r="Y544" s="4"/>
      <c r="Z544" s="4"/>
      <c r="AA544" s="4"/>
    </row>
    <row r="545" spans="1:27" ht="12.75" x14ac:dyDescent="0.2">
      <c r="A545" s="16"/>
      <c r="B545" s="6"/>
      <c r="C545" s="6"/>
      <c r="D545" s="6"/>
      <c r="E545" s="4"/>
      <c r="F545" s="6"/>
      <c r="G545" s="6"/>
      <c r="H545" s="6"/>
      <c r="I545" s="6"/>
      <c r="J545" s="6"/>
      <c r="K545" s="6"/>
      <c r="L545" s="6"/>
      <c r="M545" s="6"/>
      <c r="N545" s="6"/>
      <c r="O545" s="16"/>
      <c r="P545" s="6"/>
      <c r="Q545" s="4"/>
      <c r="R545" s="4"/>
      <c r="S545" s="4"/>
      <c r="T545" s="4"/>
      <c r="U545" s="4"/>
      <c r="V545" s="4"/>
      <c r="W545" s="4"/>
      <c r="X545" s="4"/>
      <c r="Y545" s="4"/>
      <c r="Z545" s="4"/>
      <c r="AA545" s="4"/>
    </row>
    <row r="546" spans="1:27" ht="12.75" x14ac:dyDescent="0.2">
      <c r="A546" s="16"/>
      <c r="B546" s="6"/>
      <c r="C546" s="6"/>
      <c r="D546" s="6"/>
      <c r="E546" s="4"/>
      <c r="F546" s="6"/>
      <c r="G546" s="6"/>
      <c r="H546" s="6"/>
      <c r="I546" s="6"/>
      <c r="J546" s="6"/>
      <c r="K546" s="6"/>
      <c r="L546" s="6"/>
      <c r="M546" s="6"/>
      <c r="N546" s="6"/>
      <c r="O546" s="16"/>
      <c r="P546" s="6"/>
      <c r="Q546" s="4"/>
      <c r="R546" s="4"/>
      <c r="S546" s="4"/>
      <c r="T546" s="4"/>
      <c r="U546" s="4"/>
      <c r="V546" s="4"/>
      <c r="W546" s="4"/>
      <c r="X546" s="4"/>
      <c r="Y546" s="4"/>
      <c r="Z546" s="4"/>
      <c r="AA546" s="4"/>
    </row>
    <row r="547" spans="1:27" ht="12.75" x14ac:dyDescent="0.2">
      <c r="A547" s="16"/>
      <c r="B547" s="6"/>
      <c r="C547" s="6"/>
      <c r="D547" s="6"/>
      <c r="E547" s="4"/>
      <c r="F547" s="6"/>
      <c r="G547" s="6"/>
      <c r="H547" s="6"/>
      <c r="I547" s="6"/>
      <c r="J547" s="6"/>
      <c r="K547" s="6"/>
      <c r="L547" s="6"/>
      <c r="M547" s="6"/>
      <c r="N547" s="6"/>
      <c r="O547" s="16"/>
      <c r="P547" s="6"/>
      <c r="Q547" s="4"/>
      <c r="R547" s="4"/>
      <c r="S547" s="4"/>
      <c r="T547" s="4"/>
      <c r="U547" s="4"/>
      <c r="V547" s="4"/>
      <c r="W547" s="4"/>
      <c r="X547" s="4"/>
      <c r="Y547" s="4"/>
      <c r="Z547" s="4"/>
      <c r="AA547" s="4"/>
    </row>
    <row r="548" spans="1:27" ht="12.75" x14ac:dyDescent="0.2">
      <c r="A548" s="16"/>
      <c r="B548" s="6"/>
      <c r="C548" s="6"/>
      <c r="D548" s="6"/>
      <c r="E548" s="4"/>
      <c r="F548" s="6"/>
      <c r="G548" s="6"/>
      <c r="H548" s="6"/>
      <c r="I548" s="6"/>
      <c r="J548" s="6"/>
      <c r="K548" s="6"/>
      <c r="L548" s="6"/>
      <c r="M548" s="6"/>
      <c r="N548" s="6"/>
      <c r="O548" s="16"/>
      <c r="P548" s="6"/>
      <c r="Q548" s="4"/>
      <c r="R548" s="4"/>
      <c r="S548" s="4"/>
      <c r="T548" s="4"/>
      <c r="U548" s="4"/>
      <c r="V548" s="4"/>
      <c r="W548" s="4"/>
      <c r="X548" s="4"/>
      <c r="Y548" s="4"/>
      <c r="Z548" s="4"/>
      <c r="AA548" s="4"/>
    </row>
    <row r="549" spans="1:27" ht="12.75" x14ac:dyDescent="0.2">
      <c r="A549" s="16"/>
      <c r="B549" s="6"/>
      <c r="C549" s="6"/>
      <c r="D549" s="6"/>
      <c r="E549" s="4"/>
      <c r="F549" s="6"/>
      <c r="G549" s="6"/>
      <c r="H549" s="6"/>
      <c r="I549" s="6"/>
      <c r="J549" s="6"/>
      <c r="K549" s="6"/>
      <c r="L549" s="6"/>
      <c r="M549" s="6"/>
      <c r="N549" s="6"/>
      <c r="O549" s="16"/>
      <c r="P549" s="6"/>
      <c r="Q549" s="4"/>
      <c r="R549" s="4"/>
      <c r="S549" s="4"/>
      <c r="T549" s="4"/>
      <c r="U549" s="4"/>
      <c r="V549" s="4"/>
      <c r="W549" s="4"/>
      <c r="X549" s="4"/>
      <c r="Y549" s="4"/>
      <c r="Z549" s="4"/>
      <c r="AA549" s="4"/>
    </row>
    <row r="550" spans="1:27" ht="12.75" x14ac:dyDescent="0.2">
      <c r="A550" s="16"/>
      <c r="B550" s="6"/>
      <c r="C550" s="6"/>
      <c r="D550" s="6"/>
      <c r="E550" s="4"/>
      <c r="F550" s="6"/>
      <c r="G550" s="6"/>
      <c r="H550" s="6"/>
      <c r="I550" s="6"/>
      <c r="J550" s="6"/>
      <c r="K550" s="6"/>
      <c r="L550" s="6"/>
      <c r="M550" s="6"/>
      <c r="N550" s="6"/>
      <c r="O550" s="16"/>
      <c r="P550" s="6"/>
      <c r="Q550" s="4"/>
      <c r="R550" s="4"/>
      <c r="S550" s="4"/>
      <c r="T550" s="4"/>
      <c r="U550" s="4"/>
      <c r="V550" s="4"/>
      <c r="W550" s="4"/>
      <c r="X550" s="4"/>
      <c r="Y550" s="4"/>
      <c r="Z550" s="4"/>
      <c r="AA550" s="4"/>
    </row>
    <row r="551" spans="1:27" ht="12.75" x14ac:dyDescent="0.2">
      <c r="A551" s="16"/>
      <c r="B551" s="6"/>
      <c r="C551" s="6"/>
      <c r="D551" s="6"/>
      <c r="E551" s="4"/>
      <c r="F551" s="6"/>
      <c r="G551" s="6"/>
      <c r="H551" s="6"/>
      <c r="I551" s="6"/>
      <c r="J551" s="6"/>
      <c r="K551" s="6"/>
      <c r="L551" s="6"/>
      <c r="M551" s="6"/>
      <c r="N551" s="6"/>
      <c r="O551" s="16"/>
      <c r="P551" s="6"/>
      <c r="Q551" s="4"/>
      <c r="R551" s="4"/>
      <c r="S551" s="4"/>
      <c r="T551" s="4"/>
      <c r="U551" s="4"/>
      <c r="V551" s="4"/>
      <c r="W551" s="4"/>
      <c r="X551" s="4"/>
      <c r="Y551" s="4"/>
      <c r="Z551" s="4"/>
      <c r="AA551" s="4"/>
    </row>
    <row r="552" spans="1:27" ht="12.75" x14ac:dyDescent="0.2">
      <c r="A552" s="16"/>
      <c r="B552" s="6"/>
      <c r="C552" s="6"/>
      <c r="D552" s="6"/>
      <c r="E552" s="4"/>
      <c r="F552" s="6"/>
      <c r="G552" s="6"/>
      <c r="H552" s="6"/>
      <c r="I552" s="6"/>
      <c r="J552" s="6"/>
      <c r="K552" s="6"/>
      <c r="L552" s="6"/>
      <c r="M552" s="6"/>
      <c r="N552" s="6"/>
      <c r="O552" s="16"/>
      <c r="P552" s="6"/>
      <c r="Q552" s="4"/>
      <c r="R552" s="4"/>
      <c r="S552" s="4"/>
      <c r="T552" s="4"/>
      <c r="U552" s="4"/>
      <c r="V552" s="4"/>
      <c r="W552" s="4"/>
      <c r="X552" s="4"/>
      <c r="Y552" s="4"/>
      <c r="Z552" s="4"/>
      <c r="AA552" s="4"/>
    </row>
    <row r="553" spans="1:27" ht="12.75" x14ac:dyDescent="0.2">
      <c r="A553" s="16"/>
      <c r="B553" s="6"/>
      <c r="C553" s="6"/>
      <c r="D553" s="6"/>
      <c r="E553" s="4"/>
      <c r="F553" s="6"/>
      <c r="G553" s="6"/>
      <c r="H553" s="6"/>
      <c r="I553" s="6"/>
      <c r="J553" s="6"/>
      <c r="K553" s="6"/>
      <c r="L553" s="6"/>
      <c r="M553" s="6"/>
      <c r="N553" s="6"/>
      <c r="O553" s="16"/>
      <c r="P553" s="6"/>
      <c r="Q553" s="4"/>
      <c r="R553" s="4"/>
      <c r="S553" s="4"/>
      <c r="T553" s="4"/>
      <c r="U553" s="4"/>
      <c r="V553" s="4"/>
      <c r="W553" s="4"/>
      <c r="X553" s="4"/>
      <c r="Y553" s="4"/>
      <c r="Z553" s="4"/>
      <c r="AA553" s="4"/>
    </row>
    <row r="554" spans="1:27" ht="12.75" x14ac:dyDescent="0.2">
      <c r="A554" s="16"/>
      <c r="B554" s="6"/>
      <c r="C554" s="6"/>
      <c r="D554" s="6"/>
      <c r="E554" s="4"/>
      <c r="F554" s="6"/>
      <c r="G554" s="6"/>
      <c r="H554" s="6"/>
      <c r="I554" s="6"/>
      <c r="J554" s="6"/>
      <c r="K554" s="6"/>
      <c r="L554" s="6"/>
      <c r="M554" s="6"/>
      <c r="N554" s="6"/>
      <c r="O554" s="16"/>
      <c r="P554" s="6"/>
      <c r="Q554" s="4"/>
      <c r="R554" s="4"/>
      <c r="S554" s="4"/>
      <c r="T554" s="4"/>
      <c r="U554" s="4"/>
      <c r="V554" s="4"/>
      <c r="W554" s="4"/>
      <c r="X554" s="4"/>
      <c r="Y554" s="4"/>
      <c r="Z554" s="4"/>
      <c r="AA554" s="4"/>
    </row>
    <row r="555" spans="1:27" ht="12.75" x14ac:dyDescent="0.2">
      <c r="A555" s="16"/>
      <c r="B555" s="6"/>
      <c r="C555" s="6"/>
      <c r="D555" s="6"/>
      <c r="E555" s="4"/>
      <c r="F555" s="6"/>
      <c r="G555" s="6"/>
      <c r="H555" s="6"/>
      <c r="I555" s="6"/>
      <c r="J555" s="6"/>
      <c r="K555" s="6"/>
      <c r="L555" s="6"/>
      <c r="M555" s="6"/>
      <c r="N555" s="6"/>
      <c r="O555" s="16"/>
      <c r="P555" s="6"/>
      <c r="Q555" s="4"/>
      <c r="R555" s="4"/>
      <c r="S555" s="4"/>
      <c r="T555" s="4"/>
      <c r="U555" s="4"/>
      <c r="V555" s="4"/>
      <c r="W555" s="4"/>
      <c r="X555" s="4"/>
      <c r="Y555" s="4"/>
      <c r="Z555" s="4"/>
      <c r="AA555" s="4"/>
    </row>
    <row r="556" spans="1:27" ht="12.75" x14ac:dyDescent="0.2">
      <c r="A556" s="16"/>
      <c r="B556" s="6"/>
      <c r="C556" s="6"/>
      <c r="D556" s="6"/>
      <c r="E556" s="4"/>
      <c r="F556" s="6"/>
      <c r="G556" s="6"/>
      <c r="H556" s="6"/>
      <c r="I556" s="6"/>
      <c r="J556" s="6"/>
      <c r="K556" s="6"/>
      <c r="L556" s="6"/>
      <c r="M556" s="6"/>
      <c r="N556" s="6"/>
      <c r="O556" s="16"/>
      <c r="P556" s="6"/>
      <c r="Q556" s="4"/>
      <c r="R556" s="4"/>
      <c r="S556" s="4"/>
      <c r="T556" s="4"/>
      <c r="U556" s="4"/>
      <c r="V556" s="4"/>
      <c r="W556" s="4"/>
      <c r="X556" s="4"/>
      <c r="Y556" s="4"/>
      <c r="Z556" s="4"/>
      <c r="AA556" s="4"/>
    </row>
    <row r="557" spans="1:27" ht="12.75" x14ac:dyDescent="0.2">
      <c r="A557" s="16"/>
      <c r="B557" s="6"/>
      <c r="C557" s="6"/>
      <c r="D557" s="6"/>
      <c r="E557" s="4"/>
      <c r="F557" s="6"/>
      <c r="G557" s="6"/>
      <c r="H557" s="6"/>
      <c r="I557" s="6"/>
      <c r="J557" s="6"/>
      <c r="K557" s="6"/>
      <c r="L557" s="6"/>
      <c r="M557" s="6"/>
      <c r="N557" s="6"/>
      <c r="O557" s="16"/>
      <c r="P557" s="6"/>
      <c r="Q557" s="4"/>
      <c r="R557" s="4"/>
      <c r="S557" s="4"/>
      <c r="T557" s="4"/>
      <c r="U557" s="4"/>
      <c r="V557" s="4"/>
      <c r="W557" s="4"/>
      <c r="X557" s="4"/>
      <c r="Y557" s="4"/>
      <c r="Z557" s="4"/>
      <c r="AA557" s="4"/>
    </row>
    <row r="558" spans="1:27" ht="12.75" x14ac:dyDescent="0.2">
      <c r="A558" s="16"/>
      <c r="B558" s="6"/>
      <c r="C558" s="6"/>
      <c r="D558" s="6"/>
      <c r="E558" s="4"/>
      <c r="F558" s="6"/>
      <c r="G558" s="6"/>
      <c r="H558" s="6"/>
      <c r="I558" s="6"/>
      <c r="J558" s="6"/>
      <c r="K558" s="6"/>
      <c r="L558" s="6"/>
      <c r="M558" s="6"/>
      <c r="N558" s="6"/>
      <c r="O558" s="16"/>
      <c r="P558" s="6"/>
      <c r="Q558" s="4"/>
      <c r="R558" s="4"/>
      <c r="S558" s="4"/>
      <c r="T558" s="4"/>
      <c r="U558" s="4"/>
      <c r="V558" s="4"/>
      <c r="W558" s="4"/>
      <c r="X558" s="4"/>
      <c r="Y558" s="4"/>
      <c r="Z558" s="4"/>
      <c r="AA558" s="4"/>
    </row>
    <row r="559" spans="1:27" ht="12.75" x14ac:dyDescent="0.2">
      <c r="A559" s="16"/>
      <c r="B559" s="6"/>
      <c r="C559" s="6"/>
      <c r="D559" s="6"/>
      <c r="E559" s="4"/>
      <c r="F559" s="6"/>
      <c r="G559" s="6"/>
      <c r="H559" s="6"/>
      <c r="I559" s="6"/>
      <c r="J559" s="6"/>
      <c r="K559" s="6"/>
      <c r="L559" s="6"/>
      <c r="M559" s="6"/>
      <c r="N559" s="6"/>
      <c r="O559" s="16"/>
      <c r="P559" s="6"/>
      <c r="Q559" s="4"/>
      <c r="R559" s="4"/>
      <c r="S559" s="4"/>
      <c r="T559" s="4"/>
      <c r="U559" s="4"/>
      <c r="V559" s="4"/>
      <c r="W559" s="4"/>
      <c r="X559" s="4"/>
      <c r="Y559" s="4"/>
      <c r="Z559" s="4"/>
      <c r="AA559" s="4"/>
    </row>
    <row r="560" spans="1:27" ht="12.75" x14ac:dyDescent="0.2">
      <c r="A560" s="16"/>
      <c r="B560" s="6"/>
      <c r="C560" s="6"/>
      <c r="D560" s="6"/>
      <c r="E560" s="4"/>
      <c r="F560" s="6"/>
      <c r="G560" s="6"/>
      <c r="H560" s="6"/>
      <c r="I560" s="6"/>
      <c r="J560" s="6"/>
      <c r="K560" s="6"/>
      <c r="L560" s="6"/>
      <c r="M560" s="6"/>
      <c r="N560" s="6"/>
      <c r="O560" s="16"/>
      <c r="P560" s="6"/>
      <c r="Q560" s="4"/>
      <c r="R560" s="4"/>
      <c r="S560" s="4"/>
      <c r="T560" s="4"/>
      <c r="U560" s="4"/>
      <c r="V560" s="4"/>
      <c r="W560" s="4"/>
      <c r="X560" s="4"/>
      <c r="Y560" s="4"/>
      <c r="Z560" s="4"/>
      <c r="AA560" s="4"/>
    </row>
    <row r="561" spans="1:27" ht="12.75" x14ac:dyDescent="0.2">
      <c r="A561" s="16"/>
      <c r="B561" s="6"/>
      <c r="C561" s="6"/>
      <c r="D561" s="6"/>
      <c r="E561" s="4"/>
      <c r="F561" s="6"/>
      <c r="G561" s="6"/>
      <c r="H561" s="6"/>
      <c r="I561" s="6"/>
      <c r="J561" s="6"/>
      <c r="K561" s="6"/>
      <c r="L561" s="6"/>
      <c r="M561" s="6"/>
      <c r="N561" s="6"/>
      <c r="O561" s="16"/>
      <c r="P561" s="6"/>
      <c r="Q561" s="4"/>
      <c r="R561" s="4"/>
      <c r="S561" s="4"/>
      <c r="T561" s="4"/>
      <c r="U561" s="4"/>
      <c r="V561" s="4"/>
      <c r="W561" s="4"/>
      <c r="X561" s="4"/>
      <c r="Y561" s="4"/>
      <c r="Z561" s="4"/>
      <c r="AA561" s="4"/>
    </row>
    <row r="562" spans="1:27" ht="12.75" x14ac:dyDescent="0.2">
      <c r="A562" s="16"/>
      <c r="B562" s="6"/>
      <c r="C562" s="6"/>
      <c r="D562" s="6"/>
      <c r="E562" s="4"/>
      <c r="F562" s="6"/>
      <c r="G562" s="6"/>
      <c r="H562" s="6"/>
      <c r="I562" s="6"/>
      <c r="J562" s="6"/>
      <c r="K562" s="6"/>
      <c r="L562" s="6"/>
      <c r="M562" s="6"/>
      <c r="N562" s="6"/>
      <c r="O562" s="16"/>
      <c r="P562" s="6"/>
      <c r="Q562" s="4"/>
      <c r="R562" s="4"/>
      <c r="S562" s="4"/>
      <c r="T562" s="4"/>
      <c r="U562" s="4"/>
      <c r="V562" s="4"/>
      <c r="W562" s="4"/>
      <c r="X562" s="4"/>
      <c r="Y562" s="4"/>
      <c r="Z562" s="4"/>
      <c r="AA562" s="4"/>
    </row>
    <row r="563" spans="1:27" ht="12.75" x14ac:dyDescent="0.2">
      <c r="A563" s="16"/>
      <c r="B563" s="6"/>
      <c r="C563" s="6"/>
      <c r="D563" s="6"/>
      <c r="E563" s="4"/>
      <c r="F563" s="6"/>
      <c r="G563" s="6"/>
      <c r="H563" s="6"/>
      <c r="I563" s="6"/>
      <c r="J563" s="6"/>
      <c r="K563" s="6"/>
      <c r="L563" s="6"/>
      <c r="M563" s="6"/>
      <c r="N563" s="6"/>
      <c r="O563" s="16"/>
      <c r="P563" s="6"/>
      <c r="Q563" s="4"/>
      <c r="R563" s="4"/>
      <c r="S563" s="4"/>
      <c r="T563" s="4"/>
      <c r="U563" s="4"/>
      <c r="V563" s="4"/>
      <c r="W563" s="4"/>
      <c r="X563" s="4"/>
      <c r="Y563" s="4"/>
      <c r="Z563" s="4"/>
      <c r="AA563" s="4"/>
    </row>
    <row r="564" spans="1:27" ht="12.75" x14ac:dyDescent="0.2">
      <c r="A564" s="16"/>
      <c r="B564" s="6"/>
      <c r="C564" s="6"/>
      <c r="D564" s="6"/>
      <c r="E564" s="4"/>
      <c r="F564" s="6"/>
      <c r="G564" s="6"/>
      <c r="H564" s="6"/>
      <c r="I564" s="6"/>
      <c r="J564" s="6"/>
      <c r="K564" s="6"/>
      <c r="L564" s="6"/>
      <c r="M564" s="6"/>
      <c r="N564" s="6"/>
      <c r="O564" s="16"/>
      <c r="P564" s="6"/>
      <c r="Q564" s="4"/>
      <c r="R564" s="4"/>
      <c r="S564" s="4"/>
      <c r="T564" s="4"/>
      <c r="U564" s="4"/>
      <c r="V564" s="4"/>
      <c r="W564" s="4"/>
      <c r="X564" s="4"/>
      <c r="Y564" s="4"/>
      <c r="Z564" s="4"/>
      <c r="AA564" s="4"/>
    </row>
    <row r="565" spans="1:27" ht="12.75" x14ac:dyDescent="0.2">
      <c r="A565" s="16"/>
      <c r="B565" s="6"/>
      <c r="C565" s="6"/>
      <c r="D565" s="6"/>
      <c r="E565" s="4"/>
      <c r="F565" s="6"/>
      <c r="G565" s="6"/>
      <c r="H565" s="6"/>
      <c r="I565" s="6"/>
      <c r="J565" s="6"/>
      <c r="K565" s="6"/>
      <c r="L565" s="6"/>
      <c r="M565" s="6"/>
      <c r="N565" s="6"/>
      <c r="O565" s="16"/>
      <c r="P565" s="6"/>
      <c r="Q565" s="4"/>
      <c r="R565" s="4"/>
      <c r="S565" s="4"/>
      <c r="T565" s="4"/>
      <c r="U565" s="4"/>
      <c r="V565" s="4"/>
      <c r="W565" s="4"/>
      <c r="X565" s="4"/>
      <c r="Y565" s="4"/>
      <c r="Z565" s="4"/>
      <c r="AA565" s="4"/>
    </row>
    <row r="566" spans="1:27" ht="12.75" x14ac:dyDescent="0.2">
      <c r="A566" s="16"/>
      <c r="B566" s="6"/>
      <c r="C566" s="6"/>
      <c r="D566" s="6"/>
      <c r="E566" s="4"/>
      <c r="F566" s="6"/>
      <c r="G566" s="6"/>
      <c r="H566" s="6"/>
      <c r="I566" s="6"/>
      <c r="J566" s="6"/>
      <c r="K566" s="6"/>
      <c r="L566" s="6"/>
      <c r="M566" s="6"/>
      <c r="N566" s="6"/>
      <c r="O566" s="16"/>
      <c r="P566" s="6"/>
      <c r="Q566" s="4"/>
      <c r="R566" s="4"/>
      <c r="S566" s="4"/>
      <c r="T566" s="4"/>
      <c r="U566" s="4"/>
      <c r="V566" s="4"/>
      <c r="W566" s="4"/>
      <c r="X566" s="4"/>
      <c r="Y566" s="4"/>
      <c r="Z566" s="4"/>
      <c r="AA566" s="4"/>
    </row>
    <row r="567" spans="1:27" ht="12.75" x14ac:dyDescent="0.2">
      <c r="A567" s="16"/>
      <c r="B567" s="6"/>
      <c r="C567" s="6"/>
      <c r="D567" s="6"/>
      <c r="E567" s="4"/>
      <c r="F567" s="6"/>
      <c r="G567" s="6"/>
      <c r="H567" s="6"/>
      <c r="I567" s="6"/>
      <c r="J567" s="6"/>
      <c r="K567" s="6"/>
      <c r="L567" s="6"/>
      <c r="M567" s="6"/>
      <c r="N567" s="6"/>
      <c r="O567" s="16"/>
      <c r="P567" s="6"/>
      <c r="Q567" s="4"/>
      <c r="R567" s="4"/>
      <c r="S567" s="4"/>
      <c r="T567" s="4"/>
      <c r="U567" s="4"/>
      <c r="V567" s="4"/>
      <c r="W567" s="4"/>
      <c r="X567" s="4"/>
      <c r="Y567" s="4"/>
      <c r="Z567" s="4"/>
      <c r="AA567" s="4"/>
    </row>
    <row r="568" spans="1:27" ht="12.75" x14ac:dyDescent="0.2">
      <c r="A568" s="16"/>
      <c r="B568" s="6"/>
      <c r="C568" s="6"/>
      <c r="D568" s="6"/>
      <c r="E568" s="4"/>
      <c r="F568" s="6"/>
      <c r="G568" s="6"/>
      <c r="H568" s="6"/>
      <c r="I568" s="6"/>
      <c r="J568" s="6"/>
      <c r="K568" s="6"/>
      <c r="L568" s="6"/>
      <c r="M568" s="6"/>
      <c r="N568" s="6"/>
      <c r="O568" s="16"/>
      <c r="P568" s="6"/>
      <c r="Q568" s="4"/>
      <c r="R568" s="4"/>
      <c r="S568" s="4"/>
      <c r="T568" s="4"/>
      <c r="U568" s="4"/>
      <c r="V568" s="4"/>
      <c r="W568" s="4"/>
      <c r="X568" s="4"/>
      <c r="Y568" s="4"/>
      <c r="Z568" s="4"/>
      <c r="AA568" s="4"/>
    </row>
    <row r="569" spans="1:27" ht="12.75" x14ac:dyDescent="0.2">
      <c r="A569" s="16"/>
      <c r="B569" s="6"/>
      <c r="C569" s="6"/>
      <c r="D569" s="6"/>
      <c r="E569" s="4"/>
      <c r="F569" s="6"/>
      <c r="G569" s="6"/>
      <c r="H569" s="6"/>
      <c r="I569" s="6"/>
      <c r="J569" s="6"/>
      <c r="K569" s="6"/>
      <c r="L569" s="6"/>
      <c r="M569" s="6"/>
      <c r="N569" s="6"/>
      <c r="O569" s="16"/>
      <c r="P569" s="6"/>
      <c r="Q569" s="4"/>
      <c r="R569" s="4"/>
      <c r="S569" s="4"/>
      <c r="T569" s="4"/>
      <c r="U569" s="4"/>
      <c r="V569" s="4"/>
      <c r="W569" s="4"/>
      <c r="X569" s="4"/>
      <c r="Y569" s="4"/>
      <c r="Z569" s="4"/>
      <c r="AA569" s="4"/>
    </row>
    <row r="570" spans="1:27" ht="12.75" x14ac:dyDescent="0.2">
      <c r="A570" s="16"/>
      <c r="B570" s="6"/>
      <c r="C570" s="6"/>
      <c r="D570" s="6"/>
      <c r="E570" s="4"/>
      <c r="F570" s="6"/>
      <c r="G570" s="6"/>
      <c r="H570" s="6"/>
      <c r="I570" s="6"/>
      <c r="J570" s="6"/>
      <c r="K570" s="6"/>
      <c r="L570" s="6"/>
      <c r="M570" s="6"/>
      <c r="N570" s="6"/>
      <c r="O570" s="16"/>
      <c r="P570" s="6"/>
      <c r="Q570" s="4"/>
      <c r="R570" s="4"/>
      <c r="S570" s="4"/>
      <c r="T570" s="4"/>
      <c r="U570" s="4"/>
      <c r="V570" s="4"/>
      <c r="W570" s="4"/>
      <c r="X570" s="4"/>
      <c r="Y570" s="4"/>
      <c r="Z570" s="4"/>
      <c r="AA570" s="4"/>
    </row>
    <row r="571" spans="1:27" ht="12.75" x14ac:dyDescent="0.2">
      <c r="A571" s="16"/>
      <c r="B571" s="6"/>
      <c r="C571" s="6"/>
      <c r="D571" s="6"/>
      <c r="E571" s="4"/>
      <c r="F571" s="6"/>
      <c r="G571" s="6"/>
      <c r="H571" s="6"/>
      <c r="I571" s="6"/>
      <c r="J571" s="6"/>
      <c r="K571" s="6"/>
      <c r="L571" s="6"/>
      <c r="M571" s="6"/>
      <c r="N571" s="6"/>
      <c r="O571" s="16"/>
      <c r="P571" s="6"/>
      <c r="Q571" s="4"/>
      <c r="R571" s="4"/>
      <c r="S571" s="4"/>
      <c r="T571" s="4"/>
      <c r="U571" s="4"/>
      <c r="V571" s="4"/>
      <c r="W571" s="4"/>
      <c r="X571" s="4"/>
      <c r="Y571" s="4"/>
      <c r="Z571" s="4"/>
      <c r="AA571" s="4"/>
    </row>
    <row r="572" spans="1:27" ht="12.75" x14ac:dyDescent="0.2">
      <c r="A572" s="16"/>
      <c r="B572" s="6"/>
      <c r="C572" s="6"/>
      <c r="D572" s="6"/>
      <c r="E572" s="4"/>
      <c r="F572" s="6"/>
      <c r="G572" s="6"/>
      <c r="H572" s="6"/>
      <c r="I572" s="6"/>
      <c r="J572" s="6"/>
      <c r="K572" s="6"/>
      <c r="L572" s="6"/>
      <c r="M572" s="6"/>
      <c r="N572" s="6"/>
      <c r="O572" s="16"/>
      <c r="P572" s="6"/>
      <c r="Q572" s="4"/>
      <c r="R572" s="4"/>
      <c r="S572" s="4"/>
      <c r="T572" s="4"/>
      <c r="U572" s="4"/>
      <c r="V572" s="4"/>
      <c r="W572" s="4"/>
      <c r="X572" s="4"/>
      <c r="Y572" s="4"/>
      <c r="Z572" s="4"/>
      <c r="AA572" s="4"/>
    </row>
    <row r="573" spans="1:27" ht="12.75" x14ac:dyDescent="0.2">
      <c r="A573" s="16"/>
      <c r="B573" s="6"/>
      <c r="C573" s="6"/>
      <c r="D573" s="6"/>
      <c r="E573" s="4"/>
      <c r="F573" s="6"/>
      <c r="G573" s="6"/>
      <c r="H573" s="6"/>
      <c r="I573" s="6"/>
      <c r="J573" s="6"/>
      <c r="K573" s="6"/>
      <c r="L573" s="6"/>
      <c r="M573" s="6"/>
      <c r="N573" s="6"/>
      <c r="O573" s="16"/>
      <c r="P573" s="6"/>
      <c r="Q573" s="4"/>
      <c r="R573" s="4"/>
      <c r="S573" s="4"/>
      <c r="T573" s="4"/>
      <c r="U573" s="4"/>
      <c r="V573" s="4"/>
      <c r="W573" s="4"/>
      <c r="X573" s="4"/>
      <c r="Y573" s="4"/>
      <c r="Z573" s="4"/>
      <c r="AA573" s="4"/>
    </row>
    <row r="574" spans="1:27" ht="12.75" x14ac:dyDescent="0.2">
      <c r="A574" s="16"/>
      <c r="B574" s="6"/>
      <c r="C574" s="6"/>
      <c r="D574" s="6"/>
      <c r="E574" s="4"/>
      <c r="F574" s="6"/>
      <c r="G574" s="6"/>
      <c r="H574" s="6"/>
      <c r="I574" s="6"/>
      <c r="J574" s="6"/>
      <c r="K574" s="6"/>
      <c r="L574" s="6"/>
      <c r="M574" s="6"/>
      <c r="N574" s="6"/>
      <c r="O574" s="16"/>
      <c r="P574" s="6"/>
      <c r="Q574" s="4"/>
      <c r="R574" s="4"/>
      <c r="S574" s="4"/>
      <c r="T574" s="4"/>
      <c r="U574" s="4"/>
      <c r="V574" s="4"/>
      <c r="W574" s="4"/>
      <c r="X574" s="4"/>
      <c r="Y574" s="4"/>
      <c r="Z574" s="4"/>
      <c r="AA574" s="4"/>
    </row>
    <row r="575" spans="1:27" ht="12.75" x14ac:dyDescent="0.2">
      <c r="A575" s="16"/>
      <c r="B575" s="6"/>
      <c r="C575" s="6"/>
      <c r="D575" s="6"/>
      <c r="E575" s="4"/>
      <c r="F575" s="6"/>
      <c r="G575" s="6"/>
      <c r="H575" s="6"/>
      <c r="I575" s="6"/>
      <c r="J575" s="6"/>
      <c r="K575" s="6"/>
      <c r="L575" s="6"/>
      <c r="M575" s="6"/>
      <c r="N575" s="6"/>
      <c r="O575" s="16"/>
      <c r="P575" s="6"/>
      <c r="Q575" s="4"/>
      <c r="R575" s="4"/>
      <c r="S575" s="4"/>
      <c r="T575" s="4"/>
      <c r="U575" s="4"/>
      <c r="V575" s="4"/>
      <c r="W575" s="4"/>
      <c r="X575" s="4"/>
      <c r="Y575" s="4"/>
      <c r="Z575" s="4"/>
      <c r="AA575" s="4"/>
    </row>
    <row r="576" spans="1:27" ht="12.75" x14ac:dyDescent="0.2">
      <c r="A576" s="16"/>
      <c r="B576" s="6"/>
      <c r="C576" s="6"/>
      <c r="D576" s="6"/>
      <c r="E576" s="4"/>
      <c r="F576" s="6"/>
      <c r="G576" s="6"/>
      <c r="H576" s="6"/>
      <c r="I576" s="6"/>
      <c r="J576" s="6"/>
      <c r="K576" s="6"/>
      <c r="L576" s="6"/>
      <c r="M576" s="6"/>
      <c r="N576" s="6"/>
      <c r="O576" s="16"/>
      <c r="P576" s="6"/>
      <c r="Q576" s="4"/>
      <c r="R576" s="4"/>
      <c r="S576" s="4"/>
      <c r="T576" s="4"/>
      <c r="U576" s="4"/>
      <c r="V576" s="4"/>
      <c r="W576" s="4"/>
      <c r="X576" s="4"/>
      <c r="Y576" s="4"/>
      <c r="Z576" s="4"/>
      <c r="AA576" s="4"/>
    </row>
    <row r="577" spans="1:27" ht="12.75" x14ac:dyDescent="0.2">
      <c r="A577" s="16"/>
      <c r="B577" s="6"/>
      <c r="C577" s="6"/>
      <c r="D577" s="6"/>
      <c r="E577" s="4"/>
      <c r="F577" s="6"/>
      <c r="G577" s="6"/>
      <c r="H577" s="6"/>
      <c r="I577" s="6"/>
      <c r="J577" s="6"/>
      <c r="K577" s="6"/>
      <c r="L577" s="6"/>
      <c r="M577" s="6"/>
      <c r="N577" s="6"/>
      <c r="O577" s="16"/>
      <c r="P577" s="6"/>
      <c r="Q577" s="4"/>
      <c r="R577" s="4"/>
      <c r="S577" s="4"/>
      <c r="T577" s="4"/>
      <c r="U577" s="4"/>
      <c r="V577" s="4"/>
      <c r="W577" s="4"/>
      <c r="X577" s="4"/>
      <c r="Y577" s="4"/>
      <c r="Z577" s="4"/>
      <c r="AA577" s="4"/>
    </row>
    <row r="578" spans="1:27" ht="12.75" x14ac:dyDescent="0.2">
      <c r="A578" s="16"/>
      <c r="B578" s="6"/>
      <c r="C578" s="6"/>
      <c r="D578" s="6"/>
      <c r="E578" s="4"/>
      <c r="F578" s="6"/>
      <c r="G578" s="6"/>
      <c r="H578" s="6"/>
      <c r="I578" s="6"/>
      <c r="J578" s="6"/>
      <c r="K578" s="6"/>
      <c r="L578" s="6"/>
      <c r="M578" s="6"/>
      <c r="N578" s="6"/>
      <c r="O578" s="16"/>
      <c r="P578" s="6"/>
      <c r="Q578" s="4"/>
      <c r="R578" s="4"/>
      <c r="S578" s="4"/>
      <c r="T578" s="4"/>
      <c r="U578" s="4"/>
      <c r="V578" s="4"/>
      <c r="W578" s="4"/>
      <c r="X578" s="4"/>
      <c r="Y578" s="4"/>
      <c r="Z578" s="4"/>
      <c r="AA578" s="4"/>
    </row>
    <row r="579" spans="1:27" ht="12.75" x14ac:dyDescent="0.2">
      <c r="A579" s="16"/>
      <c r="B579" s="6"/>
      <c r="C579" s="6"/>
      <c r="D579" s="6"/>
      <c r="E579" s="4"/>
      <c r="F579" s="6"/>
      <c r="G579" s="6"/>
      <c r="H579" s="6"/>
      <c r="I579" s="6"/>
      <c r="J579" s="6"/>
      <c r="K579" s="6"/>
      <c r="L579" s="6"/>
      <c r="M579" s="6"/>
      <c r="N579" s="6"/>
      <c r="O579" s="16"/>
      <c r="P579" s="6"/>
      <c r="Q579" s="4"/>
      <c r="R579" s="4"/>
      <c r="S579" s="4"/>
      <c r="T579" s="4"/>
      <c r="U579" s="4"/>
      <c r="V579" s="4"/>
      <c r="W579" s="4"/>
      <c r="X579" s="4"/>
      <c r="Y579" s="4"/>
      <c r="Z579" s="4"/>
      <c r="AA579" s="4"/>
    </row>
    <row r="580" spans="1:27" ht="12.75" x14ac:dyDescent="0.2">
      <c r="A580" s="16"/>
      <c r="B580" s="6"/>
      <c r="C580" s="6"/>
      <c r="D580" s="6"/>
      <c r="E580" s="4"/>
      <c r="F580" s="6"/>
      <c r="G580" s="6"/>
      <c r="H580" s="6"/>
      <c r="I580" s="6"/>
      <c r="J580" s="6"/>
      <c r="K580" s="6"/>
      <c r="L580" s="6"/>
      <c r="M580" s="6"/>
      <c r="N580" s="6"/>
      <c r="O580" s="16"/>
      <c r="P580" s="6"/>
      <c r="Q580" s="4"/>
      <c r="R580" s="4"/>
      <c r="S580" s="4"/>
      <c r="T580" s="4"/>
      <c r="U580" s="4"/>
      <c r="V580" s="4"/>
      <c r="W580" s="4"/>
      <c r="X580" s="4"/>
      <c r="Y580" s="4"/>
      <c r="Z580" s="4"/>
      <c r="AA580" s="4"/>
    </row>
    <row r="581" spans="1:27" ht="12.75" x14ac:dyDescent="0.2">
      <c r="A581" s="16"/>
      <c r="B581" s="6"/>
      <c r="C581" s="6"/>
      <c r="D581" s="6"/>
      <c r="E581" s="4"/>
      <c r="F581" s="6"/>
      <c r="G581" s="6"/>
      <c r="H581" s="6"/>
      <c r="I581" s="6"/>
      <c r="J581" s="6"/>
      <c r="K581" s="6"/>
      <c r="L581" s="6"/>
      <c r="M581" s="6"/>
      <c r="N581" s="6"/>
      <c r="O581" s="16"/>
      <c r="P581" s="6"/>
      <c r="Q581" s="4"/>
      <c r="R581" s="4"/>
      <c r="S581" s="4"/>
      <c r="T581" s="4"/>
      <c r="U581" s="4"/>
      <c r="V581" s="4"/>
      <c r="W581" s="4"/>
      <c r="X581" s="4"/>
      <c r="Y581" s="4"/>
      <c r="Z581" s="4"/>
      <c r="AA581" s="4"/>
    </row>
    <row r="582" spans="1:27" ht="12.75" x14ac:dyDescent="0.2">
      <c r="A582" s="16"/>
      <c r="B582" s="6"/>
      <c r="C582" s="6"/>
      <c r="D582" s="6"/>
      <c r="E582" s="4"/>
      <c r="F582" s="6"/>
      <c r="G582" s="6"/>
      <c r="H582" s="6"/>
      <c r="I582" s="6"/>
      <c r="J582" s="6"/>
      <c r="K582" s="6"/>
      <c r="L582" s="6"/>
      <c r="M582" s="6"/>
      <c r="N582" s="6"/>
      <c r="O582" s="16"/>
      <c r="P582" s="6"/>
      <c r="Q582" s="4"/>
      <c r="R582" s="4"/>
      <c r="S582" s="4"/>
      <c r="T582" s="4"/>
      <c r="U582" s="4"/>
      <c r="V582" s="4"/>
      <c r="W582" s="4"/>
      <c r="X582" s="4"/>
      <c r="Y582" s="4"/>
      <c r="Z582" s="4"/>
      <c r="AA582" s="4"/>
    </row>
    <row r="583" spans="1:27" ht="12.75" x14ac:dyDescent="0.2">
      <c r="A583" s="16"/>
      <c r="B583" s="6"/>
      <c r="C583" s="6"/>
      <c r="D583" s="6"/>
      <c r="E583" s="4"/>
      <c r="F583" s="6"/>
      <c r="G583" s="6"/>
      <c r="H583" s="6"/>
      <c r="I583" s="6"/>
      <c r="J583" s="6"/>
      <c r="K583" s="6"/>
      <c r="L583" s="6"/>
      <c r="M583" s="6"/>
      <c r="N583" s="6"/>
      <c r="O583" s="16"/>
      <c r="P583" s="6"/>
      <c r="Q583" s="4"/>
      <c r="R583" s="4"/>
      <c r="S583" s="4"/>
      <c r="T583" s="4"/>
      <c r="U583" s="4"/>
      <c r="V583" s="4"/>
      <c r="W583" s="4"/>
      <c r="X583" s="4"/>
      <c r="Y583" s="4"/>
      <c r="Z583" s="4"/>
      <c r="AA583" s="4"/>
    </row>
    <row r="584" spans="1:27" ht="12.75" x14ac:dyDescent="0.2">
      <c r="A584" s="16"/>
      <c r="B584" s="6"/>
      <c r="C584" s="6"/>
      <c r="D584" s="6"/>
      <c r="E584" s="4"/>
      <c r="F584" s="6"/>
      <c r="G584" s="6"/>
      <c r="H584" s="6"/>
      <c r="I584" s="6"/>
      <c r="J584" s="6"/>
      <c r="K584" s="6"/>
      <c r="L584" s="6"/>
      <c r="M584" s="6"/>
      <c r="N584" s="6"/>
      <c r="O584" s="16"/>
      <c r="P584" s="6"/>
      <c r="Q584" s="4"/>
      <c r="R584" s="4"/>
      <c r="S584" s="4"/>
      <c r="T584" s="4"/>
      <c r="U584" s="4"/>
      <c r="V584" s="4"/>
      <c r="W584" s="4"/>
      <c r="X584" s="4"/>
      <c r="Y584" s="4"/>
      <c r="Z584" s="4"/>
      <c r="AA584" s="4"/>
    </row>
    <row r="585" spans="1:27" ht="12.75" x14ac:dyDescent="0.2">
      <c r="A585" s="16"/>
      <c r="B585" s="6"/>
      <c r="C585" s="6"/>
      <c r="D585" s="6"/>
      <c r="E585" s="4"/>
      <c r="F585" s="6"/>
      <c r="G585" s="6"/>
      <c r="H585" s="6"/>
      <c r="I585" s="6"/>
      <c r="J585" s="6"/>
      <c r="K585" s="6"/>
      <c r="L585" s="6"/>
      <c r="M585" s="6"/>
      <c r="N585" s="6"/>
      <c r="O585" s="16"/>
      <c r="P585" s="6"/>
      <c r="Q585" s="4"/>
      <c r="R585" s="4"/>
      <c r="S585" s="4"/>
      <c r="T585" s="4"/>
      <c r="U585" s="4"/>
      <c r="V585" s="4"/>
      <c r="W585" s="4"/>
      <c r="X585" s="4"/>
      <c r="Y585" s="4"/>
      <c r="Z585" s="4"/>
      <c r="AA585" s="4"/>
    </row>
    <row r="586" spans="1:27" ht="12.75" x14ac:dyDescent="0.2">
      <c r="A586" s="16"/>
      <c r="B586" s="6"/>
      <c r="C586" s="6"/>
      <c r="D586" s="6"/>
      <c r="E586" s="4"/>
      <c r="F586" s="6"/>
      <c r="G586" s="6"/>
      <c r="H586" s="6"/>
      <c r="I586" s="6"/>
      <c r="J586" s="6"/>
      <c r="K586" s="6"/>
      <c r="L586" s="6"/>
      <c r="M586" s="6"/>
      <c r="N586" s="6"/>
      <c r="O586" s="16"/>
      <c r="P586" s="6"/>
      <c r="Q586" s="4"/>
      <c r="R586" s="4"/>
      <c r="S586" s="4"/>
      <c r="T586" s="4"/>
      <c r="U586" s="4"/>
      <c r="V586" s="4"/>
      <c r="W586" s="4"/>
      <c r="X586" s="4"/>
      <c r="Y586" s="4"/>
      <c r="Z586" s="4"/>
      <c r="AA586" s="4"/>
    </row>
    <row r="587" spans="1:27" ht="12.75" x14ac:dyDescent="0.2">
      <c r="A587" s="16"/>
      <c r="B587" s="6"/>
      <c r="C587" s="6"/>
      <c r="D587" s="6"/>
      <c r="E587" s="4"/>
      <c r="F587" s="6"/>
      <c r="G587" s="6"/>
      <c r="H587" s="6"/>
      <c r="I587" s="6"/>
      <c r="J587" s="6"/>
      <c r="K587" s="6"/>
      <c r="L587" s="6"/>
      <c r="M587" s="6"/>
      <c r="N587" s="6"/>
      <c r="O587" s="16"/>
      <c r="P587" s="6"/>
      <c r="Q587" s="4"/>
      <c r="R587" s="4"/>
      <c r="S587" s="4"/>
      <c r="T587" s="4"/>
      <c r="U587" s="4"/>
      <c r="V587" s="4"/>
      <c r="W587" s="4"/>
      <c r="X587" s="4"/>
      <c r="Y587" s="4"/>
      <c r="Z587" s="4"/>
      <c r="AA587" s="4"/>
    </row>
    <row r="588" spans="1:27" ht="12.75" x14ac:dyDescent="0.2">
      <c r="A588" s="16"/>
      <c r="B588" s="6"/>
      <c r="C588" s="6"/>
      <c r="D588" s="6"/>
      <c r="E588" s="4"/>
      <c r="F588" s="6"/>
      <c r="G588" s="6"/>
      <c r="H588" s="6"/>
      <c r="I588" s="6"/>
      <c r="J588" s="6"/>
      <c r="K588" s="6"/>
      <c r="L588" s="6"/>
      <c r="M588" s="6"/>
      <c r="N588" s="6"/>
      <c r="O588" s="16"/>
      <c r="P588" s="6"/>
      <c r="Q588" s="4"/>
      <c r="R588" s="4"/>
      <c r="S588" s="4"/>
      <c r="T588" s="4"/>
      <c r="U588" s="4"/>
      <c r="V588" s="4"/>
      <c r="W588" s="4"/>
      <c r="X588" s="4"/>
      <c r="Y588" s="4"/>
      <c r="Z588" s="4"/>
      <c r="AA588" s="4"/>
    </row>
    <row r="589" spans="1:27" ht="12.75" x14ac:dyDescent="0.2">
      <c r="A589" s="16"/>
      <c r="B589" s="6"/>
      <c r="C589" s="6"/>
      <c r="D589" s="6"/>
      <c r="E589" s="4"/>
      <c r="F589" s="6"/>
      <c r="G589" s="6"/>
      <c r="H589" s="6"/>
      <c r="I589" s="6"/>
      <c r="J589" s="6"/>
      <c r="K589" s="6"/>
      <c r="L589" s="6"/>
      <c r="M589" s="6"/>
      <c r="N589" s="6"/>
      <c r="O589" s="16"/>
      <c r="P589" s="6"/>
      <c r="Q589" s="4"/>
      <c r="R589" s="4"/>
      <c r="S589" s="4"/>
      <c r="T589" s="4"/>
      <c r="U589" s="4"/>
      <c r="V589" s="4"/>
      <c r="W589" s="4"/>
      <c r="X589" s="4"/>
      <c r="Y589" s="4"/>
      <c r="Z589" s="4"/>
      <c r="AA589" s="4"/>
    </row>
    <row r="590" spans="1:27" ht="12.75" x14ac:dyDescent="0.2">
      <c r="A590" s="16"/>
      <c r="B590" s="6"/>
      <c r="C590" s="6"/>
      <c r="D590" s="6"/>
      <c r="E590" s="4"/>
      <c r="F590" s="6"/>
      <c r="G590" s="6"/>
      <c r="H590" s="6"/>
      <c r="I590" s="6"/>
      <c r="J590" s="6"/>
      <c r="K590" s="6"/>
      <c r="L590" s="6"/>
      <c r="M590" s="6"/>
      <c r="N590" s="6"/>
      <c r="O590" s="16"/>
      <c r="P590" s="6"/>
      <c r="Q590" s="4"/>
      <c r="R590" s="4"/>
      <c r="S590" s="4"/>
      <c r="T590" s="4"/>
      <c r="U590" s="4"/>
      <c r="V590" s="4"/>
      <c r="W590" s="4"/>
      <c r="X590" s="4"/>
      <c r="Y590" s="4"/>
      <c r="Z590" s="4"/>
      <c r="AA590" s="4"/>
    </row>
    <row r="591" spans="1:27" ht="12.75" x14ac:dyDescent="0.2">
      <c r="A591" s="16"/>
      <c r="B591" s="6"/>
      <c r="C591" s="6"/>
      <c r="D591" s="6"/>
      <c r="E591" s="4"/>
      <c r="F591" s="6"/>
      <c r="G591" s="6"/>
      <c r="H591" s="6"/>
      <c r="I591" s="6"/>
      <c r="J591" s="6"/>
      <c r="K591" s="6"/>
      <c r="L591" s="6"/>
      <c r="M591" s="6"/>
      <c r="N591" s="6"/>
      <c r="O591" s="16"/>
      <c r="P591" s="6"/>
      <c r="Q591" s="4"/>
      <c r="R591" s="4"/>
      <c r="S591" s="4"/>
      <c r="T591" s="4"/>
      <c r="U591" s="4"/>
      <c r="V591" s="4"/>
      <c r="W591" s="4"/>
      <c r="X591" s="4"/>
      <c r="Y591" s="4"/>
      <c r="Z591" s="4"/>
      <c r="AA591" s="4"/>
    </row>
    <row r="592" spans="1:27" ht="12.75" x14ac:dyDescent="0.2">
      <c r="A592" s="16"/>
      <c r="B592" s="6"/>
      <c r="C592" s="6"/>
      <c r="D592" s="6"/>
      <c r="E592" s="4"/>
      <c r="F592" s="6"/>
      <c r="G592" s="6"/>
      <c r="H592" s="6"/>
      <c r="I592" s="6"/>
      <c r="J592" s="6"/>
      <c r="K592" s="6"/>
      <c r="L592" s="6"/>
      <c r="M592" s="6"/>
      <c r="N592" s="6"/>
      <c r="O592" s="16"/>
      <c r="P592" s="6"/>
      <c r="Q592" s="4"/>
      <c r="R592" s="4"/>
      <c r="S592" s="4"/>
      <c r="T592" s="4"/>
      <c r="U592" s="4"/>
      <c r="V592" s="4"/>
      <c r="W592" s="4"/>
      <c r="X592" s="4"/>
      <c r="Y592" s="4"/>
      <c r="Z592" s="4"/>
      <c r="AA592" s="4"/>
    </row>
    <row r="593" spans="1:27" ht="12.75" x14ac:dyDescent="0.2">
      <c r="A593" s="16"/>
      <c r="B593" s="6"/>
      <c r="C593" s="6"/>
      <c r="D593" s="6"/>
      <c r="E593" s="4"/>
      <c r="F593" s="6"/>
      <c r="G593" s="6"/>
      <c r="H593" s="6"/>
      <c r="I593" s="6"/>
      <c r="J593" s="6"/>
      <c r="K593" s="6"/>
      <c r="L593" s="6"/>
      <c r="M593" s="6"/>
      <c r="N593" s="6"/>
      <c r="O593" s="16"/>
      <c r="P593" s="6"/>
      <c r="Q593" s="4"/>
      <c r="R593" s="4"/>
      <c r="S593" s="4"/>
      <c r="T593" s="4"/>
      <c r="U593" s="4"/>
      <c r="V593" s="4"/>
      <c r="W593" s="4"/>
      <c r="X593" s="4"/>
      <c r="Y593" s="4"/>
      <c r="Z593" s="4"/>
      <c r="AA593" s="4"/>
    </row>
    <row r="594" spans="1:27" ht="12.75" x14ac:dyDescent="0.2">
      <c r="A594" s="16"/>
      <c r="B594" s="6"/>
      <c r="C594" s="6"/>
      <c r="D594" s="6"/>
      <c r="E594" s="4"/>
      <c r="F594" s="6"/>
      <c r="G594" s="6"/>
      <c r="H594" s="6"/>
      <c r="I594" s="6"/>
      <c r="J594" s="6"/>
      <c r="K594" s="6"/>
      <c r="L594" s="6"/>
      <c r="M594" s="6"/>
      <c r="N594" s="6"/>
      <c r="O594" s="16"/>
      <c r="P594" s="6"/>
      <c r="Q594" s="4"/>
      <c r="R594" s="4"/>
      <c r="S594" s="4"/>
      <c r="T594" s="4"/>
      <c r="U594" s="4"/>
      <c r="V594" s="4"/>
      <c r="W594" s="4"/>
      <c r="X594" s="4"/>
      <c r="Y594" s="4"/>
      <c r="Z594" s="4"/>
      <c r="AA594" s="4"/>
    </row>
    <row r="595" spans="1:27" ht="12.75" x14ac:dyDescent="0.2">
      <c r="A595" s="16"/>
      <c r="B595" s="6"/>
      <c r="C595" s="6"/>
      <c r="D595" s="6"/>
      <c r="E595" s="4"/>
      <c r="F595" s="6"/>
      <c r="G595" s="6"/>
      <c r="H595" s="6"/>
      <c r="I595" s="6"/>
      <c r="J595" s="6"/>
      <c r="K595" s="6"/>
      <c r="L595" s="6"/>
      <c r="M595" s="6"/>
      <c r="N595" s="6"/>
      <c r="O595" s="16"/>
      <c r="P595" s="6"/>
      <c r="Q595" s="4"/>
      <c r="R595" s="4"/>
      <c r="S595" s="4"/>
      <c r="T595" s="4"/>
      <c r="U595" s="4"/>
      <c r="V595" s="4"/>
      <c r="W595" s="4"/>
      <c r="X595" s="4"/>
      <c r="Y595" s="4"/>
      <c r="Z595" s="4"/>
      <c r="AA595" s="4"/>
    </row>
    <row r="596" spans="1:27" ht="12.75" x14ac:dyDescent="0.2">
      <c r="A596" s="16"/>
      <c r="B596" s="6"/>
      <c r="C596" s="6"/>
      <c r="D596" s="6"/>
      <c r="E596" s="4"/>
      <c r="F596" s="6"/>
      <c r="G596" s="6"/>
      <c r="H596" s="6"/>
      <c r="I596" s="6"/>
      <c r="J596" s="6"/>
      <c r="K596" s="6"/>
      <c r="L596" s="6"/>
      <c r="M596" s="6"/>
      <c r="N596" s="6"/>
      <c r="O596" s="16"/>
      <c r="P596" s="6"/>
      <c r="Q596" s="4"/>
      <c r="R596" s="4"/>
      <c r="S596" s="4"/>
      <c r="T596" s="4"/>
      <c r="U596" s="4"/>
      <c r="V596" s="4"/>
      <c r="W596" s="4"/>
      <c r="X596" s="4"/>
      <c r="Y596" s="4"/>
      <c r="Z596" s="4"/>
      <c r="AA596" s="4"/>
    </row>
    <row r="597" spans="1:27" ht="12.75" x14ac:dyDescent="0.2">
      <c r="A597" s="16"/>
      <c r="B597" s="6"/>
      <c r="C597" s="6"/>
      <c r="D597" s="6"/>
      <c r="E597" s="4"/>
      <c r="F597" s="6"/>
      <c r="G597" s="6"/>
      <c r="H597" s="6"/>
      <c r="I597" s="6"/>
      <c r="J597" s="6"/>
      <c r="K597" s="6"/>
      <c r="L597" s="6"/>
      <c r="M597" s="6"/>
      <c r="N597" s="6"/>
      <c r="O597" s="16"/>
      <c r="P597" s="6"/>
      <c r="Q597" s="4"/>
      <c r="R597" s="4"/>
      <c r="S597" s="4"/>
      <c r="T597" s="4"/>
      <c r="U597" s="4"/>
      <c r="V597" s="4"/>
      <c r="W597" s="4"/>
      <c r="X597" s="4"/>
      <c r="Y597" s="4"/>
      <c r="Z597" s="4"/>
      <c r="AA597" s="4"/>
    </row>
    <row r="598" spans="1:27" ht="12.75" x14ac:dyDescent="0.2">
      <c r="A598" s="16"/>
      <c r="B598" s="6"/>
      <c r="C598" s="6"/>
      <c r="D598" s="6"/>
      <c r="E598" s="4"/>
      <c r="F598" s="6"/>
      <c r="G598" s="6"/>
      <c r="H598" s="6"/>
      <c r="I598" s="6"/>
      <c r="J598" s="6"/>
      <c r="K598" s="6"/>
      <c r="L598" s="6"/>
      <c r="M598" s="6"/>
      <c r="N598" s="6"/>
      <c r="O598" s="16"/>
      <c r="P598" s="6"/>
      <c r="Q598" s="4"/>
      <c r="R598" s="4"/>
      <c r="S598" s="4"/>
      <c r="T598" s="4"/>
      <c r="U598" s="4"/>
      <c r="V598" s="4"/>
      <c r="W598" s="4"/>
      <c r="X598" s="4"/>
      <c r="Y598" s="4"/>
      <c r="Z598" s="4"/>
      <c r="AA598" s="4"/>
    </row>
    <row r="599" spans="1:27" ht="12.75" x14ac:dyDescent="0.2">
      <c r="A599" s="16"/>
      <c r="B599" s="6"/>
      <c r="C599" s="6"/>
      <c r="D599" s="6"/>
      <c r="E599" s="4"/>
      <c r="F599" s="6"/>
      <c r="G599" s="6"/>
      <c r="H599" s="6"/>
      <c r="I599" s="6"/>
      <c r="J599" s="6"/>
      <c r="K599" s="6"/>
      <c r="L599" s="6"/>
      <c r="M599" s="6"/>
      <c r="N599" s="6"/>
      <c r="O599" s="16"/>
      <c r="P599" s="6"/>
      <c r="Q599" s="4"/>
      <c r="R599" s="4"/>
      <c r="S599" s="4"/>
      <c r="T599" s="4"/>
      <c r="U599" s="4"/>
      <c r="V599" s="4"/>
      <c r="W599" s="4"/>
      <c r="X599" s="4"/>
      <c r="Y599" s="4"/>
      <c r="Z599" s="4"/>
      <c r="AA599" s="4"/>
    </row>
    <row r="600" spans="1:27" ht="12.75" x14ac:dyDescent="0.2">
      <c r="A600" s="16"/>
      <c r="B600" s="6"/>
      <c r="C600" s="6"/>
      <c r="D600" s="6"/>
      <c r="E600" s="4"/>
      <c r="F600" s="6"/>
      <c r="G600" s="6"/>
      <c r="H600" s="6"/>
      <c r="I600" s="6"/>
      <c r="J600" s="6"/>
      <c r="K600" s="6"/>
      <c r="L600" s="6"/>
      <c r="M600" s="6"/>
      <c r="N600" s="6"/>
      <c r="O600" s="16"/>
      <c r="P600" s="6"/>
      <c r="Q600" s="4"/>
      <c r="R600" s="4"/>
      <c r="S600" s="4"/>
      <c r="T600" s="4"/>
      <c r="U600" s="4"/>
      <c r="V600" s="4"/>
      <c r="W600" s="4"/>
      <c r="X600" s="4"/>
      <c r="Y600" s="4"/>
      <c r="Z600" s="4"/>
      <c r="AA600" s="4"/>
    </row>
    <row r="601" spans="1:27" ht="12.75" x14ac:dyDescent="0.2">
      <c r="A601" s="16"/>
      <c r="B601" s="6"/>
      <c r="C601" s="6"/>
      <c r="D601" s="6"/>
      <c r="E601" s="4"/>
      <c r="F601" s="6"/>
      <c r="G601" s="6"/>
      <c r="H601" s="6"/>
      <c r="I601" s="6"/>
      <c r="J601" s="6"/>
      <c r="K601" s="6"/>
      <c r="L601" s="6"/>
      <c r="M601" s="6"/>
      <c r="N601" s="6"/>
      <c r="O601" s="16"/>
      <c r="P601" s="6"/>
      <c r="Q601" s="4"/>
      <c r="R601" s="4"/>
      <c r="S601" s="4"/>
      <c r="T601" s="4"/>
      <c r="U601" s="4"/>
      <c r="V601" s="4"/>
      <c r="W601" s="4"/>
      <c r="X601" s="4"/>
      <c r="Y601" s="4"/>
      <c r="Z601" s="4"/>
      <c r="AA601" s="4"/>
    </row>
    <row r="602" spans="1:27" ht="12.75" x14ac:dyDescent="0.2">
      <c r="A602" s="16"/>
      <c r="B602" s="6"/>
      <c r="C602" s="6"/>
      <c r="D602" s="6"/>
      <c r="E602" s="4"/>
      <c r="F602" s="6"/>
      <c r="G602" s="6"/>
      <c r="H602" s="6"/>
      <c r="I602" s="6"/>
      <c r="J602" s="6"/>
      <c r="K602" s="6"/>
      <c r="L602" s="6"/>
      <c r="M602" s="6"/>
      <c r="N602" s="6"/>
      <c r="O602" s="16"/>
      <c r="P602" s="6"/>
      <c r="Q602" s="4"/>
      <c r="R602" s="4"/>
      <c r="S602" s="4"/>
      <c r="T602" s="4"/>
      <c r="U602" s="4"/>
      <c r="V602" s="4"/>
      <c r="W602" s="4"/>
      <c r="X602" s="4"/>
      <c r="Y602" s="4"/>
      <c r="Z602" s="4"/>
      <c r="AA602" s="4"/>
    </row>
    <row r="603" spans="1:27" ht="12.75" x14ac:dyDescent="0.2">
      <c r="A603" s="16"/>
      <c r="B603" s="6"/>
      <c r="C603" s="6"/>
      <c r="D603" s="6"/>
      <c r="E603" s="4"/>
      <c r="F603" s="6"/>
      <c r="G603" s="6"/>
      <c r="H603" s="6"/>
      <c r="I603" s="6"/>
      <c r="J603" s="6"/>
      <c r="K603" s="6"/>
      <c r="L603" s="6"/>
      <c r="M603" s="6"/>
      <c r="N603" s="6"/>
      <c r="O603" s="16"/>
      <c r="P603" s="6"/>
      <c r="Q603" s="4"/>
      <c r="R603" s="4"/>
      <c r="S603" s="4"/>
      <c r="T603" s="4"/>
      <c r="U603" s="4"/>
      <c r="V603" s="4"/>
      <c r="W603" s="4"/>
      <c r="X603" s="4"/>
      <c r="Y603" s="4"/>
      <c r="Z603" s="4"/>
      <c r="AA603" s="4"/>
    </row>
    <row r="604" spans="1:27" ht="12.75" x14ac:dyDescent="0.2">
      <c r="A604" s="16"/>
      <c r="B604" s="6"/>
      <c r="C604" s="6"/>
      <c r="D604" s="6"/>
      <c r="E604" s="4"/>
      <c r="F604" s="6"/>
      <c r="G604" s="6"/>
      <c r="H604" s="6"/>
      <c r="I604" s="6"/>
      <c r="J604" s="6"/>
      <c r="K604" s="6"/>
      <c r="L604" s="6"/>
      <c r="M604" s="6"/>
      <c r="N604" s="6"/>
      <c r="O604" s="16"/>
      <c r="P604" s="6"/>
      <c r="Q604" s="4"/>
      <c r="R604" s="4"/>
      <c r="S604" s="4"/>
      <c r="T604" s="4"/>
      <c r="U604" s="4"/>
      <c r="V604" s="4"/>
      <c r="W604" s="4"/>
      <c r="X604" s="4"/>
      <c r="Y604" s="4"/>
      <c r="Z604" s="4"/>
      <c r="AA604" s="4"/>
    </row>
    <row r="605" spans="1:27" ht="12.75" x14ac:dyDescent="0.2">
      <c r="A605" s="16"/>
      <c r="B605" s="6"/>
      <c r="C605" s="6"/>
      <c r="D605" s="6"/>
      <c r="E605" s="4"/>
      <c r="F605" s="6"/>
      <c r="G605" s="6"/>
      <c r="H605" s="6"/>
      <c r="I605" s="6"/>
      <c r="J605" s="6"/>
      <c r="K605" s="6"/>
      <c r="L605" s="6"/>
      <c r="M605" s="6"/>
      <c r="N605" s="6"/>
      <c r="O605" s="16"/>
      <c r="P605" s="6"/>
      <c r="Q605" s="4"/>
      <c r="R605" s="4"/>
      <c r="S605" s="4"/>
      <c r="T605" s="4"/>
      <c r="U605" s="4"/>
      <c r="V605" s="4"/>
      <c r="W605" s="4"/>
      <c r="X605" s="4"/>
      <c r="Y605" s="4"/>
      <c r="Z605" s="4"/>
      <c r="AA605" s="4"/>
    </row>
    <row r="606" spans="1:27" ht="12.75" x14ac:dyDescent="0.2">
      <c r="A606" s="16"/>
      <c r="B606" s="6"/>
      <c r="C606" s="6"/>
      <c r="D606" s="6"/>
      <c r="E606" s="4"/>
      <c r="F606" s="6"/>
      <c r="G606" s="6"/>
      <c r="H606" s="6"/>
      <c r="I606" s="6"/>
      <c r="J606" s="6"/>
      <c r="K606" s="6"/>
      <c r="L606" s="6"/>
      <c r="M606" s="6"/>
      <c r="N606" s="6"/>
      <c r="O606" s="16"/>
      <c r="P606" s="6"/>
      <c r="Q606" s="4"/>
      <c r="R606" s="4"/>
      <c r="S606" s="4"/>
      <c r="T606" s="4"/>
      <c r="U606" s="4"/>
      <c r="V606" s="4"/>
      <c r="W606" s="4"/>
      <c r="X606" s="4"/>
      <c r="Y606" s="4"/>
      <c r="Z606" s="4"/>
      <c r="AA606" s="4"/>
    </row>
    <row r="607" spans="1:27" ht="12.75" x14ac:dyDescent="0.2">
      <c r="A607" s="16"/>
      <c r="B607" s="6"/>
      <c r="C607" s="6"/>
      <c r="D607" s="6"/>
      <c r="E607" s="4"/>
      <c r="F607" s="6"/>
      <c r="G607" s="6"/>
      <c r="H607" s="6"/>
      <c r="I607" s="6"/>
      <c r="J607" s="6"/>
      <c r="K607" s="6"/>
      <c r="L607" s="6"/>
      <c r="M607" s="6"/>
      <c r="N607" s="6"/>
      <c r="O607" s="16"/>
      <c r="P607" s="6"/>
      <c r="Q607" s="4"/>
      <c r="R607" s="4"/>
      <c r="S607" s="4"/>
      <c r="T607" s="4"/>
      <c r="U607" s="4"/>
      <c r="V607" s="4"/>
      <c r="W607" s="4"/>
      <c r="X607" s="4"/>
      <c r="Y607" s="4"/>
      <c r="Z607" s="4"/>
      <c r="AA607" s="4"/>
    </row>
    <row r="608" spans="1:27" ht="12.75" x14ac:dyDescent="0.2">
      <c r="A608" s="16"/>
      <c r="B608" s="6"/>
      <c r="C608" s="6"/>
      <c r="D608" s="6"/>
      <c r="E608" s="4"/>
      <c r="F608" s="6"/>
      <c r="G608" s="6"/>
      <c r="H608" s="6"/>
      <c r="I608" s="6"/>
      <c r="J608" s="6"/>
      <c r="K608" s="6"/>
      <c r="L608" s="6"/>
      <c r="M608" s="6"/>
      <c r="N608" s="6"/>
      <c r="O608" s="16"/>
      <c r="P608" s="6"/>
      <c r="Q608" s="4"/>
      <c r="R608" s="4"/>
      <c r="S608" s="4"/>
      <c r="T608" s="4"/>
      <c r="U608" s="4"/>
      <c r="V608" s="4"/>
      <c r="W608" s="4"/>
      <c r="X608" s="4"/>
      <c r="Y608" s="4"/>
      <c r="Z608" s="4"/>
      <c r="AA608" s="4"/>
    </row>
    <row r="609" spans="1:27" ht="12.75" x14ac:dyDescent="0.2">
      <c r="A609" s="16"/>
      <c r="B609" s="6"/>
      <c r="C609" s="6"/>
      <c r="D609" s="6"/>
      <c r="E609" s="4"/>
      <c r="F609" s="6"/>
      <c r="G609" s="6"/>
      <c r="H609" s="6"/>
      <c r="I609" s="6"/>
      <c r="J609" s="6"/>
      <c r="K609" s="6"/>
      <c r="L609" s="6"/>
      <c r="M609" s="6"/>
      <c r="N609" s="6"/>
      <c r="O609" s="16"/>
      <c r="P609" s="6"/>
      <c r="Q609" s="4"/>
      <c r="R609" s="4"/>
      <c r="S609" s="4"/>
      <c r="T609" s="4"/>
      <c r="U609" s="4"/>
      <c r="V609" s="4"/>
      <c r="W609" s="4"/>
      <c r="X609" s="4"/>
      <c r="Y609" s="4"/>
      <c r="Z609" s="4"/>
      <c r="AA609" s="4"/>
    </row>
    <row r="610" spans="1:27" ht="12.75" x14ac:dyDescent="0.2">
      <c r="A610" s="16"/>
      <c r="B610" s="6"/>
      <c r="C610" s="6"/>
      <c r="D610" s="6"/>
      <c r="E610" s="4"/>
      <c r="F610" s="6"/>
      <c r="G610" s="6"/>
      <c r="H610" s="6"/>
      <c r="I610" s="6"/>
      <c r="J610" s="6"/>
      <c r="K610" s="6"/>
      <c r="L610" s="6"/>
      <c r="M610" s="6"/>
      <c r="N610" s="6"/>
      <c r="O610" s="16"/>
      <c r="P610" s="6"/>
      <c r="Q610" s="4"/>
      <c r="R610" s="4"/>
      <c r="S610" s="4"/>
      <c r="T610" s="4"/>
      <c r="U610" s="4"/>
      <c r="V610" s="4"/>
      <c r="W610" s="4"/>
      <c r="X610" s="4"/>
      <c r="Y610" s="4"/>
      <c r="Z610" s="4"/>
      <c r="AA610" s="4"/>
    </row>
    <row r="611" spans="1:27" ht="12.75" x14ac:dyDescent="0.2">
      <c r="A611" s="16"/>
      <c r="B611" s="6"/>
      <c r="C611" s="6"/>
      <c r="D611" s="6"/>
      <c r="E611" s="4"/>
      <c r="F611" s="6"/>
      <c r="G611" s="6"/>
      <c r="H611" s="6"/>
      <c r="I611" s="6"/>
      <c r="J611" s="6"/>
      <c r="K611" s="6"/>
      <c r="L611" s="6"/>
      <c r="M611" s="6"/>
      <c r="N611" s="6"/>
      <c r="O611" s="16"/>
      <c r="P611" s="6"/>
      <c r="Q611" s="4"/>
      <c r="R611" s="4"/>
      <c r="S611" s="4"/>
      <c r="T611" s="4"/>
      <c r="U611" s="4"/>
      <c r="V611" s="4"/>
      <c r="W611" s="4"/>
      <c r="X611" s="4"/>
      <c r="Y611" s="4"/>
      <c r="Z611" s="4"/>
      <c r="AA611" s="4"/>
    </row>
    <row r="612" spans="1:27" ht="12.75" x14ac:dyDescent="0.2">
      <c r="A612" s="16"/>
      <c r="B612" s="6"/>
      <c r="C612" s="6"/>
      <c r="D612" s="6"/>
      <c r="E612" s="4"/>
      <c r="F612" s="6"/>
      <c r="G612" s="6"/>
      <c r="H612" s="6"/>
      <c r="I612" s="6"/>
      <c r="J612" s="6"/>
      <c r="K612" s="6"/>
      <c r="L612" s="6"/>
      <c r="M612" s="6"/>
      <c r="N612" s="6"/>
      <c r="O612" s="16"/>
      <c r="P612" s="6"/>
      <c r="Q612" s="4"/>
      <c r="R612" s="4"/>
      <c r="S612" s="4"/>
      <c r="T612" s="4"/>
      <c r="U612" s="4"/>
      <c r="V612" s="4"/>
      <c r="W612" s="4"/>
      <c r="X612" s="4"/>
      <c r="Y612" s="4"/>
      <c r="Z612" s="4"/>
      <c r="AA612" s="4"/>
    </row>
    <row r="613" spans="1:27" ht="12.75" x14ac:dyDescent="0.2">
      <c r="A613" s="16"/>
      <c r="B613" s="6"/>
      <c r="C613" s="6"/>
      <c r="D613" s="6"/>
      <c r="E613" s="4"/>
      <c r="F613" s="6"/>
      <c r="G613" s="6"/>
      <c r="H613" s="6"/>
      <c r="I613" s="6"/>
      <c r="J613" s="6"/>
      <c r="K613" s="6"/>
      <c r="L613" s="6"/>
      <c r="M613" s="6"/>
      <c r="N613" s="6"/>
      <c r="O613" s="16"/>
      <c r="P613" s="6"/>
      <c r="Q613" s="4"/>
      <c r="R613" s="4"/>
      <c r="S613" s="4"/>
      <c r="T613" s="4"/>
      <c r="U613" s="4"/>
      <c r="V613" s="4"/>
      <c r="W613" s="4"/>
      <c r="X613" s="4"/>
      <c r="Y613" s="4"/>
      <c r="Z613" s="4"/>
      <c r="AA613" s="4"/>
    </row>
    <row r="614" spans="1:27" ht="12.75" x14ac:dyDescent="0.2">
      <c r="A614" s="16"/>
      <c r="B614" s="6"/>
      <c r="C614" s="6"/>
      <c r="D614" s="6"/>
      <c r="E614" s="4"/>
      <c r="F614" s="6"/>
      <c r="G614" s="6"/>
      <c r="H614" s="6"/>
      <c r="I614" s="6"/>
      <c r="J614" s="6"/>
      <c r="K614" s="6"/>
      <c r="L614" s="6"/>
      <c r="M614" s="6"/>
      <c r="N614" s="6"/>
      <c r="O614" s="16"/>
      <c r="P614" s="6"/>
      <c r="Q614" s="4"/>
      <c r="R614" s="4"/>
      <c r="S614" s="4"/>
      <c r="T614" s="4"/>
      <c r="U614" s="4"/>
      <c r="V614" s="4"/>
      <c r="W614" s="4"/>
      <c r="X614" s="4"/>
      <c r="Y614" s="4"/>
      <c r="Z614" s="4"/>
      <c r="AA614" s="4"/>
    </row>
    <row r="615" spans="1:27" ht="12.75" x14ac:dyDescent="0.2">
      <c r="A615" s="16"/>
      <c r="B615" s="6"/>
      <c r="C615" s="6"/>
      <c r="D615" s="6"/>
      <c r="E615" s="4"/>
      <c r="F615" s="6"/>
      <c r="G615" s="6"/>
      <c r="H615" s="6"/>
      <c r="I615" s="6"/>
      <c r="J615" s="6"/>
      <c r="K615" s="6"/>
      <c r="L615" s="6"/>
      <c r="M615" s="6"/>
      <c r="N615" s="6"/>
      <c r="O615" s="16"/>
      <c r="P615" s="6"/>
      <c r="Q615" s="4"/>
      <c r="R615" s="4"/>
      <c r="S615" s="4"/>
      <c r="T615" s="4"/>
      <c r="U615" s="4"/>
      <c r="V615" s="4"/>
      <c r="W615" s="4"/>
      <c r="X615" s="4"/>
      <c r="Y615" s="4"/>
      <c r="Z615" s="4"/>
      <c r="AA615" s="4"/>
    </row>
    <row r="616" spans="1:27" ht="12.75" x14ac:dyDescent="0.2">
      <c r="A616" s="16"/>
      <c r="B616" s="6"/>
      <c r="C616" s="6"/>
      <c r="D616" s="6"/>
      <c r="E616" s="4"/>
      <c r="F616" s="6"/>
      <c r="G616" s="6"/>
      <c r="H616" s="6"/>
      <c r="I616" s="6"/>
      <c r="J616" s="6"/>
      <c r="K616" s="6"/>
      <c r="L616" s="6"/>
      <c r="M616" s="6"/>
      <c r="N616" s="6"/>
      <c r="O616" s="16"/>
      <c r="P616" s="6"/>
      <c r="Q616" s="4"/>
      <c r="R616" s="4"/>
      <c r="S616" s="4"/>
      <c r="T616" s="4"/>
      <c r="U616" s="4"/>
      <c r="V616" s="4"/>
      <c r="W616" s="4"/>
      <c r="X616" s="4"/>
      <c r="Y616" s="4"/>
      <c r="Z616" s="4"/>
      <c r="AA616" s="4"/>
    </row>
    <row r="617" spans="1:27" ht="12.75" x14ac:dyDescent="0.2">
      <c r="A617" s="16"/>
      <c r="B617" s="6"/>
      <c r="C617" s="6"/>
      <c r="D617" s="6"/>
      <c r="E617" s="4"/>
      <c r="F617" s="6"/>
      <c r="G617" s="6"/>
      <c r="H617" s="6"/>
      <c r="I617" s="6"/>
      <c r="J617" s="6"/>
      <c r="K617" s="6"/>
      <c r="L617" s="6"/>
      <c r="M617" s="6"/>
      <c r="N617" s="6"/>
      <c r="O617" s="16"/>
      <c r="P617" s="6"/>
      <c r="Q617" s="4"/>
      <c r="R617" s="4"/>
      <c r="S617" s="4"/>
      <c r="T617" s="4"/>
      <c r="U617" s="4"/>
      <c r="V617" s="4"/>
      <c r="W617" s="4"/>
      <c r="X617" s="4"/>
      <c r="Y617" s="4"/>
      <c r="Z617" s="4"/>
      <c r="AA617" s="4"/>
    </row>
    <row r="618" spans="1:27" ht="12.75" x14ac:dyDescent="0.2">
      <c r="A618" s="16"/>
      <c r="B618" s="6"/>
      <c r="C618" s="6"/>
      <c r="D618" s="6"/>
      <c r="E618" s="4"/>
      <c r="F618" s="6"/>
      <c r="G618" s="6"/>
      <c r="H618" s="6"/>
      <c r="I618" s="6"/>
      <c r="J618" s="6"/>
      <c r="K618" s="6"/>
      <c r="L618" s="6"/>
      <c r="M618" s="6"/>
      <c r="N618" s="6"/>
      <c r="O618" s="16"/>
      <c r="P618" s="6"/>
      <c r="Q618" s="4"/>
      <c r="R618" s="4"/>
      <c r="S618" s="4"/>
      <c r="T618" s="4"/>
      <c r="U618" s="4"/>
      <c r="V618" s="4"/>
      <c r="W618" s="4"/>
      <c r="X618" s="4"/>
      <c r="Y618" s="4"/>
      <c r="Z618" s="4"/>
      <c r="AA618" s="4"/>
    </row>
    <row r="619" spans="1:27" ht="12.75" x14ac:dyDescent="0.2">
      <c r="A619" s="16"/>
      <c r="B619" s="6"/>
      <c r="C619" s="6"/>
      <c r="D619" s="6"/>
      <c r="E619" s="4"/>
      <c r="F619" s="6"/>
      <c r="G619" s="6"/>
      <c r="H619" s="6"/>
      <c r="I619" s="6"/>
      <c r="J619" s="6"/>
      <c r="K619" s="6"/>
      <c r="L619" s="6"/>
      <c r="M619" s="6"/>
      <c r="N619" s="6"/>
      <c r="O619" s="16"/>
      <c r="P619" s="6"/>
      <c r="Q619" s="4"/>
      <c r="R619" s="4"/>
      <c r="S619" s="4"/>
      <c r="T619" s="4"/>
      <c r="U619" s="4"/>
      <c r="V619" s="4"/>
      <c r="W619" s="4"/>
      <c r="X619" s="4"/>
      <c r="Y619" s="4"/>
      <c r="Z619" s="4"/>
      <c r="AA619" s="4"/>
    </row>
    <row r="620" spans="1:27" ht="12.75" x14ac:dyDescent="0.2">
      <c r="A620" s="16"/>
      <c r="B620" s="6"/>
      <c r="C620" s="6"/>
      <c r="D620" s="6"/>
      <c r="E620" s="4"/>
      <c r="F620" s="6"/>
      <c r="G620" s="6"/>
      <c r="H620" s="6"/>
      <c r="I620" s="6"/>
      <c r="J620" s="6"/>
      <c r="K620" s="6"/>
      <c r="L620" s="6"/>
      <c r="M620" s="6"/>
      <c r="N620" s="6"/>
      <c r="O620" s="16"/>
      <c r="P620" s="6"/>
      <c r="Q620" s="4"/>
      <c r="R620" s="4"/>
      <c r="S620" s="4"/>
      <c r="T620" s="4"/>
      <c r="U620" s="4"/>
      <c r="V620" s="4"/>
      <c r="W620" s="4"/>
      <c r="X620" s="4"/>
      <c r="Y620" s="4"/>
      <c r="Z620" s="4"/>
      <c r="AA620" s="4"/>
    </row>
    <row r="621" spans="1:27" ht="12.75" x14ac:dyDescent="0.2">
      <c r="A621" s="16"/>
      <c r="B621" s="6"/>
      <c r="C621" s="6"/>
      <c r="D621" s="6"/>
      <c r="E621" s="4"/>
      <c r="F621" s="6"/>
      <c r="G621" s="6"/>
      <c r="H621" s="6"/>
      <c r="I621" s="6"/>
      <c r="J621" s="6"/>
      <c r="K621" s="6"/>
      <c r="L621" s="6"/>
      <c r="M621" s="6"/>
      <c r="N621" s="6"/>
      <c r="O621" s="16"/>
      <c r="P621" s="6"/>
      <c r="Q621" s="4"/>
      <c r="R621" s="4"/>
      <c r="S621" s="4"/>
      <c r="T621" s="4"/>
      <c r="U621" s="4"/>
      <c r="V621" s="4"/>
      <c r="W621" s="4"/>
      <c r="X621" s="4"/>
      <c r="Y621" s="4"/>
      <c r="Z621" s="4"/>
      <c r="AA621" s="4"/>
    </row>
    <row r="622" spans="1:27" ht="12.75" x14ac:dyDescent="0.2">
      <c r="A622" s="16"/>
      <c r="B622" s="6"/>
      <c r="C622" s="6"/>
      <c r="D622" s="6"/>
      <c r="E622" s="4"/>
      <c r="F622" s="6"/>
      <c r="G622" s="6"/>
      <c r="H622" s="6"/>
      <c r="I622" s="6"/>
      <c r="J622" s="6"/>
      <c r="K622" s="6"/>
      <c r="L622" s="6"/>
      <c r="M622" s="6"/>
      <c r="N622" s="6"/>
      <c r="O622" s="16"/>
      <c r="P622" s="6"/>
      <c r="Q622" s="4"/>
      <c r="R622" s="4"/>
      <c r="S622" s="4"/>
      <c r="T622" s="4"/>
      <c r="U622" s="4"/>
      <c r="V622" s="4"/>
      <c r="W622" s="4"/>
      <c r="X622" s="4"/>
      <c r="Y622" s="4"/>
      <c r="Z622" s="4"/>
      <c r="AA622" s="4"/>
    </row>
    <row r="623" spans="1:27" ht="12.75" x14ac:dyDescent="0.2">
      <c r="A623" s="16"/>
      <c r="B623" s="6"/>
      <c r="C623" s="6"/>
      <c r="D623" s="6"/>
      <c r="E623" s="4"/>
      <c r="F623" s="6"/>
      <c r="G623" s="6"/>
      <c r="H623" s="6"/>
      <c r="I623" s="6"/>
      <c r="J623" s="6"/>
      <c r="K623" s="6"/>
      <c r="L623" s="6"/>
      <c r="M623" s="6"/>
      <c r="N623" s="6"/>
      <c r="O623" s="16"/>
      <c r="P623" s="6"/>
      <c r="Q623" s="4"/>
      <c r="R623" s="4"/>
      <c r="S623" s="4"/>
      <c r="T623" s="4"/>
      <c r="U623" s="4"/>
      <c r="V623" s="4"/>
      <c r="W623" s="4"/>
      <c r="X623" s="4"/>
      <c r="Y623" s="4"/>
      <c r="Z623" s="4"/>
      <c r="AA623" s="4"/>
    </row>
    <row r="624" spans="1:27" ht="12.75" x14ac:dyDescent="0.2">
      <c r="A624" s="16"/>
      <c r="B624" s="6"/>
      <c r="C624" s="6"/>
      <c r="D624" s="6"/>
      <c r="E624" s="4"/>
      <c r="F624" s="6"/>
      <c r="G624" s="6"/>
      <c r="H624" s="6"/>
      <c r="I624" s="6"/>
      <c r="J624" s="6"/>
      <c r="K624" s="6"/>
      <c r="L624" s="6"/>
      <c r="M624" s="6"/>
      <c r="N624" s="6"/>
      <c r="O624" s="16"/>
      <c r="P624" s="6"/>
      <c r="Q624" s="4"/>
      <c r="R624" s="4"/>
      <c r="S624" s="4"/>
      <c r="T624" s="4"/>
      <c r="U624" s="4"/>
      <c r="V624" s="4"/>
      <c r="W624" s="4"/>
      <c r="X624" s="4"/>
      <c r="Y624" s="4"/>
      <c r="Z624" s="4"/>
      <c r="AA624" s="4"/>
    </row>
    <row r="625" spans="1:27" ht="12.75" x14ac:dyDescent="0.2">
      <c r="A625" s="16"/>
      <c r="B625" s="6"/>
      <c r="C625" s="6"/>
      <c r="D625" s="6"/>
      <c r="E625" s="4"/>
      <c r="F625" s="6"/>
      <c r="G625" s="6"/>
      <c r="H625" s="6"/>
      <c r="I625" s="6"/>
      <c r="J625" s="6"/>
      <c r="K625" s="6"/>
      <c r="L625" s="6"/>
      <c r="M625" s="6"/>
      <c r="N625" s="6"/>
      <c r="O625" s="16"/>
      <c r="P625" s="6"/>
      <c r="Q625" s="4"/>
      <c r="R625" s="4"/>
      <c r="S625" s="4"/>
      <c r="T625" s="4"/>
      <c r="U625" s="4"/>
      <c r="V625" s="4"/>
      <c r="W625" s="4"/>
      <c r="X625" s="4"/>
      <c r="Y625" s="4"/>
      <c r="Z625" s="4"/>
      <c r="AA625" s="4"/>
    </row>
    <row r="626" spans="1:27" ht="12.75" x14ac:dyDescent="0.2">
      <c r="A626" s="16"/>
      <c r="B626" s="6"/>
      <c r="C626" s="6"/>
      <c r="D626" s="6"/>
      <c r="E626" s="4"/>
      <c r="F626" s="6"/>
      <c r="G626" s="6"/>
      <c r="H626" s="6"/>
      <c r="I626" s="6"/>
      <c r="J626" s="6"/>
      <c r="K626" s="6"/>
      <c r="L626" s="6"/>
      <c r="M626" s="6"/>
      <c r="N626" s="6"/>
      <c r="O626" s="16"/>
      <c r="P626" s="6"/>
      <c r="Q626" s="4"/>
      <c r="R626" s="4"/>
      <c r="S626" s="4"/>
      <c r="T626" s="4"/>
      <c r="U626" s="4"/>
      <c r="V626" s="4"/>
      <c r="W626" s="4"/>
      <c r="X626" s="4"/>
      <c r="Y626" s="4"/>
      <c r="Z626" s="4"/>
      <c r="AA626" s="4"/>
    </row>
    <row r="627" spans="1:27" ht="12.75" x14ac:dyDescent="0.2">
      <c r="A627" s="16"/>
      <c r="B627" s="6"/>
      <c r="C627" s="6"/>
      <c r="D627" s="6"/>
      <c r="E627" s="4"/>
      <c r="F627" s="6"/>
      <c r="G627" s="6"/>
      <c r="H627" s="6"/>
      <c r="I627" s="6"/>
      <c r="J627" s="6"/>
      <c r="K627" s="6"/>
      <c r="L627" s="6"/>
      <c r="M627" s="6"/>
      <c r="N627" s="6"/>
      <c r="O627" s="16"/>
      <c r="P627" s="6"/>
      <c r="Q627" s="4"/>
      <c r="R627" s="4"/>
      <c r="S627" s="4"/>
      <c r="T627" s="4"/>
      <c r="U627" s="4"/>
      <c r="V627" s="4"/>
      <c r="W627" s="4"/>
      <c r="X627" s="4"/>
      <c r="Y627" s="4"/>
      <c r="Z627" s="4"/>
      <c r="AA627" s="4"/>
    </row>
    <row r="628" spans="1:27" ht="12.75" x14ac:dyDescent="0.2">
      <c r="A628" s="16"/>
      <c r="B628" s="6"/>
      <c r="C628" s="6"/>
      <c r="D628" s="6"/>
      <c r="E628" s="4"/>
      <c r="F628" s="6"/>
      <c r="G628" s="6"/>
      <c r="H628" s="6"/>
      <c r="I628" s="6"/>
      <c r="J628" s="6"/>
      <c r="K628" s="6"/>
      <c r="L628" s="6"/>
      <c r="M628" s="6"/>
      <c r="N628" s="6"/>
      <c r="O628" s="16"/>
      <c r="P628" s="6"/>
      <c r="Q628" s="4"/>
      <c r="R628" s="4"/>
      <c r="S628" s="4"/>
      <c r="T628" s="4"/>
      <c r="U628" s="4"/>
      <c r="V628" s="4"/>
      <c r="W628" s="4"/>
      <c r="X628" s="4"/>
      <c r="Y628" s="4"/>
      <c r="Z628" s="4"/>
      <c r="AA628" s="4"/>
    </row>
    <row r="629" spans="1:27" ht="12.75" x14ac:dyDescent="0.2">
      <c r="A629" s="16"/>
      <c r="B629" s="6"/>
      <c r="C629" s="6"/>
      <c r="D629" s="6"/>
      <c r="E629" s="4"/>
      <c r="F629" s="6"/>
      <c r="G629" s="6"/>
      <c r="H629" s="6"/>
      <c r="I629" s="6"/>
      <c r="J629" s="6"/>
      <c r="K629" s="6"/>
      <c r="L629" s="6"/>
      <c r="M629" s="6"/>
      <c r="N629" s="6"/>
      <c r="O629" s="16"/>
      <c r="P629" s="6"/>
      <c r="Q629" s="4"/>
      <c r="R629" s="4"/>
      <c r="S629" s="4"/>
      <c r="T629" s="4"/>
      <c r="U629" s="4"/>
      <c r="V629" s="4"/>
      <c r="W629" s="4"/>
      <c r="X629" s="4"/>
      <c r="Y629" s="4"/>
      <c r="Z629" s="4"/>
      <c r="AA629" s="4"/>
    </row>
    <row r="630" spans="1:27" ht="12.75" x14ac:dyDescent="0.2">
      <c r="A630" s="16"/>
      <c r="B630" s="6"/>
      <c r="C630" s="6"/>
      <c r="D630" s="6"/>
      <c r="E630" s="4"/>
      <c r="F630" s="6"/>
      <c r="G630" s="6"/>
      <c r="H630" s="6"/>
      <c r="I630" s="6"/>
      <c r="J630" s="6"/>
      <c r="K630" s="6"/>
      <c r="L630" s="6"/>
      <c r="M630" s="6"/>
      <c r="N630" s="6"/>
      <c r="O630" s="16"/>
      <c r="P630" s="6"/>
      <c r="Q630" s="4"/>
      <c r="R630" s="4"/>
      <c r="S630" s="4"/>
      <c r="T630" s="4"/>
      <c r="U630" s="4"/>
      <c r="V630" s="4"/>
      <c r="W630" s="4"/>
      <c r="X630" s="4"/>
      <c r="Y630" s="4"/>
      <c r="Z630" s="4"/>
      <c r="AA630" s="4"/>
    </row>
    <row r="631" spans="1:27" ht="12.75" x14ac:dyDescent="0.2">
      <c r="A631" s="16"/>
      <c r="B631" s="6"/>
      <c r="C631" s="6"/>
      <c r="D631" s="6"/>
      <c r="E631" s="4"/>
      <c r="F631" s="6"/>
      <c r="G631" s="6"/>
      <c r="H631" s="6"/>
      <c r="I631" s="6"/>
      <c r="J631" s="6"/>
      <c r="K631" s="6"/>
      <c r="L631" s="6"/>
      <c r="M631" s="6"/>
      <c r="N631" s="6"/>
      <c r="O631" s="16"/>
      <c r="P631" s="6"/>
      <c r="Q631" s="4"/>
      <c r="R631" s="4"/>
      <c r="S631" s="4"/>
      <c r="T631" s="4"/>
      <c r="U631" s="4"/>
      <c r="V631" s="4"/>
      <c r="W631" s="4"/>
      <c r="X631" s="4"/>
      <c r="Y631" s="4"/>
      <c r="Z631" s="4"/>
      <c r="AA631" s="4"/>
    </row>
    <row r="632" spans="1:27" ht="12.75" x14ac:dyDescent="0.2">
      <c r="A632" s="16"/>
      <c r="B632" s="6"/>
      <c r="C632" s="6"/>
      <c r="D632" s="6"/>
      <c r="E632" s="4"/>
      <c r="F632" s="6"/>
      <c r="G632" s="6"/>
      <c r="H632" s="6"/>
      <c r="I632" s="6"/>
      <c r="J632" s="6"/>
      <c r="K632" s="6"/>
      <c r="L632" s="6"/>
      <c r="M632" s="6"/>
      <c r="N632" s="6"/>
      <c r="O632" s="16"/>
      <c r="P632" s="6"/>
      <c r="Q632" s="4"/>
      <c r="R632" s="4"/>
      <c r="S632" s="4"/>
      <c r="T632" s="4"/>
      <c r="U632" s="4"/>
      <c r="V632" s="4"/>
      <c r="W632" s="4"/>
      <c r="X632" s="4"/>
      <c r="Y632" s="4"/>
      <c r="Z632" s="4"/>
      <c r="AA632" s="4"/>
    </row>
    <row r="633" spans="1:27" ht="12.75" x14ac:dyDescent="0.2">
      <c r="A633" s="16"/>
      <c r="B633" s="6"/>
      <c r="C633" s="6"/>
      <c r="D633" s="6"/>
      <c r="E633" s="4"/>
      <c r="F633" s="6"/>
      <c r="G633" s="6"/>
      <c r="H633" s="6"/>
      <c r="I633" s="6"/>
      <c r="J633" s="6"/>
      <c r="K633" s="6"/>
      <c r="L633" s="6"/>
      <c r="M633" s="6"/>
      <c r="N633" s="6"/>
      <c r="O633" s="16"/>
      <c r="P633" s="6"/>
      <c r="Q633" s="4"/>
      <c r="R633" s="4"/>
      <c r="S633" s="4"/>
      <c r="T633" s="4"/>
      <c r="U633" s="4"/>
      <c r="V633" s="4"/>
      <c r="W633" s="4"/>
      <c r="X633" s="4"/>
      <c r="Y633" s="4"/>
      <c r="Z633" s="4"/>
      <c r="AA633" s="4"/>
    </row>
    <row r="634" spans="1:27" ht="12.75" x14ac:dyDescent="0.2">
      <c r="A634" s="16"/>
      <c r="B634" s="6"/>
      <c r="C634" s="6"/>
      <c r="D634" s="6"/>
      <c r="E634" s="4"/>
      <c r="F634" s="6"/>
      <c r="G634" s="6"/>
      <c r="H634" s="6"/>
      <c r="I634" s="6"/>
      <c r="J634" s="6"/>
      <c r="K634" s="6"/>
      <c r="L634" s="6"/>
      <c r="M634" s="6"/>
      <c r="N634" s="6"/>
      <c r="O634" s="16"/>
      <c r="P634" s="6"/>
      <c r="Q634" s="4"/>
      <c r="R634" s="4"/>
      <c r="S634" s="4"/>
      <c r="T634" s="4"/>
      <c r="U634" s="4"/>
      <c r="V634" s="4"/>
      <c r="W634" s="4"/>
      <c r="X634" s="4"/>
      <c r="Y634" s="4"/>
      <c r="Z634" s="4"/>
      <c r="AA634" s="4"/>
    </row>
    <row r="635" spans="1:27" ht="12.75" x14ac:dyDescent="0.2">
      <c r="A635" s="16"/>
      <c r="B635" s="6"/>
      <c r="C635" s="6"/>
      <c r="D635" s="6"/>
      <c r="E635" s="4"/>
      <c r="F635" s="6"/>
      <c r="G635" s="6"/>
      <c r="H635" s="6"/>
      <c r="I635" s="6"/>
      <c r="J635" s="6"/>
      <c r="K635" s="6"/>
      <c r="L635" s="6"/>
      <c r="M635" s="6"/>
      <c r="N635" s="6"/>
      <c r="O635" s="16"/>
      <c r="P635" s="6"/>
      <c r="Q635" s="4"/>
      <c r="R635" s="4"/>
      <c r="S635" s="4"/>
      <c r="T635" s="4"/>
      <c r="U635" s="4"/>
      <c r="V635" s="4"/>
      <c r="W635" s="4"/>
      <c r="X635" s="4"/>
      <c r="Y635" s="4"/>
      <c r="Z635" s="4"/>
      <c r="AA635" s="4"/>
    </row>
    <row r="636" spans="1:27" ht="12.75" x14ac:dyDescent="0.2">
      <c r="A636" s="16"/>
      <c r="B636" s="6"/>
      <c r="C636" s="6"/>
      <c r="D636" s="6"/>
      <c r="E636" s="4"/>
      <c r="F636" s="6"/>
      <c r="G636" s="6"/>
      <c r="H636" s="6"/>
      <c r="I636" s="6"/>
      <c r="J636" s="6"/>
      <c r="K636" s="6"/>
      <c r="L636" s="6"/>
      <c r="M636" s="6"/>
      <c r="N636" s="6"/>
      <c r="O636" s="16"/>
      <c r="P636" s="6"/>
      <c r="Q636" s="4"/>
      <c r="R636" s="4"/>
      <c r="S636" s="4"/>
      <c r="T636" s="4"/>
      <c r="U636" s="4"/>
      <c r="V636" s="4"/>
      <c r="W636" s="4"/>
      <c r="X636" s="4"/>
      <c r="Y636" s="4"/>
      <c r="Z636" s="4"/>
      <c r="AA636" s="4"/>
    </row>
    <row r="637" spans="1:27" ht="12.75" x14ac:dyDescent="0.2">
      <c r="A637" s="16"/>
      <c r="B637" s="6"/>
      <c r="C637" s="6"/>
      <c r="D637" s="6"/>
      <c r="E637" s="4"/>
      <c r="F637" s="6"/>
      <c r="G637" s="6"/>
      <c r="H637" s="6"/>
      <c r="I637" s="6"/>
      <c r="J637" s="6"/>
      <c r="K637" s="6"/>
      <c r="L637" s="6"/>
      <c r="M637" s="6"/>
      <c r="N637" s="6"/>
      <c r="O637" s="16"/>
      <c r="P637" s="6"/>
      <c r="Q637" s="4"/>
      <c r="R637" s="4"/>
      <c r="S637" s="4"/>
      <c r="T637" s="4"/>
      <c r="U637" s="4"/>
      <c r="V637" s="4"/>
      <c r="W637" s="4"/>
      <c r="X637" s="4"/>
      <c r="Y637" s="4"/>
      <c r="Z637" s="4"/>
      <c r="AA637" s="4"/>
    </row>
    <row r="638" spans="1:27" ht="12.75" x14ac:dyDescent="0.2">
      <c r="A638" s="16"/>
      <c r="B638" s="6"/>
      <c r="C638" s="6"/>
      <c r="D638" s="6"/>
      <c r="E638" s="4"/>
      <c r="F638" s="6"/>
      <c r="G638" s="6"/>
      <c r="H638" s="6"/>
      <c r="I638" s="6"/>
      <c r="J638" s="6"/>
      <c r="K638" s="6"/>
      <c r="L638" s="6"/>
      <c r="M638" s="6"/>
      <c r="N638" s="6"/>
      <c r="O638" s="16"/>
      <c r="P638" s="6"/>
      <c r="Q638" s="4"/>
      <c r="R638" s="4"/>
      <c r="S638" s="4"/>
      <c r="T638" s="4"/>
      <c r="U638" s="4"/>
      <c r="V638" s="4"/>
      <c r="W638" s="4"/>
      <c r="X638" s="4"/>
      <c r="Y638" s="4"/>
      <c r="Z638" s="4"/>
      <c r="AA638" s="4"/>
    </row>
    <row r="639" spans="1:27" ht="12.75" x14ac:dyDescent="0.2">
      <c r="A639" s="16"/>
      <c r="B639" s="6"/>
      <c r="C639" s="6"/>
      <c r="D639" s="6"/>
      <c r="E639" s="4"/>
      <c r="F639" s="6"/>
      <c r="G639" s="6"/>
      <c r="H639" s="6"/>
      <c r="I639" s="6"/>
      <c r="J639" s="6"/>
      <c r="K639" s="6"/>
      <c r="L639" s="6"/>
      <c r="M639" s="6"/>
      <c r="N639" s="6"/>
      <c r="O639" s="16"/>
      <c r="P639" s="6"/>
      <c r="Q639" s="4"/>
      <c r="R639" s="4"/>
      <c r="S639" s="4"/>
      <c r="T639" s="4"/>
      <c r="U639" s="4"/>
      <c r="V639" s="4"/>
      <c r="W639" s="4"/>
      <c r="X639" s="4"/>
      <c r="Y639" s="4"/>
      <c r="Z639" s="4"/>
      <c r="AA639" s="4"/>
    </row>
    <row r="640" spans="1:27" ht="12.75" x14ac:dyDescent="0.2">
      <c r="A640" s="16"/>
      <c r="B640" s="6"/>
      <c r="C640" s="6"/>
      <c r="D640" s="6"/>
      <c r="E640" s="4"/>
      <c r="F640" s="6"/>
      <c r="G640" s="6"/>
      <c r="H640" s="6"/>
      <c r="I640" s="6"/>
      <c r="J640" s="6"/>
      <c r="K640" s="6"/>
      <c r="L640" s="6"/>
      <c r="M640" s="6"/>
      <c r="N640" s="6"/>
      <c r="O640" s="16"/>
      <c r="P640" s="6"/>
      <c r="Q640" s="4"/>
      <c r="R640" s="4"/>
      <c r="S640" s="4"/>
      <c r="T640" s="4"/>
      <c r="U640" s="4"/>
      <c r="V640" s="4"/>
      <c r="W640" s="4"/>
      <c r="X640" s="4"/>
      <c r="Y640" s="4"/>
      <c r="Z640" s="4"/>
      <c r="AA640" s="4"/>
    </row>
    <row r="641" spans="1:27" ht="12.75" x14ac:dyDescent="0.2">
      <c r="A641" s="16"/>
      <c r="B641" s="6"/>
      <c r="C641" s="6"/>
      <c r="D641" s="6"/>
      <c r="E641" s="4"/>
      <c r="F641" s="6"/>
      <c r="G641" s="6"/>
      <c r="H641" s="6"/>
      <c r="I641" s="6"/>
      <c r="J641" s="6"/>
      <c r="K641" s="6"/>
      <c r="L641" s="6"/>
      <c r="M641" s="6"/>
      <c r="N641" s="6"/>
      <c r="O641" s="16"/>
      <c r="P641" s="6"/>
      <c r="Q641" s="4"/>
      <c r="R641" s="4"/>
      <c r="S641" s="4"/>
      <c r="T641" s="4"/>
      <c r="U641" s="4"/>
      <c r="V641" s="4"/>
      <c r="W641" s="4"/>
      <c r="X641" s="4"/>
      <c r="Y641" s="4"/>
      <c r="Z641" s="4"/>
      <c r="AA641" s="4"/>
    </row>
    <row r="642" spans="1:27" ht="12.75" x14ac:dyDescent="0.2">
      <c r="A642" s="16"/>
      <c r="B642" s="6"/>
      <c r="C642" s="6"/>
      <c r="D642" s="6"/>
      <c r="E642" s="4"/>
      <c r="F642" s="6"/>
      <c r="G642" s="6"/>
      <c r="H642" s="6"/>
      <c r="I642" s="6"/>
      <c r="J642" s="6"/>
      <c r="K642" s="6"/>
      <c r="L642" s="6"/>
      <c r="M642" s="6"/>
      <c r="N642" s="6"/>
      <c r="O642" s="16"/>
      <c r="P642" s="6"/>
      <c r="Q642" s="4"/>
      <c r="R642" s="4"/>
      <c r="S642" s="4"/>
      <c r="T642" s="4"/>
      <c r="U642" s="4"/>
      <c r="V642" s="4"/>
      <c r="W642" s="4"/>
      <c r="X642" s="4"/>
      <c r="Y642" s="4"/>
      <c r="Z642" s="4"/>
      <c r="AA642" s="4"/>
    </row>
    <row r="643" spans="1:27" ht="12.75" x14ac:dyDescent="0.2">
      <c r="A643" s="16"/>
      <c r="B643" s="6"/>
      <c r="C643" s="6"/>
      <c r="D643" s="6"/>
      <c r="E643" s="4"/>
      <c r="F643" s="6"/>
      <c r="G643" s="6"/>
      <c r="H643" s="6"/>
      <c r="I643" s="6"/>
      <c r="J643" s="6"/>
      <c r="K643" s="6"/>
      <c r="L643" s="6"/>
      <c r="M643" s="6"/>
      <c r="N643" s="6"/>
      <c r="O643" s="16"/>
      <c r="P643" s="6"/>
      <c r="Q643" s="4"/>
      <c r="R643" s="4"/>
      <c r="S643" s="4"/>
      <c r="T643" s="4"/>
      <c r="U643" s="4"/>
      <c r="V643" s="4"/>
      <c r="W643" s="4"/>
      <c r="X643" s="4"/>
      <c r="Y643" s="4"/>
      <c r="Z643" s="4"/>
      <c r="AA643" s="4"/>
    </row>
    <row r="644" spans="1:27" ht="12.75" x14ac:dyDescent="0.2">
      <c r="A644" s="16"/>
      <c r="B644" s="6"/>
      <c r="C644" s="6"/>
      <c r="D644" s="6"/>
      <c r="E644" s="4"/>
      <c r="F644" s="6"/>
      <c r="G644" s="6"/>
      <c r="H644" s="6"/>
      <c r="I644" s="6"/>
      <c r="J644" s="6"/>
      <c r="K644" s="6"/>
      <c r="L644" s="6"/>
      <c r="M644" s="6"/>
      <c r="N644" s="6"/>
      <c r="O644" s="16"/>
      <c r="P644" s="6"/>
      <c r="Q644" s="4"/>
      <c r="R644" s="4"/>
      <c r="S644" s="4"/>
      <c r="T644" s="4"/>
      <c r="U644" s="4"/>
      <c r="V644" s="4"/>
      <c r="W644" s="4"/>
      <c r="X644" s="4"/>
      <c r="Y644" s="4"/>
      <c r="Z644" s="4"/>
      <c r="AA644" s="4"/>
    </row>
    <row r="645" spans="1:27" ht="12.75" x14ac:dyDescent="0.2">
      <c r="A645" s="16"/>
      <c r="B645" s="6"/>
      <c r="C645" s="6"/>
      <c r="D645" s="6"/>
      <c r="E645" s="4"/>
      <c r="F645" s="6"/>
      <c r="G645" s="6"/>
      <c r="H645" s="6"/>
      <c r="I645" s="6"/>
      <c r="J645" s="6"/>
      <c r="K645" s="6"/>
      <c r="L645" s="6"/>
      <c r="M645" s="6"/>
      <c r="N645" s="6"/>
      <c r="O645" s="16"/>
      <c r="P645" s="6"/>
      <c r="Q645" s="4"/>
      <c r="R645" s="4"/>
      <c r="S645" s="4"/>
      <c r="T645" s="4"/>
      <c r="U645" s="4"/>
      <c r="V645" s="4"/>
      <c r="W645" s="4"/>
      <c r="X645" s="4"/>
      <c r="Y645" s="4"/>
      <c r="Z645" s="4"/>
      <c r="AA645" s="4"/>
    </row>
    <row r="646" spans="1:27" ht="12.75" x14ac:dyDescent="0.2">
      <c r="A646" s="16"/>
      <c r="B646" s="6"/>
      <c r="C646" s="6"/>
      <c r="D646" s="6"/>
      <c r="E646" s="4"/>
      <c r="F646" s="6"/>
      <c r="G646" s="6"/>
      <c r="H646" s="6"/>
      <c r="I646" s="6"/>
      <c r="J646" s="6"/>
      <c r="K646" s="6"/>
      <c r="L646" s="6"/>
      <c r="M646" s="6"/>
      <c r="N646" s="6"/>
      <c r="O646" s="16"/>
      <c r="P646" s="6"/>
      <c r="Q646" s="4"/>
      <c r="R646" s="4"/>
      <c r="S646" s="4"/>
      <c r="T646" s="4"/>
      <c r="U646" s="4"/>
      <c r="V646" s="4"/>
      <c r="W646" s="4"/>
      <c r="X646" s="4"/>
      <c r="Y646" s="4"/>
      <c r="Z646" s="4"/>
      <c r="AA646" s="4"/>
    </row>
    <row r="647" spans="1:27" ht="12.75" x14ac:dyDescent="0.2">
      <c r="A647" s="16"/>
      <c r="B647" s="6"/>
      <c r="C647" s="6"/>
      <c r="D647" s="6"/>
      <c r="E647" s="4"/>
      <c r="F647" s="6"/>
      <c r="G647" s="6"/>
      <c r="H647" s="6"/>
      <c r="I647" s="6"/>
      <c r="J647" s="6"/>
      <c r="K647" s="6"/>
      <c r="L647" s="6"/>
      <c r="M647" s="6"/>
      <c r="N647" s="6"/>
      <c r="O647" s="16"/>
      <c r="P647" s="6"/>
      <c r="Q647" s="4"/>
      <c r="R647" s="4"/>
      <c r="S647" s="4"/>
      <c r="T647" s="4"/>
      <c r="U647" s="4"/>
      <c r="V647" s="4"/>
      <c r="W647" s="4"/>
      <c r="X647" s="4"/>
      <c r="Y647" s="4"/>
      <c r="Z647" s="4"/>
      <c r="AA647" s="4"/>
    </row>
    <row r="648" spans="1:27" ht="12.75" x14ac:dyDescent="0.2">
      <c r="A648" s="16"/>
      <c r="B648" s="6"/>
      <c r="C648" s="6"/>
      <c r="D648" s="6"/>
      <c r="E648" s="4"/>
      <c r="F648" s="6"/>
      <c r="G648" s="6"/>
      <c r="H648" s="6"/>
      <c r="I648" s="6"/>
      <c r="J648" s="6"/>
      <c r="K648" s="6"/>
      <c r="L648" s="6"/>
      <c r="M648" s="6"/>
      <c r="N648" s="6"/>
      <c r="O648" s="16"/>
      <c r="P648" s="6"/>
      <c r="Q648" s="4"/>
      <c r="R648" s="4"/>
      <c r="S648" s="4"/>
      <c r="T648" s="4"/>
      <c r="U648" s="4"/>
      <c r="V648" s="4"/>
      <c r="W648" s="4"/>
      <c r="X648" s="4"/>
      <c r="Y648" s="4"/>
      <c r="Z648" s="4"/>
      <c r="AA648" s="4"/>
    </row>
    <row r="649" spans="1:27" ht="12.75" x14ac:dyDescent="0.2">
      <c r="A649" s="16"/>
      <c r="B649" s="6"/>
      <c r="C649" s="6"/>
      <c r="D649" s="6"/>
      <c r="E649" s="4"/>
      <c r="F649" s="6"/>
      <c r="G649" s="6"/>
      <c r="H649" s="6"/>
      <c r="I649" s="6"/>
      <c r="J649" s="6"/>
      <c r="K649" s="6"/>
      <c r="L649" s="6"/>
      <c r="M649" s="6"/>
      <c r="N649" s="6"/>
      <c r="O649" s="16"/>
      <c r="P649" s="6"/>
      <c r="Q649" s="4"/>
      <c r="R649" s="4"/>
      <c r="S649" s="4"/>
      <c r="T649" s="4"/>
      <c r="U649" s="4"/>
      <c r="V649" s="4"/>
      <c r="W649" s="4"/>
      <c r="X649" s="4"/>
      <c r="Y649" s="4"/>
      <c r="Z649" s="4"/>
      <c r="AA649" s="4"/>
    </row>
    <row r="650" spans="1:27" ht="12.75" x14ac:dyDescent="0.2">
      <c r="A650" s="16"/>
      <c r="B650" s="6"/>
      <c r="C650" s="6"/>
      <c r="D650" s="6"/>
      <c r="E650" s="4"/>
      <c r="F650" s="6"/>
      <c r="G650" s="6"/>
      <c r="H650" s="6"/>
      <c r="I650" s="6"/>
      <c r="J650" s="6"/>
      <c r="K650" s="6"/>
      <c r="L650" s="6"/>
      <c r="M650" s="6"/>
      <c r="N650" s="6"/>
      <c r="O650" s="16"/>
      <c r="P650" s="6"/>
      <c r="Q650" s="4"/>
      <c r="R650" s="4"/>
      <c r="S650" s="4"/>
      <c r="T650" s="4"/>
      <c r="U650" s="4"/>
      <c r="V650" s="4"/>
      <c r="W650" s="4"/>
      <c r="X650" s="4"/>
      <c r="Y650" s="4"/>
      <c r="Z650" s="4"/>
      <c r="AA650" s="4"/>
    </row>
    <row r="651" spans="1:27" ht="12.75" x14ac:dyDescent="0.2">
      <c r="A651" s="16"/>
      <c r="B651" s="6"/>
      <c r="C651" s="6"/>
      <c r="D651" s="6"/>
      <c r="E651" s="4"/>
      <c r="F651" s="6"/>
      <c r="G651" s="6"/>
      <c r="H651" s="6"/>
      <c r="I651" s="6"/>
      <c r="J651" s="6"/>
      <c r="K651" s="6"/>
      <c r="L651" s="6"/>
      <c r="M651" s="6"/>
      <c r="N651" s="6"/>
      <c r="O651" s="16"/>
      <c r="P651" s="6"/>
      <c r="Q651" s="4"/>
      <c r="R651" s="4"/>
      <c r="S651" s="4"/>
      <c r="T651" s="4"/>
      <c r="U651" s="4"/>
      <c r="V651" s="4"/>
      <c r="W651" s="4"/>
      <c r="X651" s="4"/>
      <c r="Y651" s="4"/>
      <c r="Z651" s="4"/>
      <c r="AA651" s="4"/>
    </row>
    <row r="652" spans="1:27" ht="12.75" x14ac:dyDescent="0.2">
      <c r="A652" s="16"/>
      <c r="B652" s="6"/>
      <c r="C652" s="6"/>
      <c r="D652" s="6"/>
      <c r="E652" s="4"/>
      <c r="F652" s="6"/>
      <c r="G652" s="6"/>
      <c r="H652" s="6"/>
      <c r="I652" s="6"/>
      <c r="J652" s="6"/>
      <c r="K652" s="6"/>
      <c r="L652" s="6"/>
      <c r="M652" s="6"/>
      <c r="N652" s="6"/>
      <c r="O652" s="16"/>
      <c r="P652" s="6"/>
      <c r="Q652" s="4"/>
      <c r="R652" s="4"/>
      <c r="S652" s="4"/>
      <c r="T652" s="4"/>
      <c r="U652" s="4"/>
      <c r="V652" s="4"/>
      <c r="W652" s="4"/>
      <c r="X652" s="4"/>
      <c r="Y652" s="4"/>
      <c r="Z652" s="4"/>
      <c r="AA652" s="4"/>
    </row>
    <row r="653" spans="1:27" ht="12.75" x14ac:dyDescent="0.2">
      <c r="A653" s="16"/>
      <c r="B653" s="6"/>
      <c r="C653" s="6"/>
      <c r="D653" s="6"/>
      <c r="E653" s="4"/>
      <c r="F653" s="6"/>
      <c r="G653" s="6"/>
      <c r="H653" s="6"/>
      <c r="I653" s="6"/>
      <c r="J653" s="6"/>
      <c r="K653" s="6"/>
      <c r="L653" s="6"/>
      <c r="M653" s="6"/>
      <c r="N653" s="6"/>
      <c r="O653" s="16"/>
      <c r="P653" s="6"/>
      <c r="Q653" s="4"/>
      <c r="R653" s="4"/>
      <c r="S653" s="4"/>
      <c r="T653" s="4"/>
      <c r="U653" s="4"/>
      <c r="V653" s="4"/>
      <c r="W653" s="4"/>
      <c r="X653" s="4"/>
      <c r="Y653" s="4"/>
      <c r="Z653" s="4"/>
      <c r="AA653" s="4"/>
    </row>
    <row r="654" spans="1:27" ht="12.75" x14ac:dyDescent="0.2">
      <c r="A654" s="16"/>
      <c r="B654" s="6"/>
      <c r="C654" s="6"/>
      <c r="D654" s="6"/>
      <c r="E654" s="4"/>
      <c r="F654" s="6"/>
      <c r="G654" s="6"/>
      <c r="H654" s="6"/>
      <c r="I654" s="6"/>
      <c r="J654" s="6"/>
      <c r="K654" s="6"/>
      <c r="L654" s="6"/>
      <c r="M654" s="6"/>
      <c r="N654" s="6"/>
      <c r="O654" s="16"/>
      <c r="P654" s="6"/>
      <c r="Q654" s="4"/>
      <c r="R654" s="4"/>
      <c r="S654" s="4"/>
      <c r="T654" s="4"/>
      <c r="U654" s="4"/>
      <c r="V654" s="4"/>
      <c r="W654" s="4"/>
      <c r="X654" s="4"/>
      <c r="Y654" s="4"/>
      <c r="Z654" s="4"/>
      <c r="AA654" s="4"/>
    </row>
    <row r="655" spans="1:27" ht="12.75" x14ac:dyDescent="0.2">
      <c r="A655" s="16"/>
      <c r="B655" s="6"/>
      <c r="C655" s="6"/>
      <c r="D655" s="6"/>
      <c r="E655" s="4"/>
      <c r="F655" s="6"/>
      <c r="G655" s="6"/>
      <c r="H655" s="6"/>
      <c r="I655" s="6"/>
      <c r="J655" s="6"/>
      <c r="K655" s="6"/>
      <c r="L655" s="6"/>
      <c r="M655" s="6"/>
      <c r="N655" s="6"/>
      <c r="O655" s="16"/>
      <c r="P655" s="6"/>
      <c r="Q655" s="4"/>
      <c r="R655" s="4"/>
      <c r="S655" s="4"/>
      <c r="T655" s="4"/>
      <c r="U655" s="4"/>
      <c r="V655" s="4"/>
      <c r="W655" s="4"/>
      <c r="X655" s="4"/>
      <c r="Y655" s="4"/>
      <c r="Z655" s="4"/>
      <c r="AA655" s="4"/>
    </row>
    <row r="656" spans="1:27" ht="12.75" x14ac:dyDescent="0.2">
      <c r="A656" s="16"/>
      <c r="B656" s="6"/>
      <c r="C656" s="6"/>
      <c r="D656" s="6"/>
      <c r="E656" s="4"/>
      <c r="F656" s="6"/>
      <c r="G656" s="6"/>
      <c r="H656" s="6"/>
      <c r="I656" s="6"/>
      <c r="J656" s="6"/>
      <c r="K656" s="6"/>
      <c r="L656" s="6"/>
      <c r="M656" s="6"/>
      <c r="N656" s="6"/>
      <c r="O656" s="16"/>
      <c r="P656" s="6"/>
      <c r="Q656" s="4"/>
      <c r="R656" s="4"/>
      <c r="S656" s="4"/>
      <c r="T656" s="4"/>
      <c r="U656" s="4"/>
      <c r="V656" s="4"/>
      <c r="W656" s="4"/>
      <c r="X656" s="4"/>
      <c r="Y656" s="4"/>
      <c r="Z656" s="4"/>
      <c r="AA656" s="4"/>
    </row>
    <row r="657" spans="1:27" ht="12.75" x14ac:dyDescent="0.2">
      <c r="A657" s="16"/>
      <c r="B657" s="6"/>
      <c r="C657" s="6"/>
      <c r="D657" s="6"/>
      <c r="E657" s="4"/>
      <c r="F657" s="6"/>
      <c r="G657" s="6"/>
      <c r="H657" s="6"/>
      <c r="I657" s="6"/>
      <c r="J657" s="6"/>
      <c r="K657" s="6"/>
      <c r="L657" s="6"/>
      <c r="M657" s="6"/>
      <c r="N657" s="6"/>
      <c r="O657" s="16"/>
      <c r="P657" s="6"/>
      <c r="Q657" s="4"/>
      <c r="R657" s="4"/>
      <c r="S657" s="4"/>
      <c r="T657" s="4"/>
      <c r="U657" s="4"/>
      <c r="V657" s="4"/>
      <c r="W657" s="4"/>
      <c r="X657" s="4"/>
      <c r="Y657" s="4"/>
      <c r="Z657" s="4"/>
      <c r="AA657" s="4"/>
    </row>
    <row r="658" spans="1:27" ht="12.75" x14ac:dyDescent="0.2">
      <c r="A658" s="16"/>
      <c r="B658" s="6"/>
      <c r="C658" s="6"/>
      <c r="D658" s="6"/>
      <c r="E658" s="4"/>
      <c r="F658" s="6"/>
      <c r="G658" s="6"/>
      <c r="H658" s="6"/>
      <c r="I658" s="6"/>
      <c r="J658" s="6"/>
      <c r="K658" s="6"/>
      <c r="L658" s="6"/>
      <c r="M658" s="6"/>
      <c r="N658" s="6"/>
      <c r="O658" s="16"/>
      <c r="P658" s="6"/>
      <c r="Q658" s="4"/>
      <c r="R658" s="4"/>
      <c r="S658" s="4"/>
      <c r="T658" s="4"/>
      <c r="U658" s="4"/>
      <c r="V658" s="4"/>
      <c r="W658" s="4"/>
      <c r="X658" s="4"/>
      <c r="Y658" s="4"/>
      <c r="Z658" s="4"/>
      <c r="AA658" s="4"/>
    </row>
    <row r="659" spans="1:27" ht="12.75" x14ac:dyDescent="0.2">
      <c r="A659" s="16"/>
      <c r="B659" s="6"/>
      <c r="C659" s="6"/>
      <c r="D659" s="6"/>
      <c r="E659" s="4"/>
      <c r="F659" s="6"/>
      <c r="G659" s="6"/>
      <c r="H659" s="6"/>
      <c r="I659" s="6"/>
      <c r="J659" s="6"/>
      <c r="K659" s="6"/>
      <c r="L659" s="6"/>
      <c r="M659" s="6"/>
      <c r="N659" s="6"/>
      <c r="O659" s="16"/>
      <c r="P659" s="6"/>
      <c r="Q659" s="4"/>
      <c r="R659" s="4"/>
      <c r="S659" s="4"/>
      <c r="T659" s="4"/>
      <c r="U659" s="4"/>
      <c r="V659" s="4"/>
      <c r="W659" s="4"/>
      <c r="X659" s="4"/>
      <c r="Y659" s="4"/>
      <c r="Z659" s="4"/>
      <c r="AA659" s="4"/>
    </row>
    <row r="660" spans="1:27" ht="12.75" x14ac:dyDescent="0.2">
      <c r="A660" s="16"/>
      <c r="B660" s="6"/>
      <c r="C660" s="6"/>
      <c r="D660" s="6"/>
      <c r="E660" s="4"/>
      <c r="F660" s="6"/>
      <c r="G660" s="6"/>
      <c r="H660" s="6"/>
      <c r="I660" s="6"/>
      <c r="J660" s="6"/>
      <c r="K660" s="6"/>
      <c r="L660" s="6"/>
      <c r="M660" s="6"/>
      <c r="N660" s="6"/>
      <c r="O660" s="16"/>
      <c r="P660" s="6"/>
      <c r="Q660" s="4"/>
      <c r="R660" s="4"/>
      <c r="S660" s="4"/>
      <c r="T660" s="4"/>
      <c r="U660" s="4"/>
      <c r="V660" s="4"/>
      <c r="W660" s="4"/>
      <c r="X660" s="4"/>
      <c r="Y660" s="4"/>
      <c r="Z660" s="4"/>
      <c r="AA660" s="4"/>
    </row>
    <row r="661" spans="1:27" ht="12.75" x14ac:dyDescent="0.2">
      <c r="A661" s="16"/>
      <c r="B661" s="6"/>
      <c r="C661" s="6"/>
      <c r="D661" s="6"/>
      <c r="E661" s="4"/>
      <c r="F661" s="6"/>
      <c r="G661" s="6"/>
      <c r="H661" s="6"/>
      <c r="I661" s="6"/>
      <c r="J661" s="6"/>
      <c r="K661" s="6"/>
      <c r="L661" s="6"/>
      <c r="M661" s="6"/>
      <c r="N661" s="6"/>
      <c r="O661" s="16"/>
      <c r="P661" s="6"/>
      <c r="Q661" s="4"/>
      <c r="R661" s="4"/>
      <c r="S661" s="4"/>
      <c r="T661" s="4"/>
      <c r="U661" s="4"/>
      <c r="V661" s="4"/>
      <c r="W661" s="4"/>
      <c r="X661" s="4"/>
      <c r="Y661" s="4"/>
      <c r="Z661" s="4"/>
      <c r="AA661" s="4"/>
    </row>
    <row r="662" spans="1:27" ht="12.75" x14ac:dyDescent="0.2">
      <c r="A662" s="16"/>
      <c r="B662" s="6"/>
      <c r="C662" s="6"/>
      <c r="D662" s="6"/>
      <c r="E662" s="4"/>
      <c r="F662" s="6"/>
      <c r="G662" s="6"/>
      <c r="H662" s="6"/>
      <c r="I662" s="6"/>
      <c r="J662" s="6"/>
      <c r="K662" s="6"/>
      <c r="L662" s="6"/>
      <c r="M662" s="6"/>
      <c r="N662" s="6"/>
      <c r="O662" s="16"/>
      <c r="P662" s="6"/>
      <c r="Q662" s="4"/>
      <c r="R662" s="4"/>
      <c r="S662" s="4"/>
      <c r="T662" s="4"/>
      <c r="U662" s="4"/>
      <c r="V662" s="4"/>
      <c r="W662" s="4"/>
      <c r="X662" s="4"/>
      <c r="Y662" s="4"/>
      <c r="Z662" s="4"/>
      <c r="AA662" s="4"/>
    </row>
    <row r="663" spans="1:27" ht="12.75" x14ac:dyDescent="0.2">
      <c r="A663" s="16"/>
      <c r="B663" s="6"/>
      <c r="C663" s="6"/>
      <c r="D663" s="6"/>
      <c r="E663" s="4"/>
      <c r="F663" s="6"/>
      <c r="G663" s="6"/>
      <c r="H663" s="6"/>
      <c r="I663" s="6"/>
      <c r="J663" s="6"/>
      <c r="K663" s="6"/>
      <c r="L663" s="6"/>
      <c r="M663" s="6"/>
      <c r="N663" s="6"/>
      <c r="O663" s="16"/>
      <c r="P663" s="6"/>
      <c r="Q663" s="4"/>
      <c r="R663" s="4"/>
      <c r="S663" s="4"/>
      <c r="T663" s="4"/>
      <c r="U663" s="4"/>
      <c r="V663" s="4"/>
      <c r="W663" s="4"/>
      <c r="X663" s="4"/>
      <c r="Y663" s="4"/>
      <c r="Z663" s="4"/>
      <c r="AA663" s="4"/>
    </row>
    <row r="664" spans="1:27" ht="12.75" x14ac:dyDescent="0.2">
      <c r="A664" s="16"/>
      <c r="B664" s="6"/>
      <c r="C664" s="6"/>
      <c r="D664" s="6"/>
      <c r="E664" s="4"/>
      <c r="F664" s="6"/>
      <c r="G664" s="6"/>
      <c r="H664" s="6"/>
      <c r="I664" s="6"/>
      <c r="J664" s="6"/>
      <c r="K664" s="6"/>
      <c r="L664" s="6"/>
      <c r="M664" s="6"/>
      <c r="N664" s="6"/>
      <c r="O664" s="16"/>
      <c r="P664" s="6"/>
      <c r="Q664" s="4"/>
      <c r="R664" s="4"/>
      <c r="S664" s="4"/>
      <c r="T664" s="4"/>
      <c r="U664" s="4"/>
      <c r="V664" s="4"/>
      <c r="W664" s="4"/>
      <c r="X664" s="4"/>
      <c r="Y664" s="4"/>
      <c r="Z664" s="4"/>
      <c r="AA664" s="4"/>
    </row>
    <row r="665" spans="1:27" ht="12.75" x14ac:dyDescent="0.2">
      <c r="A665" s="16"/>
      <c r="B665" s="6"/>
      <c r="C665" s="6"/>
      <c r="D665" s="6"/>
      <c r="E665" s="4"/>
      <c r="F665" s="6"/>
      <c r="G665" s="6"/>
      <c r="H665" s="6"/>
      <c r="I665" s="6"/>
      <c r="J665" s="6"/>
      <c r="K665" s="6"/>
      <c r="L665" s="6"/>
      <c r="M665" s="6"/>
      <c r="N665" s="6"/>
      <c r="O665" s="16"/>
      <c r="P665" s="6"/>
      <c r="Q665" s="4"/>
      <c r="R665" s="4"/>
      <c r="S665" s="4"/>
      <c r="T665" s="4"/>
      <c r="U665" s="4"/>
      <c r="V665" s="4"/>
      <c r="W665" s="4"/>
      <c r="X665" s="4"/>
      <c r="Y665" s="4"/>
      <c r="Z665" s="4"/>
      <c r="AA665" s="4"/>
    </row>
    <row r="666" spans="1:27" ht="12.75" x14ac:dyDescent="0.2">
      <c r="A666" s="16"/>
      <c r="B666" s="6"/>
      <c r="C666" s="6"/>
      <c r="D666" s="6"/>
      <c r="E666" s="4"/>
      <c r="F666" s="6"/>
      <c r="G666" s="6"/>
      <c r="H666" s="6"/>
      <c r="I666" s="6"/>
      <c r="J666" s="6"/>
      <c r="K666" s="6"/>
      <c r="L666" s="6"/>
      <c r="M666" s="6"/>
      <c r="N666" s="6"/>
      <c r="O666" s="16"/>
      <c r="P666" s="6"/>
      <c r="Q666" s="4"/>
      <c r="R666" s="4"/>
      <c r="S666" s="4"/>
      <c r="T666" s="4"/>
      <c r="U666" s="4"/>
      <c r="V666" s="4"/>
      <c r="W666" s="4"/>
      <c r="X666" s="4"/>
      <c r="Y666" s="4"/>
      <c r="Z666" s="4"/>
      <c r="AA666" s="4"/>
    </row>
    <row r="667" spans="1:27" ht="12.75" x14ac:dyDescent="0.2">
      <c r="A667" s="16"/>
      <c r="B667" s="6"/>
      <c r="C667" s="6"/>
      <c r="D667" s="6"/>
      <c r="E667" s="4"/>
      <c r="F667" s="6"/>
      <c r="G667" s="6"/>
      <c r="H667" s="6"/>
      <c r="I667" s="6"/>
      <c r="J667" s="6"/>
      <c r="K667" s="6"/>
      <c r="L667" s="6"/>
      <c r="M667" s="6"/>
      <c r="N667" s="6"/>
      <c r="O667" s="16"/>
      <c r="P667" s="6"/>
      <c r="Q667" s="4"/>
      <c r="R667" s="4"/>
      <c r="S667" s="4"/>
      <c r="T667" s="4"/>
      <c r="U667" s="4"/>
      <c r="V667" s="4"/>
      <c r="W667" s="4"/>
      <c r="X667" s="4"/>
      <c r="Y667" s="4"/>
      <c r="Z667" s="4"/>
      <c r="AA667" s="4"/>
    </row>
    <row r="668" spans="1:27" ht="12.75" x14ac:dyDescent="0.2">
      <c r="A668" s="16"/>
      <c r="B668" s="6"/>
      <c r="C668" s="6"/>
      <c r="D668" s="6"/>
      <c r="E668" s="4"/>
      <c r="F668" s="6"/>
      <c r="G668" s="6"/>
      <c r="H668" s="6"/>
      <c r="I668" s="6"/>
      <c r="J668" s="6"/>
      <c r="K668" s="6"/>
      <c r="L668" s="6"/>
      <c r="M668" s="6"/>
      <c r="N668" s="6"/>
      <c r="O668" s="16"/>
      <c r="P668" s="6"/>
      <c r="Q668" s="4"/>
      <c r="R668" s="4"/>
      <c r="S668" s="4"/>
      <c r="T668" s="4"/>
      <c r="U668" s="4"/>
      <c r="V668" s="4"/>
      <c r="W668" s="4"/>
      <c r="X668" s="4"/>
      <c r="Y668" s="4"/>
      <c r="Z668" s="4"/>
      <c r="AA668" s="4"/>
    </row>
    <row r="669" spans="1:27" ht="12.75" x14ac:dyDescent="0.2">
      <c r="A669" s="16"/>
      <c r="B669" s="6"/>
      <c r="C669" s="6"/>
      <c r="D669" s="6"/>
      <c r="E669" s="4"/>
      <c r="F669" s="6"/>
      <c r="G669" s="6"/>
      <c r="H669" s="6"/>
      <c r="I669" s="6"/>
      <c r="J669" s="6"/>
      <c r="K669" s="6"/>
      <c r="L669" s="6"/>
      <c r="M669" s="6"/>
      <c r="N669" s="6"/>
      <c r="O669" s="16"/>
      <c r="P669" s="6"/>
      <c r="Q669" s="4"/>
      <c r="R669" s="4"/>
      <c r="S669" s="4"/>
      <c r="T669" s="4"/>
      <c r="U669" s="4"/>
      <c r="V669" s="4"/>
      <c r="W669" s="4"/>
      <c r="X669" s="4"/>
      <c r="Y669" s="4"/>
      <c r="Z669" s="4"/>
      <c r="AA669" s="4"/>
    </row>
    <row r="670" spans="1:27" ht="12.75" x14ac:dyDescent="0.2">
      <c r="A670" s="16"/>
      <c r="B670" s="6"/>
      <c r="C670" s="6"/>
      <c r="D670" s="6"/>
      <c r="E670" s="4"/>
      <c r="F670" s="6"/>
      <c r="G670" s="6"/>
      <c r="H670" s="6"/>
      <c r="I670" s="6"/>
      <c r="J670" s="6"/>
      <c r="K670" s="6"/>
      <c r="L670" s="6"/>
      <c r="M670" s="6"/>
      <c r="N670" s="6"/>
      <c r="O670" s="16"/>
      <c r="P670" s="6"/>
      <c r="Q670" s="4"/>
      <c r="R670" s="4"/>
      <c r="S670" s="4"/>
      <c r="T670" s="4"/>
      <c r="U670" s="4"/>
      <c r="V670" s="4"/>
      <c r="W670" s="4"/>
      <c r="X670" s="4"/>
      <c r="Y670" s="4"/>
      <c r="Z670" s="4"/>
      <c r="AA670" s="4"/>
    </row>
    <row r="671" spans="1:27" ht="12.75" x14ac:dyDescent="0.2">
      <c r="A671" s="16"/>
      <c r="B671" s="6"/>
      <c r="C671" s="6"/>
      <c r="D671" s="6"/>
      <c r="E671" s="4"/>
      <c r="F671" s="6"/>
      <c r="G671" s="6"/>
      <c r="H671" s="6"/>
      <c r="I671" s="6"/>
      <c r="J671" s="6"/>
      <c r="K671" s="6"/>
      <c r="L671" s="6"/>
      <c r="M671" s="6"/>
      <c r="N671" s="6"/>
      <c r="O671" s="16"/>
      <c r="P671" s="6"/>
      <c r="Q671" s="4"/>
      <c r="R671" s="4"/>
      <c r="S671" s="4"/>
      <c r="T671" s="4"/>
      <c r="U671" s="4"/>
      <c r="V671" s="4"/>
      <c r="W671" s="4"/>
      <c r="X671" s="4"/>
      <c r="Y671" s="4"/>
      <c r="Z671" s="4"/>
      <c r="AA671" s="4"/>
    </row>
    <row r="672" spans="1:27" ht="12.75" x14ac:dyDescent="0.2">
      <c r="A672" s="16"/>
      <c r="B672" s="6"/>
      <c r="C672" s="6"/>
      <c r="D672" s="6"/>
      <c r="E672" s="4"/>
      <c r="F672" s="6"/>
      <c r="G672" s="6"/>
      <c r="H672" s="6"/>
      <c r="I672" s="6"/>
      <c r="J672" s="6"/>
      <c r="K672" s="6"/>
      <c r="L672" s="6"/>
      <c r="M672" s="6"/>
      <c r="N672" s="6"/>
      <c r="O672" s="16"/>
      <c r="P672" s="6"/>
      <c r="Q672" s="4"/>
      <c r="R672" s="4"/>
      <c r="S672" s="4"/>
      <c r="T672" s="4"/>
      <c r="U672" s="4"/>
      <c r="V672" s="4"/>
      <c r="W672" s="4"/>
      <c r="X672" s="4"/>
      <c r="Y672" s="4"/>
      <c r="Z672" s="4"/>
      <c r="AA672" s="4"/>
    </row>
    <row r="673" spans="1:27" ht="12.75" x14ac:dyDescent="0.2">
      <c r="A673" s="16"/>
      <c r="B673" s="6"/>
      <c r="C673" s="6"/>
      <c r="D673" s="6"/>
      <c r="E673" s="4"/>
      <c r="F673" s="6"/>
      <c r="G673" s="6"/>
      <c r="H673" s="6"/>
      <c r="I673" s="6"/>
      <c r="J673" s="6"/>
      <c r="K673" s="6"/>
      <c r="L673" s="6"/>
      <c r="M673" s="6"/>
      <c r="N673" s="6"/>
      <c r="O673" s="16"/>
      <c r="P673" s="6"/>
      <c r="Q673" s="4"/>
      <c r="R673" s="4"/>
      <c r="S673" s="4"/>
      <c r="T673" s="4"/>
      <c r="U673" s="4"/>
      <c r="V673" s="4"/>
      <c r="W673" s="4"/>
      <c r="X673" s="4"/>
      <c r="Y673" s="4"/>
      <c r="Z673" s="4"/>
      <c r="AA673" s="4"/>
    </row>
    <row r="674" spans="1:27" ht="12.75" x14ac:dyDescent="0.2">
      <c r="A674" s="16"/>
      <c r="B674" s="6"/>
      <c r="C674" s="6"/>
      <c r="D674" s="6"/>
      <c r="E674" s="4"/>
      <c r="F674" s="6"/>
      <c r="G674" s="6"/>
      <c r="H674" s="6"/>
      <c r="I674" s="6"/>
      <c r="J674" s="6"/>
      <c r="K674" s="6"/>
      <c r="L674" s="6"/>
      <c r="M674" s="6"/>
      <c r="N674" s="6"/>
      <c r="O674" s="16"/>
      <c r="P674" s="6"/>
      <c r="Q674" s="4"/>
      <c r="R674" s="4"/>
      <c r="S674" s="4"/>
      <c r="T674" s="4"/>
      <c r="U674" s="4"/>
      <c r="V674" s="4"/>
      <c r="W674" s="4"/>
      <c r="X674" s="4"/>
      <c r="Y674" s="4"/>
      <c r="Z674" s="4"/>
      <c r="AA674" s="4"/>
    </row>
    <row r="675" spans="1:27" ht="12.75" x14ac:dyDescent="0.2">
      <c r="A675" s="16"/>
      <c r="B675" s="6"/>
      <c r="C675" s="6"/>
      <c r="D675" s="6"/>
      <c r="E675" s="4"/>
      <c r="F675" s="6"/>
      <c r="G675" s="6"/>
      <c r="H675" s="6"/>
      <c r="I675" s="6"/>
      <c r="J675" s="6"/>
      <c r="K675" s="6"/>
      <c r="L675" s="6"/>
      <c r="M675" s="6"/>
      <c r="N675" s="6"/>
      <c r="O675" s="16"/>
      <c r="P675" s="6"/>
      <c r="Q675" s="4"/>
      <c r="R675" s="4"/>
      <c r="S675" s="4"/>
      <c r="T675" s="4"/>
      <c r="U675" s="4"/>
      <c r="V675" s="4"/>
      <c r="W675" s="4"/>
      <c r="X675" s="4"/>
      <c r="Y675" s="4"/>
      <c r="Z675" s="4"/>
      <c r="AA675" s="4"/>
    </row>
    <row r="676" spans="1:27" ht="12.75" x14ac:dyDescent="0.2">
      <c r="A676" s="16"/>
      <c r="B676" s="6"/>
      <c r="C676" s="6"/>
      <c r="D676" s="6"/>
      <c r="E676" s="4"/>
      <c r="F676" s="6"/>
      <c r="G676" s="6"/>
      <c r="H676" s="6"/>
      <c r="I676" s="6"/>
      <c r="J676" s="6"/>
      <c r="K676" s="6"/>
      <c r="L676" s="6"/>
      <c r="M676" s="6"/>
      <c r="N676" s="6"/>
      <c r="O676" s="16"/>
      <c r="P676" s="6"/>
      <c r="Q676" s="4"/>
      <c r="R676" s="4"/>
      <c r="S676" s="4"/>
      <c r="T676" s="4"/>
      <c r="U676" s="4"/>
      <c r="V676" s="4"/>
      <c r="W676" s="4"/>
      <c r="X676" s="4"/>
      <c r="Y676" s="4"/>
      <c r="Z676" s="4"/>
      <c r="AA676" s="4"/>
    </row>
    <row r="677" spans="1:27" ht="12.75" x14ac:dyDescent="0.2">
      <c r="A677" s="16"/>
      <c r="B677" s="6"/>
      <c r="C677" s="6"/>
      <c r="D677" s="6"/>
      <c r="E677" s="4"/>
      <c r="F677" s="6"/>
      <c r="G677" s="6"/>
      <c r="H677" s="6"/>
      <c r="I677" s="6"/>
      <c r="J677" s="6"/>
      <c r="K677" s="6"/>
      <c r="L677" s="6"/>
      <c r="M677" s="6"/>
      <c r="N677" s="6"/>
      <c r="O677" s="16"/>
      <c r="P677" s="6"/>
      <c r="Q677" s="4"/>
      <c r="R677" s="4"/>
      <c r="S677" s="4"/>
      <c r="T677" s="4"/>
      <c r="U677" s="4"/>
      <c r="V677" s="4"/>
      <c r="W677" s="4"/>
      <c r="X677" s="4"/>
      <c r="Y677" s="4"/>
      <c r="Z677" s="4"/>
      <c r="AA677" s="4"/>
    </row>
    <row r="678" spans="1:27" ht="12.75" x14ac:dyDescent="0.2">
      <c r="A678" s="16"/>
      <c r="B678" s="6"/>
      <c r="C678" s="6"/>
      <c r="D678" s="6"/>
      <c r="E678" s="4"/>
      <c r="F678" s="6"/>
      <c r="G678" s="6"/>
      <c r="H678" s="6"/>
      <c r="I678" s="6"/>
      <c r="J678" s="6"/>
      <c r="K678" s="6"/>
      <c r="L678" s="6"/>
      <c r="M678" s="6"/>
      <c r="N678" s="6"/>
      <c r="O678" s="16"/>
      <c r="P678" s="6"/>
      <c r="Q678" s="4"/>
      <c r="R678" s="4"/>
      <c r="S678" s="4"/>
      <c r="T678" s="4"/>
      <c r="U678" s="4"/>
      <c r="V678" s="4"/>
      <c r="W678" s="4"/>
      <c r="X678" s="4"/>
      <c r="Y678" s="4"/>
      <c r="Z678" s="4"/>
      <c r="AA678" s="4"/>
    </row>
    <row r="679" spans="1:27" ht="12.75" x14ac:dyDescent="0.2">
      <c r="A679" s="16"/>
      <c r="B679" s="6"/>
      <c r="C679" s="6"/>
      <c r="D679" s="6"/>
      <c r="E679" s="4"/>
      <c r="F679" s="6"/>
      <c r="G679" s="6"/>
      <c r="H679" s="6"/>
      <c r="I679" s="6"/>
      <c r="J679" s="6"/>
      <c r="K679" s="6"/>
      <c r="L679" s="6"/>
      <c r="M679" s="6"/>
      <c r="N679" s="6"/>
      <c r="O679" s="16"/>
      <c r="P679" s="6"/>
      <c r="Q679" s="4"/>
      <c r="R679" s="4"/>
      <c r="S679" s="4"/>
      <c r="T679" s="4"/>
      <c r="U679" s="4"/>
      <c r="V679" s="4"/>
      <c r="W679" s="4"/>
      <c r="X679" s="4"/>
      <c r="Y679" s="4"/>
      <c r="Z679" s="4"/>
      <c r="AA679" s="4"/>
    </row>
    <row r="680" spans="1:27" ht="12.75" x14ac:dyDescent="0.2">
      <c r="A680" s="16"/>
      <c r="B680" s="6"/>
      <c r="C680" s="6"/>
      <c r="D680" s="6"/>
      <c r="E680" s="4"/>
      <c r="F680" s="6"/>
      <c r="G680" s="6"/>
      <c r="H680" s="6"/>
      <c r="I680" s="6"/>
      <c r="J680" s="6"/>
      <c r="K680" s="6"/>
      <c r="L680" s="6"/>
      <c r="M680" s="6"/>
      <c r="N680" s="6"/>
      <c r="O680" s="16"/>
      <c r="P680" s="6"/>
      <c r="Q680" s="4"/>
      <c r="R680" s="4"/>
      <c r="S680" s="4"/>
      <c r="T680" s="4"/>
      <c r="U680" s="4"/>
      <c r="V680" s="4"/>
      <c r="W680" s="4"/>
      <c r="X680" s="4"/>
      <c r="Y680" s="4"/>
      <c r="Z680" s="4"/>
      <c r="AA680" s="4"/>
    </row>
    <row r="681" spans="1:27" ht="12.75" x14ac:dyDescent="0.2">
      <c r="A681" s="16"/>
      <c r="B681" s="6"/>
      <c r="C681" s="6"/>
      <c r="D681" s="6"/>
      <c r="E681" s="4"/>
      <c r="F681" s="6"/>
      <c r="G681" s="6"/>
      <c r="H681" s="6"/>
      <c r="I681" s="6"/>
      <c r="J681" s="6"/>
      <c r="K681" s="6"/>
      <c r="L681" s="6"/>
      <c r="M681" s="6"/>
      <c r="N681" s="6"/>
      <c r="O681" s="16"/>
      <c r="P681" s="6"/>
      <c r="Q681" s="4"/>
      <c r="R681" s="4"/>
      <c r="S681" s="4"/>
      <c r="T681" s="4"/>
      <c r="U681" s="4"/>
      <c r="V681" s="4"/>
      <c r="W681" s="4"/>
      <c r="X681" s="4"/>
      <c r="Y681" s="4"/>
      <c r="Z681" s="4"/>
      <c r="AA681" s="4"/>
    </row>
    <row r="682" spans="1:27" ht="12.75" x14ac:dyDescent="0.2">
      <c r="A682" s="16"/>
      <c r="B682" s="6"/>
      <c r="C682" s="6"/>
      <c r="D682" s="6"/>
      <c r="E682" s="4"/>
      <c r="F682" s="6"/>
      <c r="G682" s="6"/>
      <c r="H682" s="6"/>
      <c r="I682" s="6"/>
      <c r="J682" s="6"/>
      <c r="K682" s="6"/>
      <c r="L682" s="6"/>
      <c r="M682" s="6"/>
      <c r="N682" s="6"/>
      <c r="O682" s="16"/>
      <c r="P682" s="6"/>
      <c r="Q682" s="4"/>
      <c r="R682" s="4"/>
      <c r="S682" s="4"/>
      <c r="T682" s="4"/>
      <c r="U682" s="4"/>
      <c r="V682" s="4"/>
      <c r="W682" s="4"/>
      <c r="X682" s="4"/>
      <c r="Y682" s="4"/>
      <c r="Z682" s="4"/>
      <c r="AA682" s="4"/>
    </row>
    <row r="683" spans="1:27" ht="12.75" x14ac:dyDescent="0.2">
      <c r="A683" s="16"/>
      <c r="B683" s="6"/>
      <c r="C683" s="6"/>
      <c r="D683" s="6"/>
      <c r="E683" s="4"/>
      <c r="F683" s="6"/>
      <c r="G683" s="6"/>
      <c r="H683" s="6"/>
      <c r="I683" s="6"/>
      <c r="J683" s="6"/>
      <c r="K683" s="6"/>
      <c r="L683" s="6"/>
      <c r="M683" s="6"/>
      <c r="N683" s="6"/>
      <c r="O683" s="16"/>
      <c r="P683" s="6"/>
      <c r="Q683" s="4"/>
      <c r="R683" s="4"/>
      <c r="S683" s="4"/>
      <c r="T683" s="4"/>
      <c r="U683" s="4"/>
      <c r="V683" s="4"/>
      <c r="W683" s="4"/>
      <c r="X683" s="4"/>
      <c r="Y683" s="4"/>
      <c r="Z683" s="4"/>
      <c r="AA683" s="4"/>
    </row>
    <row r="684" spans="1:27" ht="12.75" x14ac:dyDescent="0.2">
      <c r="A684" s="16"/>
      <c r="B684" s="6"/>
      <c r="C684" s="6"/>
      <c r="D684" s="6"/>
      <c r="E684" s="4"/>
      <c r="F684" s="6"/>
      <c r="G684" s="6"/>
      <c r="H684" s="6"/>
      <c r="I684" s="6"/>
      <c r="J684" s="6"/>
      <c r="K684" s="6"/>
      <c r="L684" s="6"/>
      <c r="M684" s="6"/>
      <c r="N684" s="6"/>
      <c r="O684" s="16"/>
      <c r="P684" s="6"/>
      <c r="Q684" s="4"/>
      <c r="R684" s="4"/>
      <c r="S684" s="4"/>
      <c r="T684" s="4"/>
      <c r="U684" s="4"/>
      <c r="V684" s="4"/>
      <c r="W684" s="4"/>
      <c r="X684" s="4"/>
      <c r="Y684" s="4"/>
      <c r="Z684" s="4"/>
      <c r="AA684" s="4"/>
    </row>
    <row r="685" spans="1:27" ht="12.75" x14ac:dyDescent="0.2">
      <c r="A685" s="16"/>
      <c r="B685" s="6"/>
      <c r="C685" s="6"/>
      <c r="D685" s="6"/>
      <c r="E685" s="4"/>
      <c r="F685" s="6"/>
      <c r="G685" s="6"/>
      <c r="H685" s="6"/>
      <c r="I685" s="6"/>
      <c r="J685" s="6"/>
      <c r="K685" s="6"/>
      <c r="L685" s="6"/>
      <c r="M685" s="6"/>
      <c r="N685" s="6"/>
      <c r="O685" s="16"/>
      <c r="P685" s="6"/>
      <c r="Q685" s="4"/>
      <c r="R685" s="4"/>
      <c r="S685" s="4"/>
      <c r="T685" s="4"/>
      <c r="U685" s="4"/>
      <c r="V685" s="4"/>
      <c r="W685" s="4"/>
      <c r="X685" s="4"/>
      <c r="Y685" s="4"/>
      <c r="Z685" s="4"/>
      <c r="AA685" s="4"/>
    </row>
    <row r="686" spans="1:27" ht="12.75" x14ac:dyDescent="0.2">
      <c r="A686" s="16"/>
      <c r="B686" s="6"/>
      <c r="C686" s="6"/>
      <c r="D686" s="6"/>
      <c r="E686" s="4"/>
      <c r="F686" s="6"/>
      <c r="G686" s="6"/>
      <c r="H686" s="6"/>
      <c r="I686" s="6"/>
      <c r="J686" s="6"/>
      <c r="K686" s="6"/>
      <c r="L686" s="6"/>
      <c r="M686" s="6"/>
      <c r="N686" s="6"/>
      <c r="O686" s="16"/>
      <c r="P686" s="6"/>
      <c r="Q686" s="4"/>
      <c r="R686" s="4"/>
      <c r="S686" s="4"/>
      <c r="T686" s="4"/>
      <c r="U686" s="4"/>
      <c r="V686" s="4"/>
      <c r="W686" s="4"/>
      <c r="X686" s="4"/>
      <c r="Y686" s="4"/>
      <c r="Z686" s="4"/>
      <c r="AA686" s="4"/>
    </row>
    <row r="687" spans="1:27" ht="12.75" x14ac:dyDescent="0.2">
      <c r="A687" s="16"/>
      <c r="B687" s="6"/>
      <c r="C687" s="6"/>
      <c r="D687" s="6"/>
      <c r="E687" s="4"/>
      <c r="F687" s="6"/>
      <c r="G687" s="6"/>
      <c r="H687" s="6"/>
      <c r="I687" s="6"/>
      <c r="J687" s="6"/>
      <c r="K687" s="6"/>
      <c r="L687" s="6"/>
      <c r="M687" s="6"/>
      <c r="N687" s="6"/>
      <c r="O687" s="16"/>
      <c r="P687" s="6"/>
      <c r="Q687" s="4"/>
      <c r="R687" s="4"/>
      <c r="S687" s="4"/>
      <c r="T687" s="4"/>
      <c r="U687" s="4"/>
      <c r="V687" s="4"/>
      <c r="W687" s="4"/>
      <c r="X687" s="4"/>
      <c r="Y687" s="4"/>
      <c r="Z687" s="4"/>
      <c r="AA687" s="4"/>
    </row>
    <row r="688" spans="1:27" ht="12.75" x14ac:dyDescent="0.2">
      <c r="A688" s="16"/>
      <c r="B688" s="6"/>
      <c r="C688" s="6"/>
      <c r="D688" s="6"/>
      <c r="E688" s="4"/>
      <c r="F688" s="6"/>
      <c r="G688" s="6"/>
      <c r="H688" s="6"/>
      <c r="I688" s="6"/>
      <c r="J688" s="6"/>
      <c r="K688" s="6"/>
      <c r="L688" s="6"/>
      <c r="M688" s="6"/>
      <c r="N688" s="6"/>
      <c r="O688" s="16"/>
      <c r="P688" s="6"/>
      <c r="Q688" s="4"/>
      <c r="R688" s="4"/>
      <c r="S688" s="4"/>
      <c r="T688" s="4"/>
      <c r="U688" s="4"/>
      <c r="V688" s="4"/>
      <c r="W688" s="4"/>
      <c r="X688" s="4"/>
      <c r="Y688" s="4"/>
      <c r="Z688" s="4"/>
      <c r="AA688" s="4"/>
    </row>
    <row r="689" spans="1:27" ht="12.75" x14ac:dyDescent="0.2">
      <c r="A689" s="16"/>
      <c r="B689" s="6"/>
      <c r="C689" s="6"/>
      <c r="D689" s="6"/>
      <c r="E689" s="4"/>
      <c r="F689" s="6"/>
      <c r="G689" s="6"/>
      <c r="H689" s="6"/>
      <c r="I689" s="6"/>
      <c r="J689" s="6"/>
      <c r="K689" s="6"/>
      <c r="L689" s="6"/>
      <c r="M689" s="6"/>
      <c r="N689" s="6"/>
      <c r="O689" s="16"/>
      <c r="P689" s="6"/>
      <c r="Q689" s="4"/>
      <c r="R689" s="4"/>
      <c r="S689" s="4"/>
      <c r="T689" s="4"/>
      <c r="U689" s="4"/>
      <c r="V689" s="4"/>
      <c r="W689" s="4"/>
      <c r="X689" s="4"/>
      <c r="Y689" s="4"/>
      <c r="Z689" s="4"/>
      <c r="AA689" s="4"/>
    </row>
    <row r="690" spans="1:27" ht="12.75" x14ac:dyDescent="0.2">
      <c r="A690" s="16"/>
      <c r="B690" s="6"/>
      <c r="C690" s="6"/>
      <c r="D690" s="6"/>
      <c r="E690" s="4"/>
      <c r="F690" s="6"/>
      <c r="G690" s="6"/>
      <c r="H690" s="6"/>
      <c r="I690" s="6"/>
      <c r="J690" s="6"/>
      <c r="K690" s="6"/>
      <c r="L690" s="6"/>
      <c r="M690" s="6"/>
      <c r="N690" s="6"/>
      <c r="O690" s="16"/>
      <c r="P690" s="6"/>
      <c r="Q690" s="4"/>
      <c r="R690" s="4"/>
      <c r="S690" s="4"/>
      <c r="T690" s="4"/>
      <c r="U690" s="4"/>
      <c r="V690" s="4"/>
      <c r="W690" s="4"/>
      <c r="X690" s="4"/>
      <c r="Y690" s="4"/>
      <c r="Z690" s="4"/>
      <c r="AA690" s="4"/>
    </row>
    <row r="691" spans="1:27" ht="12.75" x14ac:dyDescent="0.2">
      <c r="A691" s="16"/>
      <c r="B691" s="6"/>
      <c r="C691" s="6"/>
      <c r="D691" s="6"/>
      <c r="E691" s="4"/>
      <c r="F691" s="6"/>
      <c r="G691" s="6"/>
      <c r="H691" s="6"/>
      <c r="I691" s="6"/>
      <c r="J691" s="6"/>
      <c r="K691" s="6"/>
      <c r="L691" s="6"/>
      <c r="M691" s="6"/>
      <c r="N691" s="6"/>
      <c r="O691" s="16"/>
      <c r="P691" s="6"/>
      <c r="Q691" s="4"/>
      <c r="R691" s="4"/>
      <c r="S691" s="4"/>
      <c r="T691" s="4"/>
      <c r="U691" s="4"/>
      <c r="V691" s="4"/>
      <c r="W691" s="4"/>
      <c r="X691" s="4"/>
      <c r="Y691" s="4"/>
      <c r="Z691" s="4"/>
      <c r="AA691" s="4"/>
    </row>
    <row r="692" spans="1:27" ht="12.75" x14ac:dyDescent="0.2">
      <c r="A692" s="16"/>
      <c r="B692" s="6"/>
      <c r="C692" s="6"/>
      <c r="D692" s="6"/>
      <c r="E692" s="4"/>
      <c r="F692" s="6"/>
      <c r="G692" s="6"/>
      <c r="H692" s="6"/>
      <c r="I692" s="6"/>
      <c r="J692" s="6"/>
      <c r="K692" s="6"/>
      <c r="L692" s="6"/>
      <c r="M692" s="6"/>
      <c r="N692" s="6"/>
      <c r="O692" s="16"/>
      <c r="P692" s="6"/>
      <c r="Q692" s="4"/>
      <c r="R692" s="4"/>
      <c r="S692" s="4"/>
      <c r="T692" s="4"/>
      <c r="U692" s="4"/>
      <c r="V692" s="4"/>
      <c r="W692" s="4"/>
      <c r="X692" s="4"/>
      <c r="Y692" s="4"/>
      <c r="Z692" s="4"/>
      <c r="AA692" s="4"/>
    </row>
    <row r="693" spans="1:27" ht="12.75" x14ac:dyDescent="0.2">
      <c r="A693" s="16"/>
      <c r="B693" s="6"/>
      <c r="C693" s="6"/>
      <c r="D693" s="6"/>
      <c r="E693" s="4"/>
      <c r="F693" s="6"/>
      <c r="G693" s="6"/>
      <c r="H693" s="6"/>
      <c r="I693" s="6"/>
      <c r="J693" s="6"/>
      <c r="K693" s="6"/>
      <c r="L693" s="6"/>
      <c r="M693" s="6"/>
      <c r="N693" s="6"/>
      <c r="O693" s="16"/>
      <c r="P693" s="6"/>
      <c r="Q693" s="4"/>
      <c r="R693" s="4"/>
      <c r="S693" s="4"/>
      <c r="T693" s="4"/>
      <c r="U693" s="4"/>
      <c r="V693" s="4"/>
      <c r="W693" s="4"/>
      <c r="X693" s="4"/>
      <c r="Y693" s="4"/>
      <c r="Z693" s="4"/>
      <c r="AA693" s="4"/>
    </row>
    <row r="694" spans="1:27" ht="12.75" x14ac:dyDescent="0.2">
      <c r="A694" s="16"/>
      <c r="B694" s="6"/>
      <c r="C694" s="6"/>
      <c r="D694" s="6"/>
      <c r="E694" s="4"/>
      <c r="F694" s="6"/>
      <c r="G694" s="6"/>
      <c r="H694" s="6"/>
      <c r="I694" s="6"/>
      <c r="J694" s="6"/>
      <c r="K694" s="6"/>
      <c r="L694" s="6"/>
      <c r="M694" s="6"/>
      <c r="N694" s="6"/>
      <c r="O694" s="16"/>
      <c r="P694" s="6"/>
      <c r="Q694" s="4"/>
      <c r="R694" s="4"/>
      <c r="S694" s="4"/>
      <c r="T694" s="4"/>
      <c r="U694" s="4"/>
      <c r="V694" s="4"/>
      <c r="W694" s="4"/>
      <c r="X694" s="4"/>
      <c r="Y694" s="4"/>
      <c r="Z694" s="4"/>
      <c r="AA694" s="4"/>
    </row>
    <row r="695" spans="1:27" ht="12.75" x14ac:dyDescent="0.2">
      <c r="A695" s="16"/>
      <c r="B695" s="6"/>
      <c r="C695" s="6"/>
      <c r="D695" s="6"/>
      <c r="E695" s="4"/>
      <c r="F695" s="6"/>
      <c r="G695" s="6"/>
      <c r="H695" s="6"/>
      <c r="I695" s="6"/>
      <c r="J695" s="6"/>
      <c r="K695" s="6"/>
      <c r="L695" s="6"/>
      <c r="M695" s="6"/>
      <c r="N695" s="6"/>
      <c r="O695" s="16"/>
      <c r="P695" s="6"/>
      <c r="Q695" s="4"/>
      <c r="R695" s="4"/>
      <c r="S695" s="4"/>
      <c r="T695" s="4"/>
      <c r="U695" s="4"/>
      <c r="V695" s="4"/>
      <c r="W695" s="4"/>
      <c r="X695" s="4"/>
      <c r="Y695" s="4"/>
      <c r="Z695" s="4"/>
      <c r="AA695" s="4"/>
    </row>
    <row r="696" spans="1:27" ht="12.75" x14ac:dyDescent="0.2">
      <c r="A696" s="16"/>
      <c r="B696" s="6"/>
      <c r="C696" s="6"/>
      <c r="D696" s="6"/>
      <c r="E696" s="4"/>
      <c r="F696" s="6"/>
      <c r="G696" s="6"/>
      <c r="H696" s="6"/>
      <c r="I696" s="6"/>
      <c r="J696" s="6"/>
      <c r="K696" s="6"/>
      <c r="L696" s="6"/>
      <c r="M696" s="6"/>
      <c r="N696" s="6"/>
      <c r="O696" s="16"/>
      <c r="P696" s="6"/>
      <c r="Q696" s="4"/>
      <c r="R696" s="4"/>
      <c r="S696" s="4"/>
      <c r="T696" s="4"/>
      <c r="U696" s="4"/>
      <c r="V696" s="4"/>
      <c r="W696" s="4"/>
      <c r="X696" s="4"/>
      <c r="Y696" s="4"/>
      <c r="Z696" s="4"/>
      <c r="AA696" s="4"/>
    </row>
    <row r="697" spans="1:27" ht="12.75" x14ac:dyDescent="0.2">
      <c r="A697" s="16"/>
      <c r="B697" s="6"/>
      <c r="C697" s="6"/>
      <c r="D697" s="6"/>
      <c r="E697" s="4"/>
      <c r="F697" s="6"/>
      <c r="G697" s="6"/>
      <c r="H697" s="6"/>
      <c r="I697" s="6"/>
      <c r="J697" s="6"/>
      <c r="K697" s="6"/>
      <c r="L697" s="6"/>
      <c r="M697" s="6"/>
      <c r="N697" s="6"/>
      <c r="O697" s="16"/>
      <c r="P697" s="6"/>
      <c r="Q697" s="4"/>
      <c r="R697" s="4"/>
      <c r="S697" s="4"/>
      <c r="T697" s="4"/>
      <c r="U697" s="4"/>
      <c r="V697" s="4"/>
      <c r="W697" s="4"/>
      <c r="X697" s="4"/>
      <c r="Y697" s="4"/>
      <c r="Z697" s="4"/>
      <c r="AA697" s="4"/>
    </row>
    <row r="698" spans="1:27" ht="12.75" x14ac:dyDescent="0.2">
      <c r="A698" s="16"/>
      <c r="B698" s="6"/>
      <c r="C698" s="6"/>
      <c r="D698" s="6"/>
      <c r="E698" s="4"/>
      <c r="F698" s="6"/>
      <c r="G698" s="6"/>
      <c r="H698" s="6"/>
      <c r="I698" s="6"/>
      <c r="J698" s="6"/>
      <c r="K698" s="6"/>
      <c r="L698" s="6"/>
      <c r="M698" s="6"/>
      <c r="N698" s="6"/>
      <c r="O698" s="16"/>
      <c r="P698" s="6"/>
      <c r="Q698" s="4"/>
      <c r="R698" s="4"/>
      <c r="S698" s="4"/>
      <c r="T698" s="4"/>
      <c r="U698" s="4"/>
      <c r="V698" s="4"/>
      <c r="W698" s="4"/>
      <c r="X698" s="4"/>
      <c r="Y698" s="4"/>
      <c r="Z698" s="4"/>
      <c r="AA698" s="4"/>
    </row>
    <row r="699" spans="1:27" ht="12.75" x14ac:dyDescent="0.2">
      <c r="A699" s="16"/>
      <c r="B699" s="6"/>
      <c r="C699" s="6"/>
      <c r="D699" s="6"/>
      <c r="E699" s="4"/>
      <c r="F699" s="6"/>
      <c r="G699" s="6"/>
      <c r="H699" s="6"/>
      <c r="I699" s="6"/>
      <c r="J699" s="6"/>
      <c r="K699" s="6"/>
      <c r="L699" s="6"/>
      <c r="M699" s="6"/>
      <c r="N699" s="6"/>
      <c r="O699" s="16"/>
      <c r="P699" s="6"/>
      <c r="Q699" s="4"/>
      <c r="R699" s="4"/>
      <c r="S699" s="4"/>
      <c r="T699" s="4"/>
      <c r="U699" s="4"/>
      <c r="V699" s="4"/>
      <c r="W699" s="4"/>
      <c r="X699" s="4"/>
      <c r="Y699" s="4"/>
      <c r="Z699" s="4"/>
      <c r="AA699" s="4"/>
    </row>
    <row r="700" spans="1:27" ht="12.75" x14ac:dyDescent="0.2">
      <c r="A700" s="16"/>
      <c r="B700" s="6"/>
      <c r="C700" s="6"/>
      <c r="D700" s="6"/>
      <c r="E700" s="4"/>
      <c r="F700" s="6"/>
      <c r="G700" s="6"/>
      <c r="H700" s="6"/>
      <c r="I700" s="6"/>
      <c r="J700" s="6"/>
      <c r="K700" s="6"/>
      <c r="L700" s="6"/>
      <c r="M700" s="6"/>
      <c r="N700" s="6"/>
      <c r="O700" s="16"/>
      <c r="P700" s="6"/>
      <c r="Q700" s="4"/>
      <c r="R700" s="4"/>
      <c r="S700" s="4"/>
      <c r="T700" s="4"/>
      <c r="U700" s="4"/>
      <c r="V700" s="4"/>
      <c r="W700" s="4"/>
      <c r="X700" s="4"/>
      <c r="Y700" s="4"/>
      <c r="Z700" s="4"/>
      <c r="AA700" s="4"/>
    </row>
    <row r="701" spans="1:27" ht="12.75" x14ac:dyDescent="0.2">
      <c r="A701" s="16"/>
      <c r="B701" s="6"/>
      <c r="C701" s="6"/>
      <c r="D701" s="6"/>
      <c r="E701" s="4"/>
      <c r="F701" s="6"/>
      <c r="G701" s="6"/>
      <c r="H701" s="6"/>
      <c r="I701" s="6"/>
      <c r="J701" s="6"/>
      <c r="K701" s="6"/>
      <c r="L701" s="6"/>
      <c r="M701" s="6"/>
      <c r="N701" s="6"/>
      <c r="O701" s="16"/>
      <c r="P701" s="6"/>
      <c r="Q701" s="4"/>
      <c r="R701" s="4"/>
      <c r="S701" s="4"/>
      <c r="T701" s="4"/>
      <c r="U701" s="4"/>
      <c r="V701" s="4"/>
      <c r="W701" s="4"/>
      <c r="X701" s="4"/>
      <c r="Y701" s="4"/>
      <c r="Z701" s="4"/>
      <c r="AA701" s="4"/>
    </row>
    <row r="702" spans="1:27" ht="12.75" x14ac:dyDescent="0.2">
      <c r="A702" s="16"/>
      <c r="B702" s="6"/>
      <c r="C702" s="6"/>
      <c r="D702" s="6"/>
      <c r="E702" s="4"/>
      <c r="F702" s="6"/>
      <c r="G702" s="6"/>
      <c r="H702" s="6"/>
      <c r="I702" s="6"/>
      <c r="J702" s="6"/>
      <c r="K702" s="6"/>
      <c r="L702" s="6"/>
      <c r="M702" s="6"/>
      <c r="N702" s="6"/>
      <c r="O702" s="16"/>
      <c r="P702" s="6"/>
      <c r="Q702" s="4"/>
      <c r="R702" s="4"/>
      <c r="S702" s="4"/>
      <c r="T702" s="4"/>
      <c r="U702" s="4"/>
      <c r="V702" s="4"/>
      <c r="W702" s="4"/>
      <c r="X702" s="4"/>
      <c r="Y702" s="4"/>
      <c r="Z702" s="4"/>
      <c r="AA702" s="4"/>
    </row>
    <row r="703" spans="1:27" ht="12.75" x14ac:dyDescent="0.2">
      <c r="A703" s="16"/>
      <c r="B703" s="6"/>
      <c r="C703" s="6"/>
      <c r="D703" s="6"/>
      <c r="E703" s="4"/>
      <c r="F703" s="6"/>
      <c r="G703" s="6"/>
      <c r="H703" s="6"/>
      <c r="I703" s="6"/>
      <c r="J703" s="6"/>
      <c r="K703" s="6"/>
      <c r="L703" s="6"/>
      <c r="M703" s="6"/>
      <c r="N703" s="6"/>
      <c r="O703" s="16"/>
      <c r="P703" s="6"/>
      <c r="Q703" s="4"/>
      <c r="R703" s="4"/>
      <c r="S703" s="4"/>
      <c r="T703" s="4"/>
      <c r="U703" s="4"/>
      <c r="V703" s="4"/>
      <c r="W703" s="4"/>
      <c r="X703" s="4"/>
      <c r="Y703" s="4"/>
      <c r="Z703" s="4"/>
      <c r="AA703" s="4"/>
    </row>
    <row r="704" spans="1:27" ht="12.75" x14ac:dyDescent="0.2">
      <c r="A704" s="16"/>
      <c r="B704" s="6"/>
      <c r="C704" s="6"/>
      <c r="D704" s="6"/>
      <c r="E704" s="4"/>
      <c r="F704" s="6"/>
      <c r="G704" s="6"/>
      <c r="H704" s="6"/>
      <c r="I704" s="6"/>
      <c r="J704" s="6"/>
      <c r="K704" s="6"/>
      <c r="L704" s="6"/>
      <c r="M704" s="6"/>
      <c r="N704" s="6"/>
      <c r="O704" s="16"/>
      <c r="P704" s="6"/>
      <c r="Q704" s="4"/>
      <c r="R704" s="4"/>
      <c r="S704" s="4"/>
      <c r="T704" s="4"/>
      <c r="U704" s="4"/>
      <c r="V704" s="4"/>
      <c r="W704" s="4"/>
      <c r="X704" s="4"/>
      <c r="Y704" s="4"/>
      <c r="Z704" s="4"/>
      <c r="AA704" s="4"/>
    </row>
    <row r="705" spans="1:27" ht="12.75" x14ac:dyDescent="0.2">
      <c r="A705" s="16"/>
      <c r="B705" s="6"/>
      <c r="C705" s="6"/>
      <c r="D705" s="6"/>
      <c r="E705" s="4"/>
      <c r="F705" s="6"/>
      <c r="G705" s="6"/>
      <c r="H705" s="6"/>
      <c r="I705" s="6"/>
      <c r="J705" s="6"/>
      <c r="K705" s="6"/>
      <c r="L705" s="6"/>
      <c r="M705" s="6"/>
      <c r="N705" s="6"/>
      <c r="O705" s="16"/>
      <c r="P705" s="6"/>
      <c r="Q705" s="4"/>
      <c r="R705" s="4"/>
      <c r="S705" s="4"/>
      <c r="T705" s="4"/>
      <c r="U705" s="4"/>
      <c r="V705" s="4"/>
      <c r="W705" s="4"/>
      <c r="X705" s="4"/>
      <c r="Y705" s="4"/>
      <c r="Z705" s="4"/>
      <c r="AA705" s="4"/>
    </row>
    <row r="706" spans="1:27" ht="12.75" x14ac:dyDescent="0.2">
      <c r="A706" s="16"/>
      <c r="B706" s="6"/>
      <c r="C706" s="6"/>
      <c r="D706" s="6"/>
      <c r="E706" s="4"/>
      <c r="F706" s="6"/>
      <c r="G706" s="6"/>
      <c r="H706" s="6"/>
      <c r="I706" s="6"/>
      <c r="J706" s="6"/>
      <c r="K706" s="6"/>
      <c r="L706" s="6"/>
      <c r="M706" s="6"/>
      <c r="N706" s="6"/>
      <c r="O706" s="16"/>
      <c r="P706" s="6"/>
      <c r="Q706" s="4"/>
      <c r="R706" s="4"/>
      <c r="S706" s="4"/>
      <c r="T706" s="4"/>
      <c r="U706" s="4"/>
      <c r="V706" s="4"/>
      <c r="W706" s="4"/>
      <c r="X706" s="4"/>
      <c r="Y706" s="4"/>
      <c r="Z706" s="4"/>
      <c r="AA706" s="4"/>
    </row>
    <row r="707" spans="1:27" ht="12.75" x14ac:dyDescent="0.2">
      <c r="A707" s="16"/>
      <c r="B707" s="6"/>
      <c r="C707" s="6"/>
      <c r="D707" s="6"/>
      <c r="E707" s="4"/>
      <c r="F707" s="6"/>
      <c r="G707" s="6"/>
      <c r="H707" s="6"/>
      <c r="I707" s="6"/>
      <c r="J707" s="6"/>
      <c r="K707" s="6"/>
      <c r="L707" s="6"/>
      <c r="M707" s="6"/>
      <c r="N707" s="6"/>
      <c r="O707" s="16"/>
      <c r="P707" s="6"/>
      <c r="Q707" s="4"/>
      <c r="R707" s="4"/>
      <c r="S707" s="4"/>
      <c r="T707" s="4"/>
      <c r="U707" s="4"/>
      <c r="V707" s="4"/>
      <c r="W707" s="4"/>
      <c r="X707" s="4"/>
      <c r="Y707" s="4"/>
      <c r="Z707" s="4"/>
      <c r="AA707" s="4"/>
    </row>
    <row r="708" spans="1:27" ht="12.75" x14ac:dyDescent="0.2">
      <c r="A708" s="16"/>
      <c r="B708" s="6"/>
      <c r="C708" s="6"/>
      <c r="D708" s="6"/>
      <c r="E708" s="4"/>
      <c r="F708" s="6"/>
      <c r="G708" s="6"/>
      <c r="H708" s="6"/>
      <c r="I708" s="6"/>
      <c r="J708" s="6"/>
      <c r="K708" s="6"/>
      <c r="L708" s="6"/>
      <c r="M708" s="6"/>
      <c r="N708" s="6"/>
      <c r="O708" s="16"/>
      <c r="P708" s="6"/>
      <c r="Q708" s="4"/>
      <c r="R708" s="4"/>
      <c r="S708" s="4"/>
      <c r="T708" s="4"/>
      <c r="U708" s="4"/>
      <c r="V708" s="4"/>
      <c r="W708" s="4"/>
      <c r="X708" s="4"/>
      <c r="Y708" s="4"/>
      <c r="Z708" s="4"/>
      <c r="AA708" s="4"/>
    </row>
    <row r="709" spans="1:27" ht="12.75" x14ac:dyDescent="0.2">
      <c r="A709" s="16"/>
      <c r="B709" s="6"/>
      <c r="C709" s="6"/>
      <c r="D709" s="6"/>
      <c r="E709" s="4"/>
      <c r="F709" s="6"/>
      <c r="G709" s="6"/>
      <c r="H709" s="6"/>
      <c r="I709" s="6"/>
      <c r="J709" s="6"/>
      <c r="K709" s="6"/>
      <c r="L709" s="6"/>
      <c r="M709" s="6"/>
      <c r="N709" s="6"/>
      <c r="O709" s="16"/>
      <c r="P709" s="6"/>
      <c r="Q709" s="4"/>
      <c r="R709" s="4"/>
      <c r="S709" s="4"/>
      <c r="T709" s="4"/>
      <c r="U709" s="4"/>
      <c r="V709" s="4"/>
      <c r="W709" s="4"/>
      <c r="X709" s="4"/>
      <c r="Y709" s="4"/>
      <c r="Z709" s="4"/>
      <c r="AA709" s="4"/>
    </row>
    <row r="710" spans="1:27" ht="12.75" x14ac:dyDescent="0.2">
      <c r="A710" s="16"/>
      <c r="B710" s="6"/>
      <c r="C710" s="6"/>
      <c r="D710" s="6"/>
      <c r="E710" s="4"/>
      <c r="F710" s="6"/>
      <c r="G710" s="6"/>
      <c r="H710" s="6"/>
      <c r="I710" s="6"/>
      <c r="J710" s="6"/>
      <c r="K710" s="6"/>
      <c r="L710" s="6"/>
      <c r="M710" s="6"/>
      <c r="N710" s="6"/>
      <c r="O710" s="16"/>
      <c r="P710" s="6"/>
      <c r="Q710" s="4"/>
      <c r="R710" s="4"/>
      <c r="S710" s="4"/>
      <c r="T710" s="4"/>
      <c r="U710" s="4"/>
      <c r="V710" s="4"/>
      <c r="W710" s="4"/>
      <c r="X710" s="4"/>
      <c r="Y710" s="4"/>
      <c r="Z710" s="4"/>
      <c r="AA710" s="4"/>
    </row>
    <row r="711" spans="1:27" ht="12.75" x14ac:dyDescent="0.2">
      <c r="A711" s="16"/>
      <c r="B711" s="6"/>
      <c r="C711" s="6"/>
      <c r="D711" s="6"/>
      <c r="E711" s="4"/>
      <c r="F711" s="6"/>
      <c r="G711" s="6"/>
      <c r="H711" s="6"/>
      <c r="I711" s="6"/>
      <c r="J711" s="6"/>
      <c r="K711" s="6"/>
      <c r="L711" s="6"/>
      <c r="M711" s="6"/>
      <c r="N711" s="6"/>
      <c r="O711" s="16"/>
      <c r="P711" s="6"/>
      <c r="Q711" s="4"/>
      <c r="R711" s="4"/>
      <c r="S711" s="4"/>
      <c r="T711" s="4"/>
      <c r="U711" s="4"/>
      <c r="V711" s="4"/>
      <c r="W711" s="4"/>
      <c r="X711" s="4"/>
      <c r="Y711" s="4"/>
      <c r="Z711" s="4"/>
      <c r="AA711" s="4"/>
    </row>
    <row r="712" spans="1:27" ht="12.75" x14ac:dyDescent="0.2">
      <c r="A712" s="16"/>
      <c r="B712" s="6"/>
      <c r="C712" s="6"/>
      <c r="D712" s="6"/>
      <c r="E712" s="4"/>
      <c r="F712" s="6"/>
      <c r="G712" s="6"/>
      <c r="H712" s="6"/>
      <c r="I712" s="6"/>
      <c r="J712" s="6"/>
      <c r="K712" s="6"/>
      <c r="L712" s="6"/>
      <c r="M712" s="6"/>
      <c r="N712" s="6"/>
      <c r="O712" s="16"/>
      <c r="P712" s="6"/>
      <c r="Q712" s="4"/>
      <c r="R712" s="4"/>
      <c r="S712" s="4"/>
      <c r="T712" s="4"/>
      <c r="U712" s="4"/>
      <c r="V712" s="4"/>
      <c r="W712" s="4"/>
      <c r="X712" s="4"/>
      <c r="Y712" s="4"/>
      <c r="Z712" s="4"/>
      <c r="AA712" s="4"/>
    </row>
    <row r="713" spans="1:27" ht="12.75" x14ac:dyDescent="0.2">
      <c r="A713" s="16"/>
      <c r="B713" s="6"/>
      <c r="C713" s="6"/>
      <c r="D713" s="6"/>
      <c r="E713" s="4"/>
      <c r="F713" s="6"/>
      <c r="G713" s="6"/>
      <c r="H713" s="6"/>
      <c r="I713" s="6"/>
      <c r="J713" s="6"/>
      <c r="K713" s="6"/>
      <c r="L713" s="6"/>
      <c r="M713" s="6"/>
      <c r="N713" s="6"/>
      <c r="O713" s="16"/>
      <c r="P713" s="6"/>
      <c r="Q713" s="4"/>
      <c r="R713" s="4"/>
      <c r="S713" s="4"/>
      <c r="T713" s="4"/>
      <c r="U713" s="4"/>
      <c r="V713" s="4"/>
      <c r="W713" s="4"/>
      <c r="X713" s="4"/>
      <c r="Y713" s="4"/>
      <c r="Z713" s="4"/>
      <c r="AA713" s="4"/>
    </row>
    <row r="714" spans="1:27" ht="12.75" x14ac:dyDescent="0.2">
      <c r="A714" s="16"/>
      <c r="B714" s="6"/>
      <c r="C714" s="6"/>
      <c r="D714" s="6"/>
      <c r="E714" s="4"/>
      <c r="F714" s="6"/>
      <c r="G714" s="6"/>
      <c r="H714" s="6"/>
      <c r="I714" s="6"/>
      <c r="J714" s="6"/>
      <c r="K714" s="6"/>
      <c r="L714" s="6"/>
      <c r="M714" s="6"/>
      <c r="N714" s="6"/>
      <c r="O714" s="16"/>
      <c r="P714" s="6"/>
      <c r="Q714" s="4"/>
      <c r="R714" s="4"/>
      <c r="S714" s="4"/>
      <c r="T714" s="4"/>
      <c r="U714" s="4"/>
      <c r="V714" s="4"/>
      <c r="W714" s="4"/>
      <c r="X714" s="4"/>
      <c r="Y714" s="4"/>
      <c r="Z714" s="4"/>
      <c r="AA714" s="4"/>
    </row>
    <row r="715" spans="1:27" ht="12.75" x14ac:dyDescent="0.2">
      <c r="A715" s="16"/>
      <c r="B715" s="6"/>
      <c r="C715" s="6"/>
      <c r="D715" s="6"/>
      <c r="E715" s="4"/>
      <c r="F715" s="6"/>
      <c r="G715" s="6"/>
      <c r="H715" s="6"/>
      <c r="I715" s="6"/>
      <c r="J715" s="6"/>
      <c r="K715" s="6"/>
      <c r="L715" s="6"/>
      <c r="M715" s="6"/>
      <c r="N715" s="6"/>
      <c r="O715" s="16"/>
      <c r="P715" s="6"/>
      <c r="Q715" s="4"/>
      <c r="R715" s="4"/>
      <c r="S715" s="4"/>
      <c r="T715" s="4"/>
      <c r="U715" s="4"/>
      <c r="V715" s="4"/>
      <c r="W715" s="4"/>
      <c r="X715" s="4"/>
      <c r="Y715" s="4"/>
      <c r="Z715" s="4"/>
      <c r="AA715" s="4"/>
    </row>
    <row r="716" spans="1:27" ht="12.75" x14ac:dyDescent="0.2">
      <c r="A716" s="16"/>
      <c r="B716" s="6"/>
      <c r="C716" s="6"/>
      <c r="D716" s="6"/>
      <c r="E716" s="4"/>
      <c r="F716" s="6"/>
      <c r="G716" s="6"/>
      <c r="H716" s="6"/>
      <c r="I716" s="6"/>
      <c r="J716" s="6"/>
      <c r="K716" s="6"/>
      <c r="L716" s="6"/>
      <c r="M716" s="6"/>
      <c r="N716" s="6"/>
      <c r="O716" s="16"/>
      <c r="P716" s="6"/>
      <c r="Q716" s="4"/>
      <c r="R716" s="4"/>
      <c r="S716" s="4"/>
      <c r="T716" s="4"/>
      <c r="U716" s="4"/>
      <c r="V716" s="4"/>
      <c r="W716" s="4"/>
      <c r="X716" s="4"/>
      <c r="Y716" s="4"/>
      <c r="Z716" s="4"/>
      <c r="AA716" s="4"/>
    </row>
    <row r="717" spans="1:27" ht="12.75" x14ac:dyDescent="0.2">
      <c r="A717" s="16"/>
      <c r="B717" s="6"/>
      <c r="C717" s="6"/>
      <c r="D717" s="6"/>
      <c r="E717" s="4"/>
      <c r="F717" s="6"/>
      <c r="G717" s="6"/>
      <c r="H717" s="6"/>
      <c r="I717" s="6"/>
      <c r="J717" s="6"/>
      <c r="K717" s="6"/>
      <c r="L717" s="6"/>
      <c r="M717" s="6"/>
      <c r="N717" s="6"/>
      <c r="O717" s="16"/>
      <c r="P717" s="6"/>
      <c r="Q717" s="4"/>
      <c r="R717" s="4"/>
      <c r="S717" s="4"/>
      <c r="T717" s="4"/>
      <c r="U717" s="4"/>
      <c r="V717" s="4"/>
      <c r="W717" s="4"/>
      <c r="X717" s="4"/>
      <c r="Y717" s="4"/>
      <c r="Z717" s="4"/>
      <c r="AA717" s="4"/>
    </row>
    <row r="718" spans="1:27" ht="12.75" x14ac:dyDescent="0.2">
      <c r="A718" s="16"/>
      <c r="B718" s="6"/>
      <c r="C718" s="6"/>
      <c r="D718" s="6"/>
      <c r="E718" s="4"/>
      <c r="F718" s="6"/>
      <c r="G718" s="6"/>
      <c r="H718" s="6"/>
      <c r="I718" s="6"/>
      <c r="J718" s="6"/>
      <c r="K718" s="6"/>
      <c r="L718" s="6"/>
      <c r="M718" s="6"/>
      <c r="N718" s="6"/>
      <c r="O718" s="16"/>
      <c r="P718" s="6"/>
      <c r="Q718" s="4"/>
      <c r="R718" s="4"/>
      <c r="S718" s="4"/>
      <c r="T718" s="4"/>
      <c r="U718" s="4"/>
      <c r="V718" s="4"/>
      <c r="W718" s="4"/>
      <c r="X718" s="4"/>
      <c r="Y718" s="4"/>
      <c r="Z718" s="4"/>
      <c r="AA718" s="4"/>
    </row>
    <row r="719" spans="1:27" ht="12.75" x14ac:dyDescent="0.2">
      <c r="A719" s="16"/>
      <c r="B719" s="6"/>
      <c r="C719" s="6"/>
      <c r="D719" s="6"/>
      <c r="E719" s="4"/>
      <c r="F719" s="6"/>
      <c r="G719" s="6"/>
      <c r="H719" s="6"/>
      <c r="I719" s="6"/>
      <c r="J719" s="6"/>
      <c r="K719" s="6"/>
      <c r="L719" s="6"/>
      <c r="M719" s="6"/>
      <c r="N719" s="6"/>
      <c r="O719" s="16"/>
      <c r="P719" s="6"/>
      <c r="Q719" s="4"/>
      <c r="R719" s="4"/>
      <c r="S719" s="4"/>
      <c r="T719" s="4"/>
      <c r="U719" s="4"/>
      <c r="V719" s="4"/>
      <c r="W719" s="4"/>
      <c r="X719" s="4"/>
      <c r="Y719" s="4"/>
      <c r="Z719" s="4"/>
      <c r="AA719" s="4"/>
    </row>
    <row r="720" spans="1:27" ht="12.75" x14ac:dyDescent="0.2">
      <c r="A720" s="16"/>
      <c r="B720" s="6"/>
      <c r="C720" s="6"/>
      <c r="D720" s="6"/>
      <c r="E720" s="4"/>
      <c r="F720" s="6"/>
      <c r="G720" s="6"/>
      <c r="H720" s="6"/>
      <c r="I720" s="6"/>
      <c r="J720" s="6"/>
      <c r="K720" s="6"/>
      <c r="L720" s="6"/>
      <c r="M720" s="6"/>
      <c r="N720" s="6"/>
      <c r="O720" s="16"/>
      <c r="P720" s="6"/>
      <c r="Q720" s="4"/>
      <c r="R720" s="4"/>
      <c r="S720" s="4"/>
      <c r="T720" s="4"/>
      <c r="U720" s="4"/>
      <c r="V720" s="4"/>
      <c r="W720" s="4"/>
      <c r="X720" s="4"/>
      <c r="Y720" s="4"/>
      <c r="Z720" s="4"/>
      <c r="AA720" s="4"/>
    </row>
    <row r="721" spans="1:27" ht="12.75" x14ac:dyDescent="0.2">
      <c r="A721" s="16"/>
      <c r="B721" s="6"/>
      <c r="C721" s="6"/>
      <c r="D721" s="6"/>
      <c r="E721" s="4"/>
      <c r="F721" s="6"/>
      <c r="G721" s="6"/>
      <c r="H721" s="6"/>
      <c r="I721" s="6"/>
      <c r="J721" s="6"/>
      <c r="K721" s="6"/>
      <c r="L721" s="6"/>
      <c r="M721" s="6"/>
      <c r="N721" s="6"/>
      <c r="O721" s="16"/>
      <c r="P721" s="6"/>
      <c r="Q721" s="4"/>
      <c r="R721" s="4"/>
      <c r="S721" s="4"/>
      <c r="T721" s="4"/>
      <c r="U721" s="4"/>
      <c r="V721" s="4"/>
      <c r="W721" s="4"/>
      <c r="X721" s="4"/>
      <c r="Y721" s="4"/>
      <c r="Z721" s="4"/>
      <c r="AA721" s="4"/>
    </row>
    <row r="722" spans="1:27" ht="12.75" x14ac:dyDescent="0.2">
      <c r="A722" s="16"/>
      <c r="B722" s="6"/>
      <c r="C722" s="6"/>
      <c r="D722" s="6"/>
      <c r="E722" s="4"/>
      <c r="F722" s="6"/>
      <c r="G722" s="6"/>
      <c r="H722" s="6"/>
      <c r="I722" s="6"/>
      <c r="J722" s="6"/>
      <c r="K722" s="6"/>
      <c r="L722" s="6"/>
      <c r="M722" s="6"/>
      <c r="N722" s="6"/>
      <c r="O722" s="16"/>
      <c r="P722" s="6"/>
      <c r="Q722" s="4"/>
      <c r="R722" s="4"/>
      <c r="S722" s="4"/>
      <c r="T722" s="4"/>
      <c r="U722" s="4"/>
      <c r="V722" s="4"/>
      <c r="W722" s="4"/>
      <c r="X722" s="4"/>
      <c r="Y722" s="4"/>
      <c r="Z722" s="4"/>
      <c r="AA722" s="4"/>
    </row>
    <row r="723" spans="1:27" ht="12.75" x14ac:dyDescent="0.2">
      <c r="A723" s="16"/>
      <c r="B723" s="6"/>
      <c r="C723" s="6"/>
      <c r="D723" s="6"/>
      <c r="E723" s="4"/>
      <c r="F723" s="6"/>
      <c r="G723" s="6"/>
      <c r="H723" s="6"/>
      <c r="I723" s="6"/>
      <c r="J723" s="6"/>
      <c r="K723" s="6"/>
      <c r="L723" s="6"/>
      <c r="M723" s="6"/>
      <c r="N723" s="6"/>
      <c r="O723" s="16"/>
      <c r="P723" s="6"/>
      <c r="Q723" s="4"/>
      <c r="R723" s="4"/>
      <c r="S723" s="4"/>
      <c r="T723" s="4"/>
      <c r="U723" s="4"/>
      <c r="V723" s="4"/>
      <c r="W723" s="4"/>
      <c r="X723" s="4"/>
      <c r="Y723" s="4"/>
      <c r="Z723" s="4"/>
      <c r="AA723" s="4"/>
    </row>
    <row r="724" spans="1:27" ht="12.75" x14ac:dyDescent="0.2">
      <c r="A724" s="16"/>
      <c r="B724" s="6"/>
      <c r="C724" s="6"/>
      <c r="D724" s="6"/>
      <c r="E724" s="4"/>
      <c r="F724" s="6"/>
      <c r="G724" s="6"/>
      <c r="H724" s="6"/>
      <c r="I724" s="6"/>
      <c r="J724" s="6"/>
      <c r="K724" s="6"/>
      <c r="L724" s="6"/>
      <c r="M724" s="6"/>
      <c r="N724" s="6"/>
      <c r="O724" s="16"/>
      <c r="P724" s="6"/>
      <c r="Q724" s="4"/>
      <c r="R724" s="4"/>
      <c r="S724" s="4"/>
      <c r="T724" s="4"/>
      <c r="U724" s="4"/>
      <c r="V724" s="4"/>
      <c r="W724" s="4"/>
      <c r="X724" s="4"/>
      <c r="Y724" s="4"/>
      <c r="Z724" s="4"/>
      <c r="AA724" s="4"/>
    </row>
    <row r="725" spans="1:27" ht="12.75" x14ac:dyDescent="0.2">
      <c r="A725" s="16"/>
      <c r="B725" s="6"/>
      <c r="C725" s="6"/>
      <c r="D725" s="6"/>
      <c r="E725" s="4"/>
      <c r="F725" s="6"/>
      <c r="G725" s="6"/>
      <c r="H725" s="6"/>
      <c r="I725" s="6"/>
      <c r="J725" s="6"/>
      <c r="K725" s="6"/>
      <c r="L725" s="6"/>
      <c r="M725" s="6"/>
      <c r="N725" s="6"/>
      <c r="O725" s="16"/>
      <c r="P725" s="6"/>
      <c r="Q725" s="4"/>
      <c r="R725" s="4"/>
      <c r="S725" s="4"/>
      <c r="T725" s="4"/>
      <c r="U725" s="4"/>
      <c r="V725" s="4"/>
      <c r="W725" s="4"/>
      <c r="X725" s="4"/>
      <c r="Y725" s="4"/>
      <c r="Z725" s="4"/>
      <c r="AA725" s="4"/>
    </row>
    <row r="726" spans="1:27" ht="12.75" x14ac:dyDescent="0.2">
      <c r="A726" s="16"/>
      <c r="B726" s="6"/>
      <c r="C726" s="6"/>
      <c r="D726" s="6"/>
      <c r="E726" s="4"/>
      <c r="F726" s="6"/>
      <c r="G726" s="6"/>
      <c r="H726" s="6"/>
      <c r="I726" s="6"/>
      <c r="J726" s="6"/>
      <c r="K726" s="6"/>
      <c r="L726" s="6"/>
      <c r="M726" s="6"/>
      <c r="N726" s="6"/>
      <c r="O726" s="16"/>
      <c r="P726" s="6"/>
      <c r="Q726" s="4"/>
      <c r="R726" s="4"/>
      <c r="S726" s="4"/>
      <c r="T726" s="4"/>
      <c r="U726" s="4"/>
      <c r="V726" s="4"/>
      <c r="W726" s="4"/>
      <c r="X726" s="4"/>
      <c r="Y726" s="4"/>
      <c r="Z726" s="4"/>
      <c r="AA726" s="4"/>
    </row>
    <row r="727" spans="1:27" ht="12.75" x14ac:dyDescent="0.2">
      <c r="A727" s="16"/>
      <c r="B727" s="6"/>
      <c r="C727" s="6"/>
      <c r="D727" s="6"/>
      <c r="E727" s="4"/>
      <c r="F727" s="6"/>
      <c r="G727" s="6"/>
      <c r="H727" s="6"/>
      <c r="I727" s="6"/>
      <c r="J727" s="6"/>
      <c r="K727" s="6"/>
      <c r="L727" s="6"/>
      <c r="M727" s="6"/>
      <c r="N727" s="6"/>
      <c r="O727" s="16"/>
      <c r="P727" s="6"/>
      <c r="Q727" s="4"/>
      <c r="R727" s="4"/>
      <c r="S727" s="4"/>
      <c r="T727" s="4"/>
      <c r="U727" s="4"/>
      <c r="V727" s="4"/>
      <c r="W727" s="4"/>
      <c r="X727" s="4"/>
      <c r="Y727" s="4"/>
      <c r="Z727" s="4"/>
      <c r="AA727" s="4"/>
    </row>
    <row r="728" spans="1:27" ht="12.75" x14ac:dyDescent="0.2">
      <c r="A728" s="16"/>
      <c r="B728" s="6"/>
      <c r="C728" s="6"/>
      <c r="D728" s="6"/>
      <c r="E728" s="4"/>
      <c r="F728" s="6"/>
      <c r="G728" s="6"/>
      <c r="H728" s="6"/>
      <c r="I728" s="6"/>
      <c r="J728" s="6"/>
      <c r="K728" s="6"/>
      <c r="L728" s="6"/>
      <c r="M728" s="6"/>
      <c r="N728" s="6"/>
      <c r="O728" s="16"/>
      <c r="P728" s="6"/>
      <c r="Q728" s="4"/>
      <c r="R728" s="4"/>
      <c r="S728" s="4"/>
      <c r="T728" s="4"/>
      <c r="U728" s="4"/>
      <c r="V728" s="4"/>
      <c r="W728" s="4"/>
      <c r="X728" s="4"/>
      <c r="Y728" s="4"/>
      <c r="Z728" s="4"/>
      <c r="AA728" s="4"/>
    </row>
    <row r="729" spans="1:27" ht="12.75" x14ac:dyDescent="0.2">
      <c r="A729" s="16"/>
      <c r="B729" s="6"/>
      <c r="C729" s="6"/>
      <c r="D729" s="6"/>
      <c r="E729" s="4"/>
      <c r="F729" s="6"/>
      <c r="G729" s="6"/>
      <c r="H729" s="6"/>
      <c r="I729" s="6"/>
      <c r="J729" s="6"/>
      <c r="K729" s="6"/>
      <c r="L729" s="6"/>
      <c r="M729" s="6"/>
      <c r="N729" s="6"/>
      <c r="O729" s="16"/>
      <c r="P729" s="6"/>
      <c r="Q729" s="4"/>
      <c r="R729" s="4"/>
      <c r="S729" s="4"/>
      <c r="T729" s="4"/>
      <c r="U729" s="4"/>
      <c r="V729" s="4"/>
      <c r="W729" s="4"/>
      <c r="X729" s="4"/>
      <c r="Y729" s="4"/>
      <c r="Z729" s="4"/>
      <c r="AA729" s="4"/>
    </row>
    <row r="730" spans="1:27" ht="12.75" x14ac:dyDescent="0.2">
      <c r="A730" s="16"/>
      <c r="B730" s="6"/>
      <c r="C730" s="6"/>
      <c r="D730" s="6"/>
      <c r="E730" s="4"/>
      <c r="F730" s="6"/>
      <c r="G730" s="6"/>
      <c r="H730" s="6"/>
      <c r="I730" s="6"/>
      <c r="J730" s="6"/>
      <c r="K730" s="6"/>
      <c r="L730" s="6"/>
      <c r="M730" s="6"/>
      <c r="N730" s="6"/>
      <c r="O730" s="16"/>
      <c r="P730" s="6"/>
      <c r="Q730" s="4"/>
      <c r="R730" s="4"/>
      <c r="S730" s="4"/>
      <c r="T730" s="4"/>
      <c r="U730" s="4"/>
      <c r="V730" s="4"/>
      <c r="W730" s="4"/>
      <c r="X730" s="4"/>
      <c r="Y730" s="4"/>
      <c r="Z730" s="4"/>
      <c r="AA730" s="4"/>
    </row>
    <row r="731" spans="1:27" ht="12.75" x14ac:dyDescent="0.2">
      <c r="A731" s="16"/>
      <c r="B731" s="6"/>
      <c r="C731" s="6"/>
      <c r="D731" s="6"/>
      <c r="E731" s="4"/>
      <c r="F731" s="6"/>
      <c r="G731" s="6"/>
      <c r="H731" s="6"/>
      <c r="I731" s="6"/>
      <c r="J731" s="6"/>
      <c r="K731" s="6"/>
      <c r="L731" s="6"/>
      <c r="M731" s="6"/>
      <c r="N731" s="6"/>
      <c r="O731" s="16"/>
      <c r="P731" s="6"/>
      <c r="Q731" s="4"/>
      <c r="R731" s="4"/>
      <c r="S731" s="4"/>
      <c r="T731" s="4"/>
      <c r="U731" s="4"/>
      <c r="V731" s="4"/>
      <c r="W731" s="4"/>
      <c r="X731" s="4"/>
      <c r="Y731" s="4"/>
      <c r="Z731" s="4"/>
      <c r="AA731" s="4"/>
    </row>
    <row r="732" spans="1:27" ht="12.75" x14ac:dyDescent="0.2">
      <c r="A732" s="16"/>
      <c r="B732" s="6"/>
      <c r="C732" s="6"/>
      <c r="D732" s="6"/>
      <c r="E732" s="4"/>
      <c r="F732" s="6"/>
      <c r="G732" s="6"/>
      <c r="H732" s="6"/>
      <c r="I732" s="6"/>
      <c r="J732" s="6"/>
      <c r="K732" s="6"/>
      <c r="L732" s="6"/>
      <c r="M732" s="6"/>
      <c r="N732" s="6"/>
      <c r="O732" s="16"/>
      <c r="P732" s="6"/>
      <c r="Q732" s="4"/>
      <c r="R732" s="4"/>
      <c r="S732" s="4"/>
      <c r="T732" s="4"/>
      <c r="U732" s="4"/>
      <c r="V732" s="4"/>
      <c r="W732" s="4"/>
      <c r="X732" s="4"/>
      <c r="Y732" s="4"/>
      <c r="Z732" s="4"/>
      <c r="AA732" s="4"/>
    </row>
    <row r="733" spans="1:27" ht="12.75" x14ac:dyDescent="0.2">
      <c r="A733" s="16"/>
      <c r="B733" s="6"/>
      <c r="C733" s="6"/>
      <c r="D733" s="6"/>
      <c r="E733" s="4"/>
      <c r="F733" s="6"/>
      <c r="G733" s="6"/>
      <c r="H733" s="6"/>
      <c r="I733" s="6"/>
      <c r="J733" s="6"/>
      <c r="K733" s="6"/>
      <c r="L733" s="6"/>
      <c r="M733" s="6"/>
      <c r="N733" s="6"/>
      <c r="O733" s="16"/>
      <c r="P733" s="6"/>
      <c r="Q733" s="4"/>
      <c r="R733" s="4"/>
      <c r="S733" s="4"/>
      <c r="T733" s="4"/>
      <c r="U733" s="4"/>
      <c r="V733" s="4"/>
      <c r="W733" s="4"/>
      <c r="X733" s="4"/>
      <c r="Y733" s="4"/>
      <c r="Z733" s="4"/>
      <c r="AA733" s="4"/>
    </row>
    <row r="734" spans="1:27" ht="12.75" x14ac:dyDescent="0.2">
      <c r="A734" s="16"/>
      <c r="B734" s="6"/>
      <c r="C734" s="6"/>
      <c r="D734" s="6"/>
      <c r="E734" s="4"/>
      <c r="F734" s="6"/>
      <c r="G734" s="6"/>
      <c r="H734" s="6"/>
      <c r="I734" s="6"/>
      <c r="J734" s="6"/>
      <c r="K734" s="6"/>
      <c r="L734" s="6"/>
      <c r="M734" s="6"/>
      <c r="N734" s="6"/>
      <c r="O734" s="16"/>
      <c r="P734" s="6"/>
      <c r="Q734" s="4"/>
      <c r="R734" s="4"/>
      <c r="S734" s="4"/>
      <c r="T734" s="4"/>
      <c r="U734" s="4"/>
      <c r="V734" s="4"/>
      <c r="W734" s="4"/>
      <c r="X734" s="4"/>
      <c r="Y734" s="4"/>
      <c r="Z734" s="4"/>
      <c r="AA734" s="4"/>
    </row>
    <row r="735" spans="1:27" ht="12.75" x14ac:dyDescent="0.2">
      <c r="A735" s="16"/>
      <c r="B735" s="6"/>
      <c r="C735" s="6"/>
      <c r="D735" s="6"/>
      <c r="E735" s="4"/>
      <c r="F735" s="6"/>
      <c r="G735" s="6"/>
      <c r="H735" s="6"/>
      <c r="I735" s="6"/>
      <c r="J735" s="6"/>
      <c r="K735" s="6"/>
      <c r="L735" s="6"/>
      <c r="M735" s="6"/>
      <c r="N735" s="6"/>
      <c r="O735" s="16"/>
      <c r="P735" s="6"/>
      <c r="Q735" s="4"/>
      <c r="R735" s="4"/>
      <c r="S735" s="4"/>
      <c r="T735" s="4"/>
      <c r="U735" s="4"/>
      <c r="V735" s="4"/>
      <c r="W735" s="4"/>
      <c r="X735" s="4"/>
      <c r="Y735" s="4"/>
      <c r="Z735" s="4"/>
      <c r="AA735" s="4"/>
    </row>
    <row r="736" spans="1:27" ht="12.75" x14ac:dyDescent="0.2">
      <c r="A736" s="16"/>
      <c r="B736" s="6"/>
      <c r="C736" s="6"/>
      <c r="D736" s="6"/>
      <c r="E736" s="4"/>
      <c r="F736" s="6"/>
      <c r="G736" s="6"/>
      <c r="H736" s="6"/>
      <c r="I736" s="6"/>
      <c r="J736" s="6"/>
      <c r="K736" s="6"/>
      <c r="L736" s="6"/>
      <c r="M736" s="6"/>
      <c r="N736" s="6"/>
      <c r="O736" s="16"/>
      <c r="P736" s="6"/>
      <c r="Q736" s="4"/>
      <c r="R736" s="4"/>
      <c r="S736" s="4"/>
      <c r="T736" s="4"/>
      <c r="U736" s="4"/>
      <c r="V736" s="4"/>
      <c r="W736" s="4"/>
      <c r="X736" s="4"/>
      <c r="Y736" s="4"/>
      <c r="Z736" s="4"/>
      <c r="AA736" s="4"/>
    </row>
    <row r="737" spans="1:27" ht="12.75" x14ac:dyDescent="0.2">
      <c r="A737" s="16"/>
      <c r="B737" s="6"/>
      <c r="C737" s="6"/>
      <c r="D737" s="6"/>
      <c r="E737" s="4"/>
      <c r="F737" s="6"/>
      <c r="G737" s="6"/>
      <c r="H737" s="6"/>
      <c r="I737" s="6"/>
      <c r="J737" s="6"/>
      <c r="K737" s="6"/>
      <c r="L737" s="6"/>
      <c r="M737" s="6"/>
      <c r="N737" s="6"/>
      <c r="O737" s="16"/>
      <c r="P737" s="6"/>
      <c r="Q737" s="4"/>
      <c r="R737" s="4"/>
      <c r="S737" s="4"/>
      <c r="T737" s="4"/>
      <c r="U737" s="4"/>
      <c r="V737" s="4"/>
      <c r="W737" s="4"/>
      <c r="X737" s="4"/>
      <c r="Y737" s="4"/>
      <c r="Z737" s="4"/>
      <c r="AA737" s="4"/>
    </row>
    <row r="738" spans="1:27" ht="12.75" x14ac:dyDescent="0.2">
      <c r="A738" s="16"/>
      <c r="B738" s="6"/>
      <c r="C738" s="6"/>
      <c r="D738" s="6"/>
      <c r="E738" s="4"/>
      <c r="F738" s="6"/>
      <c r="G738" s="6"/>
      <c r="H738" s="6"/>
      <c r="I738" s="6"/>
      <c r="J738" s="6"/>
      <c r="K738" s="6"/>
      <c r="L738" s="6"/>
      <c r="M738" s="6"/>
      <c r="N738" s="6"/>
      <c r="O738" s="16"/>
      <c r="P738" s="6"/>
      <c r="Q738" s="4"/>
      <c r="R738" s="4"/>
      <c r="S738" s="4"/>
      <c r="T738" s="4"/>
      <c r="U738" s="4"/>
      <c r="V738" s="4"/>
      <c r="W738" s="4"/>
      <c r="X738" s="4"/>
      <c r="Y738" s="4"/>
      <c r="Z738" s="4"/>
      <c r="AA738" s="4"/>
    </row>
    <row r="739" spans="1:27" ht="12.75" x14ac:dyDescent="0.2">
      <c r="A739" s="16"/>
      <c r="B739" s="6"/>
      <c r="C739" s="6"/>
      <c r="D739" s="6"/>
      <c r="E739" s="4"/>
      <c r="F739" s="6"/>
      <c r="G739" s="6"/>
      <c r="H739" s="6"/>
      <c r="I739" s="6"/>
      <c r="J739" s="6"/>
      <c r="K739" s="6"/>
      <c r="L739" s="6"/>
      <c r="M739" s="6"/>
      <c r="N739" s="6"/>
      <c r="O739" s="16"/>
      <c r="P739" s="6"/>
      <c r="Q739" s="4"/>
      <c r="R739" s="4"/>
      <c r="S739" s="4"/>
      <c r="T739" s="4"/>
      <c r="U739" s="4"/>
      <c r="V739" s="4"/>
      <c r="W739" s="4"/>
      <c r="X739" s="4"/>
      <c r="Y739" s="4"/>
      <c r="Z739" s="4"/>
      <c r="AA739" s="4"/>
    </row>
    <row r="740" spans="1:27" ht="12.75" x14ac:dyDescent="0.2">
      <c r="A740" s="16"/>
      <c r="B740" s="6"/>
      <c r="C740" s="6"/>
      <c r="D740" s="6"/>
      <c r="E740" s="4"/>
      <c r="F740" s="6"/>
      <c r="G740" s="6"/>
      <c r="H740" s="6"/>
      <c r="I740" s="6"/>
      <c r="J740" s="6"/>
      <c r="K740" s="6"/>
      <c r="L740" s="6"/>
      <c r="M740" s="6"/>
      <c r="N740" s="6"/>
      <c r="O740" s="16"/>
      <c r="P740" s="6"/>
      <c r="Q740" s="4"/>
      <c r="R740" s="4"/>
      <c r="S740" s="4"/>
      <c r="T740" s="4"/>
      <c r="U740" s="4"/>
      <c r="V740" s="4"/>
      <c r="W740" s="4"/>
      <c r="X740" s="4"/>
      <c r="Y740" s="4"/>
      <c r="Z740" s="4"/>
      <c r="AA740" s="4"/>
    </row>
    <row r="741" spans="1:27" ht="12.75" x14ac:dyDescent="0.2">
      <c r="A741" s="16"/>
      <c r="B741" s="6"/>
      <c r="C741" s="6"/>
      <c r="D741" s="6"/>
      <c r="E741" s="4"/>
      <c r="F741" s="6"/>
      <c r="G741" s="6"/>
      <c r="H741" s="6"/>
      <c r="I741" s="6"/>
      <c r="J741" s="6"/>
      <c r="K741" s="6"/>
      <c r="L741" s="6"/>
      <c r="M741" s="6"/>
      <c r="N741" s="6"/>
      <c r="O741" s="16"/>
      <c r="P741" s="6"/>
      <c r="Q741" s="4"/>
      <c r="R741" s="4"/>
      <c r="S741" s="4"/>
      <c r="T741" s="4"/>
      <c r="U741" s="4"/>
      <c r="V741" s="4"/>
      <c r="W741" s="4"/>
      <c r="X741" s="4"/>
      <c r="Y741" s="4"/>
      <c r="Z741" s="4"/>
      <c r="AA741" s="4"/>
    </row>
    <row r="742" spans="1:27" ht="12.75" x14ac:dyDescent="0.2">
      <c r="A742" s="16"/>
      <c r="B742" s="6"/>
      <c r="C742" s="6"/>
      <c r="D742" s="6"/>
      <c r="E742" s="4"/>
      <c r="F742" s="6"/>
      <c r="G742" s="6"/>
      <c r="H742" s="6"/>
      <c r="I742" s="6"/>
      <c r="J742" s="6"/>
      <c r="K742" s="6"/>
      <c r="L742" s="6"/>
      <c r="M742" s="6"/>
      <c r="N742" s="6"/>
      <c r="O742" s="16"/>
      <c r="P742" s="6"/>
      <c r="Q742" s="4"/>
      <c r="R742" s="4"/>
      <c r="S742" s="4"/>
      <c r="T742" s="4"/>
      <c r="U742" s="4"/>
      <c r="V742" s="4"/>
      <c r="W742" s="4"/>
      <c r="X742" s="4"/>
      <c r="Y742" s="4"/>
      <c r="Z742" s="4"/>
      <c r="AA742" s="4"/>
    </row>
    <row r="743" spans="1:27" ht="12.75" x14ac:dyDescent="0.2">
      <c r="A743" s="16"/>
      <c r="B743" s="6"/>
      <c r="C743" s="6"/>
      <c r="D743" s="6"/>
      <c r="E743" s="4"/>
      <c r="F743" s="6"/>
      <c r="G743" s="6"/>
      <c r="H743" s="6"/>
      <c r="I743" s="6"/>
      <c r="J743" s="6"/>
      <c r="K743" s="6"/>
      <c r="L743" s="6"/>
      <c r="M743" s="6"/>
      <c r="N743" s="6"/>
      <c r="O743" s="16"/>
      <c r="P743" s="6"/>
      <c r="Q743" s="4"/>
      <c r="R743" s="4"/>
      <c r="S743" s="4"/>
      <c r="T743" s="4"/>
      <c r="U743" s="4"/>
      <c r="V743" s="4"/>
      <c r="W743" s="4"/>
      <c r="X743" s="4"/>
      <c r="Y743" s="4"/>
      <c r="Z743" s="4"/>
      <c r="AA743" s="4"/>
    </row>
    <row r="744" spans="1:27" ht="12.75" x14ac:dyDescent="0.2">
      <c r="A744" s="16"/>
      <c r="B744" s="6"/>
      <c r="C744" s="6"/>
      <c r="D744" s="6"/>
      <c r="E744" s="4"/>
      <c r="F744" s="6"/>
      <c r="G744" s="6"/>
      <c r="H744" s="6"/>
      <c r="I744" s="6"/>
      <c r="J744" s="6"/>
      <c r="K744" s="6"/>
      <c r="L744" s="6"/>
      <c r="M744" s="6"/>
      <c r="N744" s="6"/>
      <c r="O744" s="16"/>
      <c r="P744" s="6"/>
      <c r="Q744" s="4"/>
      <c r="R744" s="4"/>
      <c r="S744" s="4"/>
      <c r="T744" s="4"/>
      <c r="U744" s="4"/>
      <c r="V744" s="4"/>
      <c r="W744" s="4"/>
      <c r="X744" s="4"/>
      <c r="Y744" s="4"/>
      <c r="Z744" s="4"/>
      <c r="AA744" s="4"/>
    </row>
    <row r="745" spans="1:27" ht="12.75" x14ac:dyDescent="0.2">
      <c r="A745" s="16"/>
      <c r="B745" s="6"/>
      <c r="C745" s="6"/>
      <c r="D745" s="6"/>
      <c r="E745" s="4"/>
      <c r="F745" s="6"/>
      <c r="G745" s="6"/>
      <c r="H745" s="6"/>
      <c r="I745" s="6"/>
      <c r="J745" s="6"/>
      <c r="K745" s="6"/>
      <c r="L745" s="6"/>
      <c r="M745" s="6"/>
      <c r="N745" s="6"/>
      <c r="O745" s="16"/>
      <c r="P745" s="6"/>
      <c r="Q745" s="4"/>
      <c r="R745" s="4"/>
      <c r="S745" s="4"/>
      <c r="T745" s="4"/>
      <c r="U745" s="4"/>
      <c r="V745" s="4"/>
      <c r="W745" s="4"/>
      <c r="X745" s="4"/>
      <c r="Y745" s="4"/>
      <c r="Z745" s="4"/>
      <c r="AA745" s="4"/>
    </row>
    <row r="746" spans="1:27" ht="12.75" x14ac:dyDescent="0.2">
      <c r="A746" s="16"/>
      <c r="B746" s="6"/>
      <c r="C746" s="6"/>
      <c r="D746" s="6"/>
      <c r="E746" s="4"/>
      <c r="F746" s="6"/>
      <c r="G746" s="6"/>
      <c r="H746" s="6"/>
      <c r="I746" s="6"/>
      <c r="J746" s="6"/>
      <c r="K746" s="6"/>
      <c r="L746" s="6"/>
      <c r="M746" s="6"/>
      <c r="N746" s="6"/>
      <c r="O746" s="16"/>
      <c r="P746" s="6"/>
      <c r="Q746" s="4"/>
      <c r="R746" s="4"/>
      <c r="S746" s="4"/>
      <c r="T746" s="4"/>
      <c r="U746" s="4"/>
      <c r="V746" s="4"/>
      <c r="W746" s="4"/>
      <c r="X746" s="4"/>
      <c r="Y746" s="4"/>
      <c r="Z746" s="4"/>
      <c r="AA746" s="4"/>
    </row>
    <row r="747" spans="1:27" ht="12.75" x14ac:dyDescent="0.2">
      <c r="A747" s="16"/>
      <c r="B747" s="6"/>
      <c r="C747" s="6"/>
      <c r="D747" s="6"/>
      <c r="E747" s="4"/>
      <c r="F747" s="6"/>
      <c r="G747" s="6"/>
      <c r="H747" s="6"/>
      <c r="I747" s="6"/>
      <c r="J747" s="6"/>
      <c r="K747" s="6"/>
      <c r="L747" s="6"/>
      <c r="M747" s="6"/>
      <c r="N747" s="6"/>
      <c r="O747" s="16"/>
      <c r="P747" s="6"/>
      <c r="Q747" s="4"/>
      <c r="R747" s="4"/>
      <c r="S747" s="4"/>
      <c r="T747" s="4"/>
      <c r="U747" s="4"/>
      <c r="V747" s="4"/>
      <c r="W747" s="4"/>
      <c r="X747" s="4"/>
      <c r="Y747" s="4"/>
      <c r="Z747" s="4"/>
      <c r="AA747" s="4"/>
    </row>
    <row r="748" spans="1:27" ht="12.75" x14ac:dyDescent="0.2">
      <c r="A748" s="16"/>
      <c r="B748" s="6"/>
      <c r="C748" s="6"/>
      <c r="D748" s="6"/>
      <c r="E748" s="4"/>
      <c r="F748" s="6"/>
      <c r="G748" s="6"/>
      <c r="H748" s="6"/>
      <c r="I748" s="6"/>
      <c r="J748" s="6"/>
      <c r="K748" s="6"/>
      <c r="L748" s="6"/>
      <c r="M748" s="6"/>
      <c r="N748" s="6"/>
      <c r="O748" s="16"/>
      <c r="P748" s="6"/>
      <c r="Q748" s="4"/>
      <c r="R748" s="4"/>
      <c r="S748" s="4"/>
      <c r="T748" s="4"/>
      <c r="U748" s="4"/>
      <c r="V748" s="4"/>
      <c r="W748" s="4"/>
      <c r="X748" s="4"/>
      <c r="Y748" s="4"/>
      <c r="Z748" s="4"/>
      <c r="AA748" s="4"/>
    </row>
    <row r="749" spans="1:27" ht="12.75" x14ac:dyDescent="0.2">
      <c r="A749" s="16"/>
      <c r="B749" s="6"/>
      <c r="C749" s="6"/>
      <c r="D749" s="6"/>
      <c r="E749" s="4"/>
      <c r="F749" s="6"/>
      <c r="G749" s="6"/>
      <c r="H749" s="6"/>
      <c r="I749" s="6"/>
      <c r="J749" s="6"/>
      <c r="K749" s="6"/>
      <c r="L749" s="6"/>
      <c r="M749" s="6"/>
      <c r="N749" s="6"/>
      <c r="O749" s="16"/>
      <c r="P749" s="6"/>
      <c r="Q749" s="4"/>
      <c r="R749" s="4"/>
      <c r="S749" s="4"/>
      <c r="T749" s="4"/>
      <c r="U749" s="4"/>
      <c r="V749" s="4"/>
      <c r="W749" s="4"/>
      <c r="X749" s="4"/>
      <c r="Y749" s="4"/>
      <c r="Z749" s="4"/>
      <c r="AA749" s="4"/>
    </row>
    <row r="750" spans="1:27" ht="12.75" x14ac:dyDescent="0.2">
      <c r="A750" s="16"/>
      <c r="B750" s="6"/>
      <c r="C750" s="6"/>
      <c r="D750" s="6"/>
      <c r="E750" s="4"/>
      <c r="F750" s="6"/>
      <c r="G750" s="6"/>
      <c r="H750" s="6"/>
      <c r="I750" s="6"/>
      <c r="J750" s="6"/>
      <c r="K750" s="6"/>
      <c r="L750" s="6"/>
      <c r="M750" s="6"/>
      <c r="N750" s="6"/>
      <c r="O750" s="16"/>
      <c r="P750" s="6"/>
      <c r="Q750" s="4"/>
      <c r="R750" s="4"/>
      <c r="S750" s="4"/>
      <c r="T750" s="4"/>
      <c r="U750" s="4"/>
      <c r="V750" s="4"/>
      <c r="W750" s="4"/>
      <c r="X750" s="4"/>
      <c r="Y750" s="4"/>
      <c r="Z750" s="4"/>
      <c r="AA750" s="4"/>
    </row>
    <row r="751" spans="1:27" ht="12.75" x14ac:dyDescent="0.2">
      <c r="A751" s="16"/>
      <c r="B751" s="6"/>
      <c r="C751" s="6"/>
      <c r="D751" s="6"/>
      <c r="E751" s="4"/>
      <c r="F751" s="6"/>
      <c r="G751" s="6"/>
      <c r="H751" s="6"/>
      <c r="I751" s="6"/>
      <c r="J751" s="6"/>
      <c r="K751" s="6"/>
      <c r="L751" s="6"/>
      <c r="M751" s="6"/>
      <c r="N751" s="6"/>
      <c r="O751" s="16"/>
      <c r="P751" s="6"/>
      <c r="Q751" s="4"/>
      <c r="R751" s="4"/>
      <c r="S751" s="4"/>
      <c r="T751" s="4"/>
      <c r="U751" s="4"/>
      <c r="V751" s="4"/>
      <c r="W751" s="4"/>
      <c r="X751" s="4"/>
      <c r="Y751" s="4"/>
      <c r="Z751" s="4"/>
      <c r="AA751" s="4"/>
    </row>
    <row r="752" spans="1:27" ht="12.75" x14ac:dyDescent="0.2">
      <c r="A752" s="16"/>
      <c r="B752" s="6"/>
      <c r="C752" s="6"/>
      <c r="D752" s="6"/>
      <c r="E752" s="4"/>
      <c r="F752" s="6"/>
      <c r="G752" s="6"/>
      <c r="H752" s="6"/>
      <c r="I752" s="6"/>
      <c r="J752" s="6"/>
      <c r="K752" s="6"/>
      <c r="L752" s="6"/>
      <c r="M752" s="6"/>
      <c r="N752" s="6"/>
      <c r="O752" s="16"/>
      <c r="P752" s="6"/>
      <c r="Q752" s="4"/>
      <c r="R752" s="4"/>
      <c r="S752" s="4"/>
      <c r="T752" s="4"/>
      <c r="U752" s="4"/>
      <c r="V752" s="4"/>
      <c r="W752" s="4"/>
      <c r="X752" s="4"/>
      <c r="Y752" s="4"/>
      <c r="Z752" s="4"/>
      <c r="AA752" s="4"/>
    </row>
    <row r="753" spans="1:27" ht="12.75" x14ac:dyDescent="0.2">
      <c r="A753" s="16"/>
      <c r="B753" s="6"/>
      <c r="C753" s="6"/>
      <c r="D753" s="6"/>
      <c r="E753" s="4"/>
      <c r="F753" s="6"/>
      <c r="G753" s="6"/>
      <c r="H753" s="6"/>
      <c r="I753" s="6"/>
      <c r="J753" s="6"/>
      <c r="K753" s="6"/>
      <c r="L753" s="6"/>
      <c r="M753" s="6"/>
      <c r="N753" s="6"/>
      <c r="O753" s="16"/>
      <c r="P753" s="6"/>
      <c r="Q753" s="4"/>
      <c r="R753" s="4"/>
      <c r="S753" s="4"/>
      <c r="T753" s="4"/>
      <c r="U753" s="4"/>
      <c r="V753" s="4"/>
      <c r="W753" s="4"/>
      <c r="X753" s="4"/>
      <c r="Y753" s="4"/>
      <c r="Z753" s="4"/>
      <c r="AA753" s="4"/>
    </row>
    <row r="754" spans="1:27" ht="12.75" x14ac:dyDescent="0.2">
      <c r="A754" s="16"/>
      <c r="B754" s="6"/>
      <c r="C754" s="6"/>
      <c r="D754" s="6"/>
      <c r="E754" s="4"/>
      <c r="F754" s="6"/>
      <c r="G754" s="6"/>
      <c r="H754" s="6"/>
      <c r="I754" s="6"/>
      <c r="J754" s="6"/>
      <c r="K754" s="6"/>
      <c r="L754" s="6"/>
      <c r="M754" s="6"/>
      <c r="N754" s="6"/>
      <c r="O754" s="16"/>
      <c r="P754" s="6"/>
      <c r="Q754" s="4"/>
      <c r="R754" s="4"/>
      <c r="S754" s="4"/>
      <c r="T754" s="4"/>
      <c r="U754" s="4"/>
      <c r="V754" s="4"/>
      <c r="W754" s="4"/>
      <c r="X754" s="4"/>
      <c r="Y754" s="4"/>
      <c r="Z754" s="4"/>
      <c r="AA754" s="4"/>
    </row>
    <row r="755" spans="1:27" ht="12.75" x14ac:dyDescent="0.2">
      <c r="A755" s="16"/>
      <c r="B755" s="6"/>
      <c r="C755" s="6"/>
      <c r="D755" s="6"/>
      <c r="E755" s="4"/>
      <c r="F755" s="6"/>
      <c r="G755" s="6"/>
      <c r="H755" s="6"/>
      <c r="I755" s="6"/>
      <c r="J755" s="6"/>
      <c r="K755" s="6"/>
      <c r="L755" s="6"/>
      <c r="M755" s="6"/>
      <c r="N755" s="6"/>
      <c r="O755" s="16"/>
      <c r="P755" s="6"/>
      <c r="Q755" s="4"/>
      <c r="R755" s="4"/>
      <c r="S755" s="4"/>
      <c r="T755" s="4"/>
      <c r="U755" s="4"/>
      <c r="V755" s="4"/>
      <c r="W755" s="4"/>
      <c r="X755" s="4"/>
      <c r="Y755" s="4"/>
      <c r="Z755" s="4"/>
      <c r="AA755" s="4"/>
    </row>
    <row r="756" spans="1:27" ht="12.75" x14ac:dyDescent="0.2">
      <c r="A756" s="16"/>
      <c r="B756" s="6"/>
      <c r="C756" s="6"/>
      <c r="D756" s="6"/>
      <c r="E756" s="4"/>
      <c r="F756" s="6"/>
      <c r="G756" s="6"/>
      <c r="H756" s="6"/>
      <c r="I756" s="6"/>
      <c r="J756" s="6"/>
      <c r="K756" s="6"/>
      <c r="L756" s="6"/>
      <c r="M756" s="6"/>
      <c r="N756" s="6"/>
      <c r="O756" s="16"/>
      <c r="P756" s="6"/>
      <c r="Q756" s="4"/>
      <c r="R756" s="4"/>
      <c r="S756" s="4"/>
      <c r="T756" s="4"/>
      <c r="U756" s="4"/>
      <c r="V756" s="4"/>
      <c r="W756" s="4"/>
      <c r="X756" s="4"/>
      <c r="Y756" s="4"/>
      <c r="Z756" s="4"/>
      <c r="AA756" s="4"/>
    </row>
    <row r="757" spans="1:27" ht="12.75" x14ac:dyDescent="0.2">
      <c r="A757" s="16"/>
      <c r="B757" s="6"/>
      <c r="C757" s="6"/>
      <c r="D757" s="6"/>
      <c r="E757" s="4"/>
      <c r="F757" s="6"/>
      <c r="G757" s="6"/>
      <c r="H757" s="6"/>
      <c r="I757" s="6"/>
      <c r="J757" s="6"/>
      <c r="K757" s="6"/>
      <c r="L757" s="6"/>
      <c r="M757" s="6"/>
      <c r="N757" s="6"/>
      <c r="O757" s="16"/>
      <c r="P757" s="6"/>
      <c r="Q757" s="4"/>
      <c r="R757" s="4"/>
      <c r="S757" s="4"/>
      <c r="T757" s="4"/>
      <c r="U757" s="4"/>
      <c r="V757" s="4"/>
      <c r="W757" s="4"/>
      <c r="X757" s="4"/>
      <c r="Y757" s="4"/>
      <c r="Z757" s="4"/>
      <c r="AA757" s="4"/>
    </row>
    <row r="758" spans="1:27" ht="12.75" x14ac:dyDescent="0.2">
      <c r="A758" s="16"/>
      <c r="B758" s="6"/>
      <c r="C758" s="6"/>
      <c r="D758" s="6"/>
      <c r="E758" s="4"/>
      <c r="F758" s="6"/>
      <c r="G758" s="6"/>
      <c r="H758" s="6"/>
      <c r="I758" s="6"/>
      <c r="J758" s="6"/>
      <c r="K758" s="6"/>
      <c r="L758" s="6"/>
      <c r="M758" s="6"/>
      <c r="N758" s="6"/>
      <c r="O758" s="16"/>
      <c r="P758" s="6"/>
      <c r="Q758" s="4"/>
      <c r="R758" s="4"/>
      <c r="S758" s="4"/>
      <c r="T758" s="4"/>
      <c r="U758" s="4"/>
      <c r="V758" s="4"/>
      <c r="W758" s="4"/>
      <c r="X758" s="4"/>
      <c r="Y758" s="4"/>
      <c r="Z758" s="4"/>
      <c r="AA758" s="4"/>
    </row>
    <row r="759" spans="1:27" ht="12.75" x14ac:dyDescent="0.2">
      <c r="A759" s="16"/>
      <c r="B759" s="6"/>
      <c r="C759" s="6"/>
      <c r="D759" s="6"/>
      <c r="E759" s="4"/>
      <c r="F759" s="6"/>
      <c r="G759" s="6"/>
      <c r="H759" s="6"/>
      <c r="I759" s="6"/>
      <c r="J759" s="6"/>
      <c r="K759" s="6"/>
      <c r="L759" s="6"/>
      <c r="M759" s="6"/>
      <c r="N759" s="6"/>
      <c r="O759" s="16"/>
      <c r="P759" s="6"/>
      <c r="Q759" s="4"/>
      <c r="R759" s="4"/>
      <c r="S759" s="4"/>
      <c r="T759" s="4"/>
      <c r="U759" s="4"/>
      <c r="V759" s="4"/>
      <c r="W759" s="4"/>
      <c r="X759" s="4"/>
      <c r="Y759" s="4"/>
      <c r="Z759" s="4"/>
      <c r="AA759" s="4"/>
    </row>
    <row r="760" spans="1:27" ht="12.75" x14ac:dyDescent="0.2">
      <c r="A760" s="16"/>
      <c r="B760" s="6"/>
      <c r="C760" s="6"/>
      <c r="D760" s="6"/>
      <c r="E760" s="4"/>
      <c r="F760" s="6"/>
      <c r="G760" s="6"/>
      <c r="H760" s="6"/>
      <c r="I760" s="6"/>
      <c r="J760" s="6"/>
      <c r="K760" s="6"/>
      <c r="L760" s="6"/>
      <c r="M760" s="6"/>
      <c r="N760" s="6"/>
      <c r="O760" s="16"/>
      <c r="P760" s="6"/>
      <c r="Q760" s="4"/>
      <c r="R760" s="4"/>
      <c r="S760" s="4"/>
      <c r="T760" s="4"/>
      <c r="U760" s="4"/>
      <c r="V760" s="4"/>
      <c r="W760" s="4"/>
      <c r="X760" s="4"/>
      <c r="Y760" s="4"/>
      <c r="Z760" s="4"/>
      <c r="AA760" s="4"/>
    </row>
    <row r="761" spans="1:27" ht="12.75" x14ac:dyDescent="0.2">
      <c r="A761" s="16"/>
      <c r="B761" s="6"/>
      <c r="C761" s="6"/>
      <c r="D761" s="6"/>
      <c r="E761" s="4"/>
      <c r="F761" s="6"/>
      <c r="G761" s="6"/>
      <c r="H761" s="6"/>
      <c r="I761" s="6"/>
      <c r="J761" s="6"/>
      <c r="K761" s="6"/>
      <c r="L761" s="6"/>
      <c r="M761" s="6"/>
      <c r="N761" s="6"/>
      <c r="O761" s="16"/>
      <c r="P761" s="6"/>
      <c r="Q761" s="4"/>
      <c r="R761" s="4"/>
      <c r="S761" s="4"/>
      <c r="T761" s="4"/>
      <c r="U761" s="4"/>
      <c r="V761" s="4"/>
      <c r="W761" s="4"/>
      <c r="X761" s="4"/>
      <c r="Y761" s="4"/>
      <c r="Z761" s="4"/>
      <c r="AA761" s="4"/>
    </row>
    <row r="762" spans="1:27" ht="12.75" x14ac:dyDescent="0.2">
      <c r="A762" s="16"/>
      <c r="B762" s="6"/>
      <c r="C762" s="6"/>
      <c r="D762" s="6"/>
      <c r="E762" s="4"/>
      <c r="F762" s="6"/>
      <c r="G762" s="6"/>
      <c r="H762" s="6"/>
      <c r="I762" s="6"/>
      <c r="J762" s="6"/>
      <c r="K762" s="6"/>
      <c r="L762" s="6"/>
      <c r="M762" s="6"/>
      <c r="N762" s="6"/>
      <c r="O762" s="16"/>
      <c r="P762" s="6"/>
      <c r="Q762" s="4"/>
      <c r="R762" s="4"/>
      <c r="S762" s="4"/>
      <c r="T762" s="4"/>
      <c r="U762" s="4"/>
      <c r="V762" s="4"/>
      <c r="W762" s="4"/>
      <c r="X762" s="4"/>
      <c r="Y762" s="4"/>
      <c r="Z762" s="4"/>
      <c r="AA762" s="4"/>
    </row>
    <row r="763" spans="1:27" ht="12.75" x14ac:dyDescent="0.2">
      <c r="A763" s="16"/>
      <c r="B763" s="6"/>
      <c r="C763" s="6"/>
      <c r="D763" s="6"/>
      <c r="E763" s="4"/>
      <c r="F763" s="6"/>
      <c r="G763" s="6"/>
      <c r="H763" s="6"/>
      <c r="I763" s="6"/>
      <c r="J763" s="6"/>
      <c r="K763" s="6"/>
      <c r="L763" s="6"/>
      <c r="M763" s="6"/>
      <c r="N763" s="6"/>
      <c r="O763" s="16"/>
      <c r="P763" s="6"/>
      <c r="Q763" s="4"/>
      <c r="R763" s="4"/>
      <c r="S763" s="4"/>
      <c r="T763" s="4"/>
      <c r="U763" s="4"/>
      <c r="V763" s="4"/>
      <c r="W763" s="4"/>
      <c r="X763" s="4"/>
      <c r="Y763" s="4"/>
      <c r="Z763" s="4"/>
      <c r="AA763" s="4"/>
    </row>
    <row r="764" spans="1:27" ht="12.75" x14ac:dyDescent="0.2">
      <c r="A764" s="16"/>
      <c r="B764" s="6"/>
      <c r="C764" s="6"/>
      <c r="D764" s="6"/>
      <c r="E764" s="4"/>
      <c r="F764" s="6"/>
      <c r="G764" s="6"/>
      <c r="H764" s="6"/>
      <c r="I764" s="6"/>
      <c r="J764" s="6"/>
      <c r="K764" s="6"/>
      <c r="L764" s="6"/>
      <c r="M764" s="6"/>
      <c r="N764" s="6"/>
      <c r="O764" s="16"/>
      <c r="P764" s="6"/>
      <c r="Q764" s="4"/>
      <c r="R764" s="4"/>
      <c r="S764" s="4"/>
      <c r="T764" s="4"/>
      <c r="U764" s="4"/>
      <c r="V764" s="4"/>
      <c r="W764" s="4"/>
      <c r="X764" s="4"/>
      <c r="Y764" s="4"/>
      <c r="Z764" s="4"/>
      <c r="AA764" s="4"/>
    </row>
    <row r="765" spans="1:27" ht="12.75" x14ac:dyDescent="0.2">
      <c r="A765" s="16"/>
      <c r="B765" s="6"/>
      <c r="C765" s="6"/>
      <c r="D765" s="6"/>
      <c r="E765" s="4"/>
      <c r="F765" s="6"/>
      <c r="G765" s="6"/>
      <c r="H765" s="6"/>
      <c r="I765" s="6"/>
      <c r="J765" s="6"/>
      <c r="K765" s="6"/>
      <c r="L765" s="6"/>
      <c r="M765" s="6"/>
      <c r="N765" s="6"/>
      <c r="O765" s="16"/>
      <c r="P765" s="6"/>
      <c r="Q765" s="4"/>
      <c r="R765" s="4"/>
      <c r="S765" s="4"/>
      <c r="T765" s="4"/>
      <c r="U765" s="4"/>
      <c r="V765" s="4"/>
      <c r="W765" s="4"/>
      <c r="X765" s="4"/>
      <c r="Y765" s="4"/>
      <c r="Z765" s="4"/>
      <c r="AA765" s="4"/>
    </row>
    <row r="766" spans="1:27" ht="12.75" x14ac:dyDescent="0.2">
      <c r="A766" s="16"/>
      <c r="B766" s="6"/>
      <c r="C766" s="6"/>
      <c r="D766" s="6"/>
      <c r="E766" s="4"/>
      <c r="F766" s="6"/>
      <c r="G766" s="6"/>
      <c r="H766" s="6"/>
      <c r="I766" s="6"/>
      <c r="J766" s="6"/>
      <c r="K766" s="6"/>
      <c r="L766" s="6"/>
      <c r="M766" s="6"/>
      <c r="N766" s="6"/>
      <c r="O766" s="16"/>
      <c r="P766" s="6"/>
      <c r="Q766" s="4"/>
      <c r="R766" s="4"/>
      <c r="S766" s="4"/>
      <c r="T766" s="4"/>
      <c r="U766" s="4"/>
      <c r="V766" s="4"/>
      <c r="W766" s="4"/>
      <c r="X766" s="4"/>
      <c r="Y766" s="4"/>
      <c r="Z766" s="4"/>
      <c r="AA766" s="4"/>
    </row>
    <row r="767" spans="1:27" ht="12.75" x14ac:dyDescent="0.2">
      <c r="A767" s="16"/>
      <c r="B767" s="6"/>
      <c r="C767" s="6"/>
      <c r="D767" s="6"/>
      <c r="E767" s="4"/>
      <c r="F767" s="6"/>
      <c r="G767" s="6"/>
      <c r="H767" s="6"/>
      <c r="I767" s="6"/>
      <c r="J767" s="6"/>
      <c r="K767" s="6"/>
      <c r="L767" s="6"/>
      <c r="M767" s="6"/>
      <c r="N767" s="6"/>
      <c r="O767" s="16"/>
      <c r="P767" s="6"/>
      <c r="Q767" s="4"/>
      <c r="R767" s="4"/>
      <c r="S767" s="4"/>
      <c r="T767" s="4"/>
      <c r="U767" s="4"/>
      <c r="V767" s="4"/>
      <c r="W767" s="4"/>
      <c r="X767" s="4"/>
      <c r="Y767" s="4"/>
      <c r="Z767" s="4"/>
      <c r="AA767" s="4"/>
    </row>
    <row r="768" spans="1:27" ht="12.75" x14ac:dyDescent="0.2">
      <c r="A768" s="16"/>
      <c r="B768" s="6"/>
      <c r="C768" s="6"/>
      <c r="D768" s="6"/>
      <c r="E768" s="4"/>
      <c r="F768" s="6"/>
      <c r="G768" s="6"/>
      <c r="H768" s="6"/>
      <c r="I768" s="6"/>
      <c r="J768" s="6"/>
      <c r="K768" s="6"/>
      <c r="L768" s="6"/>
      <c r="M768" s="6"/>
      <c r="N768" s="6"/>
      <c r="O768" s="16"/>
      <c r="P768" s="6"/>
      <c r="Q768" s="4"/>
      <c r="R768" s="4"/>
      <c r="S768" s="4"/>
      <c r="T768" s="4"/>
      <c r="U768" s="4"/>
      <c r="V768" s="4"/>
      <c r="W768" s="4"/>
      <c r="X768" s="4"/>
      <c r="Y768" s="4"/>
      <c r="Z768" s="4"/>
      <c r="AA768" s="4"/>
    </row>
    <row r="769" spans="1:27" ht="12.75" x14ac:dyDescent="0.2">
      <c r="A769" s="16"/>
      <c r="B769" s="6"/>
      <c r="C769" s="6"/>
      <c r="D769" s="6"/>
      <c r="E769" s="4"/>
      <c r="F769" s="6"/>
      <c r="G769" s="6"/>
      <c r="H769" s="6"/>
      <c r="I769" s="6"/>
      <c r="J769" s="6"/>
      <c r="K769" s="6"/>
      <c r="L769" s="6"/>
      <c r="M769" s="6"/>
      <c r="N769" s="6"/>
      <c r="O769" s="16"/>
      <c r="P769" s="6"/>
      <c r="Q769" s="4"/>
      <c r="R769" s="4"/>
      <c r="S769" s="4"/>
      <c r="T769" s="4"/>
      <c r="U769" s="4"/>
      <c r="V769" s="4"/>
      <c r="W769" s="4"/>
      <c r="X769" s="4"/>
      <c r="Y769" s="4"/>
      <c r="Z769" s="4"/>
      <c r="AA769" s="4"/>
    </row>
    <row r="770" spans="1:27" ht="12.75" x14ac:dyDescent="0.2">
      <c r="A770" s="16"/>
      <c r="B770" s="6"/>
      <c r="C770" s="6"/>
      <c r="D770" s="6"/>
      <c r="E770" s="4"/>
      <c r="F770" s="6"/>
      <c r="G770" s="6"/>
      <c r="H770" s="6"/>
      <c r="I770" s="6"/>
      <c r="J770" s="6"/>
      <c r="K770" s="6"/>
      <c r="L770" s="6"/>
      <c r="M770" s="6"/>
      <c r="N770" s="6"/>
      <c r="O770" s="16"/>
      <c r="P770" s="6"/>
      <c r="Q770" s="4"/>
      <c r="R770" s="4"/>
      <c r="S770" s="4"/>
      <c r="T770" s="4"/>
      <c r="U770" s="4"/>
      <c r="V770" s="4"/>
      <c r="W770" s="4"/>
      <c r="X770" s="4"/>
      <c r="Y770" s="4"/>
      <c r="Z770" s="4"/>
      <c r="AA770" s="4"/>
    </row>
    <row r="771" spans="1:27" ht="12.75" x14ac:dyDescent="0.2">
      <c r="A771" s="16"/>
      <c r="B771" s="6"/>
      <c r="C771" s="6"/>
      <c r="D771" s="6"/>
      <c r="E771" s="4"/>
      <c r="F771" s="6"/>
      <c r="G771" s="6"/>
      <c r="H771" s="6"/>
      <c r="I771" s="6"/>
      <c r="J771" s="6"/>
      <c r="K771" s="6"/>
      <c r="L771" s="6"/>
      <c r="M771" s="6"/>
      <c r="N771" s="6"/>
      <c r="O771" s="16"/>
      <c r="P771" s="6"/>
      <c r="Q771" s="4"/>
      <c r="R771" s="4"/>
      <c r="S771" s="4"/>
      <c r="T771" s="4"/>
      <c r="U771" s="4"/>
      <c r="V771" s="4"/>
      <c r="W771" s="4"/>
      <c r="X771" s="4"/>
      <c r="Y771" s="4"/>
      <c r="Z771" s="4"/>
      <c r="AA771" s="4"/>
    </row>
    <row r="772" spans="1:27" ht="12.75" x14ac:dyDescent="0.2">
      <c r="A772" s="16"/>
      <c r="B772" s="6"/>
      <c r="C772" s="6"/>
      <c r="D772" s="6"/>
      <c r="E772" s="4"/>
      <c r="F772" s="6"/>
      <c r="G772" s="6"/>
      <c r="H772" s="6"/>
      <c r="I772" s="6"/>
      <c r="J772" s="6"/>
      <c r="K772" s="6"/>
      <c r="L772" s="6"/>
      <c r="M772" s="6"/>
      <c r="N772" s="6"/>
      <c r="O772" s="16"/>
      <c r="P772" s="6"/>
      <c r="Q772" s="4"/>
      <c r="R772" s="4"/>
      <c r="S772" s="4"/>
      <c r="T772" s="4"/>
      <c r="U772" s="4"/>
      <c r="V772" s="4"/>
      <c r="W772" s="4"/>
      <c r="X772" s="4"/>
      <c r="Y772" s="4"/>
      <c r="Z772" s="4"/>
      <c r="AA772" s="4"/>
    </row>
    <row r="773" spans="1:27" ht="12.75" x14ac:dyDescent="0.2">
      <c r="A773" s="16"/>
      <c r="B773" s="6"/>
      <c r="C773" s="6"/>
      <c r="D773" s="6"/>
      <c r="E773" s="4"/>
      <c r="F773" s="6"/>
      <c r="G773" s="6"/>
      <c r="H773" s="6"/>
      <c r="I773" s="6"/>
      <c r="J773" s="6"/>
      <c r="K773" s="6"/>
      <c r="L773" s="6"/>
      <c r="M773" s="6"/>
      <c r="N773" s="6"/>
      <c r="O773" s="16"/>
      <c r="P773" s="6"/>
      <c r="Q773" s="4"/>
      <c r="R773" s="4"/>
      <c r="S773" s="4"/>
      <c r="T773" s="4"/>
      <c r="U773" s="4"/>
      <c r="V773" s="4"/>
      <c r="W773" s="4"/>
      <c r="X773" s="4"/>
      <c r="Y773" s="4"/>
      <c r="Z773" s="4"/>
      <c r="AA773" s="4"/>
    </row>
    <row r="774" spans="1:27" ht="12.75" x14ac:dyDescent="0.2">
      <c r="A774" s="16"/>
      <c r="B774" s="6"/>
      <c r="C774" s="6"/>
      <c r="D774" s="6"/>
      <c r="E774" s="4"/>
      <c r="F774" s="6"/>
      <c r="G774" s="6"/>
      <c r="H774" s="6"/>
      <c r="I774" s="6"/>
      <c r="J774" s="6"/>
      <c r="K774" s="6"/>
      <c r="L774" s="6"/>
      <c r="M774" s="6"/>
      <c r="N774" s="6"/>
      <c r="O774" s="16"/>
      <c r="P774" s="6"/>
      <c r="Q774" s="4"/>
      <c r="R774" s="4"/>
      <c r="S774" s="4"/>
      <c r="T774" s="4"/>
      <c r="U774" s="4"/>
      <c r="V774" s="4"/>
      <c r="W774" s="4"/>
      <c r="X774" s="4"/>
      <c r="Y774" s="4"/>
      <c r="Z774" s="4"/>
      <c r="AA774" s="4"/>
    </row>
    <row r="775" spans="1:27" ht="12.75" x14ac:dyDescent="0.2">
      <c r="A775" s="16"/>
      <c r="B775" s="6"/>
      <c r="C775" s="6"/>
      <c r="D775" s="6"/>
      <c r="E775" s="4"/>
      <c r="F775" s="6"/>
      <c r="G775" s="6"/>
      <c r="H775" s="6"/>
      <c r="I775" s="6"/>
      <c r="J775" s="6"/>
      <c r="K775" s="6"/>
      <c r="L775" s="6"/>
      <c r="M775" s="6"/>
      <c r="N775" s="6"/>
      <c r="O775" s="16"/>
      <c r="P775" s="6"/>
      <c r="Q775" s="4"/>
      <c r="R775" s="4"/>
      <c r="S775" s="4"/>
      <c r="T775" s="4"/>
      <c r="U775" s="4"/>
      <c r="V775" s="4"/>
      <c r="W775" s="4"/>
      <c r="X775" s="4"/>
      <c r="Y775" s="4"/>
      <c r="Z775" s="4"/>
      <c r="AA775" s="4"/>
    </row>
    <row r="776" spans="1:27" ht="12.75" x14ac:dyDescent="0.2">
      <c r="A776" s="16"/>
      <c r="B776" s="6"/>
      <c r="C776" s="6"/>
      <c r="D776" s="6"/>
      <c r="E776" s="4"/>
      <c r="F776" s="6"/>
      <c r="G776" s="6"/>
      <c r="H776" s="6"/>
      <c r="I776" s="6"/>
      <c r="J776" s="6"/>
      <c r="K776" s="6"/>
      <c r="L776" s="6"/>
      <c r="M776" s="6"/>
      <c r="N776" s="6"/>
      <c r="O776" s="16"/>
      <c r="P776" s="6"/>
      <c r="Q776" s="4"/>
      <c r="R776" s="4"/>
      <c r="S776" s="4"/>
      <c r="T776" s="4"/>
      <c r="U776" s="4"/>
      <c r="V776" s="4"/>
      <c r="W776" s="4"/>
      <c r="X776" s="4"/>
      <c r="Y776" s="4"/>
      <c r="Z776" s="4"/>
      <c r="AA776" s="4"/>
    </row>
    <row r="777" spans="1:27" ht="12.75" x14ac:dyDescent="0.2">
      <c r="A777" s="16"/>
      <c r="B777" s="6"/>
      <c r="C777" s="6"/>
      <c r="D777" s="6"/>
      <c r="E777" s="4"/>
      <c r="F777" s="6"/>
      <c r="G777" s="6"/>
      <c r="H777" s="6"/>
      <c r="I777" s="6"/>
      <c r="J777" s="6"/>
      <c r="K777" s="6"/>
      <c r="L777" s="6"/>
      <c r="M777" s="6"/>
      <c r="N777" s="6"/>
      <c r="O777" s="16"/>
      <c r="P777" s="6"/>
      <c r="Q777" s="4"/>
      <c r="R777" s="4"/>
      <c r="S777" s="4"/>
      <c r="T777" s="4"/>
      <c r="U777" s="4"/>
      <c r="V777" s="4"/>
      <c r="W777" s="4"/>
      <c r="X777" s="4"/>
      <c r="Y777" s="4"/>
      <c r="Z777" s="4"/>
      <c r="AA777" s="4"/>
    </row>
    <row r="778" spans="1:27" ht="12.75" x14ac:dyDescent="0.2">
      <c r="A778" s="16"/>
      <c r="B778" s="6"/>
      <c r="C778" s="6"/>
      <c r="D778" s="6"/>
      <c r="E778" s="4"/>
      <c r="F778" s="6"/>
      <c r="G778" s="6"/>
      <c r="H778" s="6"/>
      <c r="I778" s="6"/>
      <c r="J778" s="6"/>
      <c r="K778" s="6"/>
      <c r="L778" s="6"/>
      <c r="M778" s="6"/>
      <c r="N778" s="6"/>
      <c r="O778" s="16"/>
      <c r="P778" s="6"/>
      <c r="Q778" s="4"/>
      <c r="R778" s="4"/>
      <c r="S778" s="4"/>
      <c r="T778" s="4"/>
      <c r="U778" s="4"/>
      <c r="V778" s="4"/>
      <c r="W778" s="4"/>
      <c r="X778" s="4"/>
      <c r="Y778" s="4"/>
      <c r="Z778" s="4"/>
      <c r="AA778" s="4"/>
    </row>
    <row r="779" spans="1:27" ht="12.75" x14ac:dyDescent="0.2">
      <c r="A779" s="16"/>
      <c r="B779" s="6"/>
      <c r="C779" s="6"/>
      <c r="D779" s="6"/>
      <c r="E779" s="4"/>
      <c r="F779" s="6"/>
      <c r="G779" s="6"/>
      <c r="H779" s="6"/>
      <c r="I779" s="6"/>
      <c r="J779" s="6"/>
      <c r="K779" s="6"/>
      <c r="L779" s="6"/>
      <c r="M779" s="6"/>
      <c r="N779" s="6"/>
      <c r="O779" s="16"/>
      <c r="P779" s="6"/>
      <c r="Q779" s="4"/>
      <c r="R779" s="4"/>
      <c r="S779" s="4"/>
      <c r="T779" s="4"/>
      <c r="U779" s="4"/>
      <c r="V779" s="4"/>
      <c r="W779" s="4"/>
      <c r="X779" s="4"/>
      <c r="Y779" s="4"/>
      <c r="Z779" s="4"/>
      <c r="AA779" s="4"/>
    </row>
    <row r="780" spans="1:27" ht="12.75" x14ac:dyDescent="0.2">
      <c r="A780" s="16"/>
      <c r="B780" s="6"/>
      <c r="C780" s="6"/>
      <c r="D780" s="6"/>
      <c r="E780" s="4"/>
      <c r="F780" s="6"/>
      <c r="G780" s="6"/>
      <c r="H780" s="6"/>
      <c r="I780" s="6"/>
      <c r="J780" s="6"/>
      <c r="K780" s="6"/>
      <c r="L780" s="6"/>
      <c r="M780" s="6"/>
      <c r="N780" s="6"/>
      <c r="O780" s="16"/>
      <c r="P780" s="6"/>
      <c r="Q780" s="4"/>
      <c r="R780" s="4"/>
      <c r="S780" s="4"/>
      <c r="T780" s="4"/>
      <c r="U780" s="4"/>
      <c r="V780" s="4"/>
      <c r="W780" s="4"/>
      <c r="X780" s="4"/>
      <c r="Y780" s="4"/>
      <c r="Z780" s="4"/>
      <c r="AA780" s="4"/>
    </row>
    <row r="781" spans="1:27" ht="12.75" x14ac:dyDescent="0.2">
      <c r="A781" s="16"/>
      <c r="B781" s="6"/>
      <c r="C781" s="6"/>
      <c r="D781" s="6"/>
      <c r="E781" s="4"/>
      <c r="F781" s="6"/>
      <c r="G781" s="6"/>
      <c r="H781" s="6"/>
      <c r="I781" s="6"/>
      <c r="J781" s="6"/>
      <c r="K781" s="6"/>
      <c r="L781" s="6"/>
      <c r="M781" s="6"/>
      <c r="N781" s="6"/>
      <c r="O781" s="16"/>
      <c r="P781" s="6"/>
      <c r="Q781" s="4"/>
      <c r="R781" s="4"/>
      <c r="S781" s="4"/>
      <c r="T781" s="4"/>
      <c r="U781" s="4"/>
      <c r="V781" s="4"/>
      <c r="W781" s="4"/>
      <c r="X781" s="4"/>
      <c r="Y781" s="4"/>
      <c r="Z781" s="4"/>
      <c r="AA781" s="4"/>
    </row>
    <row r="782" spans="1:27" ht="12.75" x14ac:dyDescent="0.2">
      <c r="A782" s="16"/>
      <c r="B782" s="6"/>
      <c r="C782" s="6"/>
      <c r="D782" s="6"/>
      <c r="E782" s="4"/>
      <c r="F782" s="6"/>
      <c r="G782" s="6"/>
      <c r="H782" s="6"/>
      <c r="I782" s="6"/>
      <c r="J782" s="6"/>
      <c r="K782" s="6"/>
      <c r="L782" s="6"/>
      <c r="M782" s="6"/>
      <c r="N782" s="6"/>
      <c r="O782" s="16"/>
      <c r="P782" s="6"/>
      <c r="Q782" s="4"/>
      <c r="R782" s="4"/>
      <c r="S782" s="4"/>
      <c r="T782" s="4"/>
      <c r="U782" s="4"/>
      <c r="V782" s="4"/>
      <c r="W782" s="4"/>
      <c r="X782" s="4"/>
      <c r="Y782" s="4"/>
      <c r="Z782" s="4"/>
      <c r="AA782" s="4"/>
    </row>
    <row r="783" spans="1:27" ht="12.75" x14ac:dyDescent="0.2">
      <c r="A783" s="16"/>
      <c r="B783" s="6"/>
      <c r="C783" s="6"/>
      <c r="D783" s="6"/>
      <c r="E783" s="4"/>
      <c r="F783" s="6"/>
      <c r="G783" s="6"/>
      <c r="H783" s="6"/>
      <c r="I783" s="6"/>
      <c r="J783" s="6"/>
      <c r="K783" s="6"/>
      <c r="L783" s="6"/>
      <c r="M783" s="6"/>
      <c r="N783" s="6"/>
      <c r="O783" s="16"/>
      <c r="P783" s="6"/>
      <c r="Q783" s="4"/>
      <c r="R783" s="4"/>
      <c r="S783" s="4"/>
      <c r="T783" s="4"/>
      <c r="U783" s="4"/>
      <c r="V783" s="4"/>
      <c r="W783" s="4"/>
      <c r="X783" s="4"/>
      <c r="Y783" s="4"/>
      <c r="Z783" s="4"/>
      <c r="AA783" s="4"/>
    </row>
    <row r="784" spans="1:27" ht="12.75" x14ac:dyDescent="0.2">
      <c r="A784" s="16"/>
      <c r="B784" s="6"/>
      <c r="C784" s="6"/>
      <c r="D784" s="6"/>
      <c r="E784" s="4"/>
      <c r="F784" s="6"/>
      <c r="G784" s="6"/>
      <c r="H784" s="6"/>
      <c r="I784" s="6"/>
      <c r="J784" s="6"/>
      <c r="K784" s="6"/>
      <c r="L784" s="6"/>
      <c r="M784" s="6"/>
      <c r="N784" s="6"/>
      <c r="O784" s="16"/>
      <c r="P784" s="6"/>
      <c r="Q784" s="4"/>
      <c r="R784" s="4"/>
      <c r="S784" s="4"/>
      <c r="T784" s="4"/>
      <c r="U784" s="4"/>
      <c r="V784" s="4"/>
      <c r="W784" s="4"/>
      <c r="X784" s="4"/>
      <c r="Y784" s="4"/>
      <c r="Z784" s="4"/>
      <c r="AA784" s="4"/>
    </row>
    <row r="785" spans="1:27" ht="12.75" x14ac:dyDescent="0.2">
      <c r="A785" s="16"/>
      <c r="B785" s="6"/>
      <c r="C785" s="6"/>
      <c r="D785" s="6"/>
      <c r="E785" s="4"/>
      <c r="F785" s="6"/>
      <c r="G785" s="6"/>
      <c r="H785" s="6"/>
      <c r="I785" s="6"/>
      <c r="J785" s="6"/>
      <c r="K785" s="6"/>
      <c r="L785" s="6"/>
      <c r="M785" s="6"/>
      <c r="N785" s="6"/>
      <c r="O785" s="16"/>
      <c r="P785" s="6"/>
      <c r="Q785" s="4"/>
      <c r="R785" s="4"/>
      <c r="S785" s="4"/>
      <c r="T785" s="4"/>
      <c r="U785" s="4"/>
      <c r="V785" s="4"/>
      <c r="W785" s="4"/>
      <c r="X785" s="4"/>
      <c r="Y785" s="4"/>
      <c r="Z785" s="4"/>
      <c r="AA785" s="4"/>
    </row>
    <row r="786" spans="1:27" ht="12.75" x14ac:dyDescent="0.2">
      <c r="A786" s="16"/>
      <c r="B786" s="6"/>
      <c r="C786" s="6"/>
      <c r="D786" s="6"/>
      <c r="E786" s="4"/>
      <c r="F786" s="6"/>
      <c r="G786" s="6"/>
      <c r="H786" s="6"/>
      <c r="I786" s="6"/>
      <c r="J786" s="6"/>
      <c r="K786" s="6"/>
      <c r="L786" s="6"/>
      <c r="M786" s="6"/>
      <c r="N786" s="6"/>
      <c r="O786" s="16"/>
      <c r="P786" s="6"/>
      <c r="Q786" s="4"/>
      <c r="R786" s="4"/>
      <c r="S786" s="4"/>
      <c r="T786" s="4"/>
      <c r="U786" s="4"/>
      <c r="V786" s="4"/>
      <c r="W786" s="4"/>
      <c r="X786" s="4"/>
      <c r="Y786" s="4"/>
      <c r="Z786" s="4"/>
      <c r="AA786" s="4"/>
    </row>
    <row r="787" spans="1:27" ht="12.75" x14ac:dyDescent="0.2">
      <c r="A787" s="16"/>
      <c r="B787" s="6"/>
      <c r="C787" s="6"/>
      <c r="D787" s="6"/>
      <c r="E787" s="4"/>
      <c r="F787" s="6"/>
      <c r="G787" s="6"/>
      <c r="H787" s="6"/>
      <c r="I787" s="6"/>
      <c r="J787" s="6"/>
      <c r="K787" s="6"/>
      <c r="L787" s="6"/>
      <c r="M787" s="6"/>
      <c r="N787" s="6"/>
      <c r="O787" s="16"/>
      <c r="P787" s="6"/>
      <c r="Q787" s="4"/>
      <c r="R787" s="4"/>
      <c r="S787" s="4"/>
      <c r="T787" s="4"/>
      <c r="U787" s="4"/>
      <c r="V787" s="4"/>
      <c r="W787" s="4"/>
      <c r="X787" s="4"/>
      <c r="Y787" s="4"/>
      <c r="Z787" s="4"/>
      <c r="AA787" s="4"/>
    </row>
    <row r="788" spans="1:27" ht="12.75" x14ac:dyDescent="0.2">
      <c r="A788" s="16"/>
      <c r="B788" s="6"/>
      <c r="C788" s="6"/>
      <c r="D788" s="6"/>
      <c r="E788" s="4"/>
      <c r="F788" s="6"/>
      <c r="G788" s="6"/>
      <c r="H788" s="6"/>
      <c r="I788" s="6"/>
      <c r="J788" s="6"/>
      <c r="K788" s="6"/>
      <c r="L788" s="6"/>
      <c r="M788" s="6"/>
      <c r="N788" s="6"/>
      <c r="O788" s="16"/>
      <c r="P788" s="6"/>
      <c r="Q788" s="4"/>
      <c r="R788" s="4"/>
      <c r="S788" s="4"/>
      <c r="T788" s="4"/>
      <c r="U788" s="4"/>
      <c r="V788" s="4"/>
      <c r="W788" s="4"/>
      <c r="X788" s="4"/>
      <c r="Y788" s="4"/>
      <c r="Z788" s="4"/>
      <c r="AA788" s="4"/>
    </row>
    <row r="789" spans="1:27" ht="12.75" x14ac:dyDescent="0.2">
      <c r="A789" s="16"/>
      <c r="B789" s="6"/>
      <c r="C789" s="6"/>
      <c r="D789" s="6"/>
      <c r="E789" s="4"/>
      <c r="F789" s="6"/>
      <c r="G789" s="6"/>
      <c r="H789" s="6"/>
      <c r="I789" s="6"/>
      <c r="J789" s="6"/>
      <c r="K789" s="6"/>
      <c r="L789" s="6"/>
      <c r="M789" s="6"/>
      <c r="N789" s="6"/>
      <c r="O789" s="16"/>
      <c r="P789" s="6"/>
      <c r="Q789" s="4"/>
      <c r="R789" s="4"/>
      <c r="S789" s="4"/>
      <c r="T789" s="4"/>
      <c r="U789" s="4"/>
      <c r="V789" s="4"/>
      <c r="W789" s="4"/>
      <c r="X789" s="4"/>
      <c r="Y789" s="4"/>
      <c r="Z789" s="4"/>
      <c r="AA789" s="4"/>
    </row>
    <row r="790" spans="1:27" ht="12.75" x14ac:dyDescent="0.2">
      <c r="A790" s="16"/>
      <c r="B790" s="6"/>
      <c r="C790" s="6"/>
      <c r="D790" s="6"/>
      <c r="E790" s="4"/>
      <c r="F790" s="6"/>
      <c r="G790" s="6"/>
      <c r="H790" s="6"/>
      <c r="I790" s="6"/>
      <c r="J790" s="6"/>
      <c r="K790" s="6"/>
      <c r="L790" s="6"/>
      <c r="M790" s="6"/>
      <c r="N790" s="6"/>
      <c r="O790" s="16"/>
      <c r="P790" s="6"/>
      <c r="Q790" s="4"/>
      <c r="R790" s="4"/>
      <c r="S790" s="4"/>
      <c r="T790" s="4"/>
      <c r="U790" s="4"/>
      <c r="V790" s="4"/>
      <c r="W790" s="4"/>
      <c r="X790" s="4"/>
      <c r="Y790" s="4"/>
      <c r="Z790" s="4"/>
      <c r="AA790" s="4"/>
    </row>
    <row r="791" spans="1:27" ht="12.75" x14ac:dyDescent="0.2">
      <c r="A791" s="16"/>
      <c r="B791" s="6"/>
      <c r="C791" s="6"/>
      <c r="D791" s="6"/>
      <c r="E791" s="4"/>
      <c r="F791" s="6"/>
      <c r="G791" s="6"/>
      <c r="H791" s="6"/>
      <c r="I791" s="6"/>
      <c r="J791" s="6"/>
      <c r="K791" s="6"/>
      <c r="L791" s="6"/>
      <c r="M791" s="6"/>
      <c r="N791" s="6"/>
      <c r="O791" s="16"/>
      <c r="P791" s="6"/>
      <c r="Q791" s="4"/>
      <c r="R791" s="4"/>
      <c r="S791" s="4"/>
      <c r="T791" s="4"/>
      <c r="U791" s="4"/>
      <c r="V791" s="4"/>
      <c r="W791" s="4"/>
      <c r="X791" s="4"/>
      <c r="Y791" s="4"/>
      <c r="Z791" s="4"/>
      <c r="AA791" s="4"/>
    </row>
    <row r="792" spans="1:27" ht="12.75" x14ac:dyDescent="0.2">
      <c r="A792" s="16"/>
      <c r="B792" s="6"/>
      <c r="C792" s="6"/>
      <c r="D792" s="6"/>
      <c r="E792" s="4"/>
      <c r="F792" s="6"/>
      <c r="G792" s="6"/>
      <c r="H792" s="6"/>
      <c r="I792" s="6"/>
      <c r="J792" s="6"/>
      <c r="K792" s="6"/>
      <c r="L792" s="6"/>
      <c r="M792" s="6"/>
      <c r="N792" s="6"/>
      <c r="O792" s="16"/>
      <c r="P792" s="6"/>
      <c r="Q792" s="4"/>
      <c r="R792" s="4"/>
      <c r="S792" s="4"/>
      <c r="T792" s="4"/>
      <c r="U792" s="4"/>
      <c r="V792" s="4"/>
      <c r="W792" s="4"/>
      <c r="X792" s="4"/>
      <c r="Y792" s="4"/>
      <c r="Z792" s="4"/>
      <c r="AA792" s="4"/>
    </row>
    <row r="793" spans="1:27" ht="12.75" x14ac:dyDescent="0.2">
      <c r="A793" s="16"/>
      <c r="B793" s="6"/>
      <c r="C793" s="6"/>
      <c r="D793" s="6"/>
      <c r="E793" s="4"/>
      <c r="F793" s="6"/>
      <c r="G793" s="6"/>
      <c r="H793" s="6"/>
      <c r="I793" s="6"/>
      <c r="J793" s="6"/>
      <c r="K793" s="6"/>
      <c r="L793" s="6"/>
      <c r="M793" s="6"/>
      <c r="N793" s="6"/>
      <c r="O793" s="16"/>
      <c r="P793" s="6"/>
      <c r="Q793" s="4"/>
      <c r="R793" s="4"/>
      <c r="S793" s="4"/>
      <c r="T793" s="4"/>
      <c r="U793" s="4"/>
      <c r="V793" s="4"/>
      <c r="W793" s="4"/>
      <c r="X793" s="4"/>
      <c r="Y793" s="4"/>
      <c r="Z793" s="4"/>
      <c r="AA793" s="4"/>
    </row>
    <row r="794" spans="1:27" ht="12.75" x14ac:dyDescent="0.2">
      <c r="A794" s="16"/>
      <c r="B794" s="6"/>
      <c r="C794" s="6"/>
      <c r="D794" s="6"/>
      <c r="E794" s="4"/>
      <c r="F794" s="6"/>
      <c r="G794" s="6"/>
      <c r="H794" s="6"/>
      <c r="I794" s="6"/>
      <c r="J794" s="6"/>
      <c r="K794" s="6"/>
      <c r="L794" s="6"/>
      <c r="M794" s="6"/>
      <c r="N794" s="6"/>
      <c r="O794" s="16"/>
      <c r="P794" s="6"/>
      <c r="Q794" s="4"/>
      <c r="R794" s="4"/>
      <c r="S794" s="4"/>
      <c r="T794" s="4"/>
      <c r="U794" s="4"/>
      <c r="V794" s="4"/>
      <c r="W794" s="4"/>
      <c r="X794" s="4"/>
      <c r="Y794" s="4"/>
      <c r="Z794" s="4"/>
      <c r="AA794" s="4"/>
    </row>
    <row r="795" spans="1:27" ht="12.75" x14ac:dyDescent="0.2">
      <c r="A795" s="16"/>
      <c r="B795" s="6"/>
      <c r="C795" s="6"/>
      <c r="D795" s="6"/>
      <c r="E795" s="4"/>
      <c r="F795" s="6"/>
      <c r="G795" s="6"/>
      <c r="H795" s="6"/>
      <c r="I795" s="6"/>
      <c r="J795" s="6"/>
      <c r="K795" s="6"/>
      <c r="L795" s="6"/>
      <c r="M795" s="6"/>
      <c r="N795" s="6"/>
      <c r="O795" s="16"/>
      <c r="P795" s="6"/>
      <c r="Q795" s="4"/>
      <c r="R795" s="4"/>
      <c r="S795" s="4"/>
      <c r="T795" s="4"/>
      <c r="U795" s="4"/>
      <c r="V795" s="4"/>
      <c r="W795" s="4"/>
      <c r="X795" s="4"/>
      <c r="Y795" s="4"/>
      <c r="Z795" s="4"/>
      <c r="AA795" s="4"/>
    </row>
    <row r="796" spans="1:27" ht="12.75" x14ac:dyDescent="0.2">
      <c r="A796" s="16"/>
      <c r="B796" s="6"/>
      <c r="C796" s="6"/>
      <c r="D796" s="6"/>
      <c r="E796" s="4"/>
      <c r="F796" s="6"/>
      <c r="G796" s="6"/>
      <c r="H796" s="6"/>
      <c r="I796" s="6"/>
      <c r="J796" s="6"/>
      <c r="K796" s="6"/>
      <c r="L796" s="6"/>
      <c r="M796" s="6"/>
      <c r="N796" s="6"/>
      <c r="O796" s="16"/>
      <c r="P796" s="6"/>
      <c r="Q796" s="4"/>
      <c r="R796" s="4"/>
      <c r="S796" s="4"/>
      <c r="T796" s="4"/>
      <c r="U796" s="4"/>
      <c r="V796" s="4"/>
      <c r="W796" s="4"/>
      <c r="X796" s="4"/>
      <c r="Y796" s="4"/>
      <c r="Z796" s="4"/>
      <c r="AA796" s="4"/>
    </row>
    <row r="797" spans="1:27" ht="12.75" x14ac:dyDescent="0.2">
      <c r="A797" s="16"/>
      <c r="B797" s="6"/>
      <c r="C797" s="6"/>
      <c r="D797" s="6"/>
      <c r="E797" s="4"/>
      <c r="F797" s="6"/>
      <c r="G797" s="6"/>
      <c r="H797" s="6"/>
      <c r="I797" s="6"/>
      <c r="J797" s="6"/>
      <c r="K797" s="6"/>
      <c r="L797" s="6"/>
      <c r="M797" s="6"/>
      <c r="N797" s="6"/>
      <c r="O797" s="16"/>
      <c r="P797" s="6"/>
      <c r="Q797" s="4"/>
      <c r="R797" s="4"/>
      <c r="S797" s="4"/>
      <c r="T797" s="4"/>
      <c r="U797" s="4"/>
      <c r="V797" s="4"/>
      <c r="W797" s="4"/>
      <c r="X797" s="4"/>
      <c r="Y797" s="4"/>
      <c r="Z797" s="4"/>
      <c r="AA797" s="4"/>
    </row>
    <row r="798" spans="1:27" ht="12.75" x14ac:dyDescent="0.2">
      <c r="A798" s="16"/>
      <c r="B798" s="6"/>
      <c r="C798" s="6"/>
      <c r="D798" s="6"/>
      <c r="E798" s="4"/>
      <c r="F798" s="6"/>
      <c r="G798" s="6"/>
      <c r="H798" s="6"/>
      <c r="I798" s="6"/>
      <c r="J798" s="6"/>
      <c r="K798" s="6"/>
      <c r="L798" s="6"/>
      <c r="M798" s="6"/>
      <c r="N798" s="6"/>
      <c r="O798" s="16"/>
      <c r="P798" s="6"/>
      <c r="Q798" s="4"/>
      <c r="R798" s="4"/>
      <c r="S798" s="4"/>
      <c r="T798" s="4"/>
      <c r="U798" s="4"/>
      <c r="V798" s="4"/>
      <c r="W798" s="4"/>
      <c r="X798" s="4"/>
      <c r="Y798" s="4"/>
      <c r="Z798" s="4"/>
      <c r="AA798" s="4"/>
    </row>
    <row r="799" spans="1:27" ht="12.75" x14ac:dyDescent="0.2">
      <c r="A799" s="16"/>
      <c r="B799" s="6"/>
      <c r="C799" s="6"/>
      <c r="D799" s="6"/>
      <c r="E799" s="4"/>
      <c r="F799" s="6"/>
      <c r="G799" s="6"/>
      <c r="H799" s="6"/>
      <c r="I799" s="6"/>
      <c r="J799" s="6"/>
      <c r="K799" s="6"/>
      <c r="L799" s="6"/>
      <c r="M799" s="6"/>
      <c r="N799" s="6"/>
      <c r="O799" s="16"/>
      <c r="P799" s="6"/>
      <c r="Q799" s="4"/>
      <c r="R799" s="4"/>
      <c r="S799" s="4"/>
      <c r="T799" s="4"/>
      <c r="U799" s="4"/>
      <c r="V799" s="4"/>
      <c r="W799" s="4"/>
      <c r="X799" s="4"/>
      <c r="Y799" s="4"/>
      <c r="Z799" s="4"/>
      <c r="AA799" s="4"/>
    </row>
    <row r="800" spans="1:27" ht="12.75" x14ac:dyDescent="0.2">
      <c r="A800" s="16"/>
      <c r="B800" s="6"/>
      <c r="C800" s="6"/>
      <c r="D800" s="6"/>
      <c r="E800" s="4"/>
      <c r="F800" s="6"/>
      <c r="G800" s="6"/>
      <c r="H800" s="6"/>
      <c r="I800" s="6"/>
      <c r="J800" s="6"/>
      <c r="K800" s="6"/>
      <c r="L800" s="6"/>
      <c r="M800" s="6"/>
      <c r="N800" s="6"/>
      <c r="O800" s="16"/>
      <c r="P800" s="6"/>
      <c r="Q800" s="4"/>
      <c r="R800" s="4"/>
      <c r="S800" s="4"/>
      <c r="T800" s="4"/>
      <c r="U800" s="4"/>
      <c r="V800" s="4"/>
      <c r="W800" s="4"/>
      <c r="X800" s="4"/>
      <c r="Y800" s="4"/>
      <c r="Z800" s="4"/>
      <c r="AA800" s="4"/>
    </row>
    <row r="801" spans="1:27" ht="12.75" x14ac:dyDescent="0.2">
      <c r="A801" s="16"/>
      <c r="B801" s="6"/>
      <c r="C801" s="6"/>
      <c r="D801" s="6"/>
      <c r="E801" s="4"/>
      <c r="F801" s="6"/>
      <c r="G801" s="6"/>
      <c r="H801" s="6"/>
      <c r="I801" s="6"/>
      <c r="J801" s="6"/>
      <c r="K801" s="6"/>
      <c r="L801" s="6"/>
      <c r="M801" s="6"/>
      <c r="N801" s="6"/>
      <c r="O801" s="16"/>
      <c r="P801" s="6"/>
      <c r="Q801" s="4"/>
      <c r="R801" s="4"/>
      <c r="S801" s="4"/>
      <c r="T801" s="4"/>
      <c r="U801" s="4"/>
      <c r="V801" s="4"/>
      <c r="W801" s="4"/>
      <c r="X801" s="4"/>
      <c r="Y801" s="4"/>
      <c r="Z801" s="4"/>
      <c r="AA801" s="4"/>
    </row>
    <row r="802" spans="1:27" ht="12.75" x14ac:dyDescent="0.2">
      <c r="A802" s="16"/>
      <c r="B802" s="6"/>
      <c r="C802" s="6"/>
      <c r="D802" s="6"/>
      <c r="E802" s="4"/>
      <c r="F802" s="6"/>
      <c r="G802" s="6"/>
      <c r="H802" s="6"/>
      <c r="I802" s="6"/>
      <c r="J802" s="6"/>
      <c r="K802" s="6"/>
      <c r="L802" s="6"/>
      <c r="M802" s="6"/>
      <c r="N802" s="6"/>
      <c r="O802" s="16"/>
      <c r="P802" s="6"/>
      <c r="Q802" s="4"/>
      <c r="R802" s="4"/>
      <c r="S802" s="4"/>
      <c r="T802" s="4"/>
      <c r="U802" s="4"/>
      <c r="V802" s="4"/>
      <c r="W802" s="4"/>
      <c r="X802" s="4"/>
      <c r="Y802" s="4"/>
      <c r="Z802" s="4"/>
      <c r="AA802" s="4"/>
    </row>
    <row r="803" spans="1:27" ht="12.75" x14ac:dyDescent="0.2">
      <c r="A803" s="16"/>
      <c r="B803" s="6"/>
      <c r="C803" s="6"/>
      <c r="D803" s="6"/>
      <c r="E803" s="4"/>
      <c r="F803" s="6"/>
      <c r="G803" s="6"/>
      <c r="H803" s="6"/>
      <c r="I803" s="6"/>
      <c r="J803" s="6"/>
      <c r="K803" s="6"/>
      <c r="L803" s="6"/>
      <c r="M803" s="6"/>
      <c r="N803" s="6"/>
      <c r="O803" s="16"/>
      <c r="P803" s="6"/>
      <c r="Q803" s="4"/>
      <c r="R803" s="4"/>
      <c r="S803" s="4"/>
      <c r="T803" s="4"/>
      <c r="U803" s="4"/>
      <c r="V803" s="4"/>
      <c r="W803" s="4"/>
      <c r="X803" s="4"/>
      <c r="Y803" s="4"/>
      <c r="Z803" s="4"/>
      <c r="AA803" s="4"/>
    </row>
    <row r="804" spans="1:27" ht="12.75" x14ac:dyDescent="0.2">
      <c r="A804" s="16"/>
      <c r="B804" s="6"/>
      <c r="C804" s="6"/>
      <c r="D804" s="6"/>
      <c r="E804" s="4"/>
      <c r="F804" s="6"/>
      <c r="G804" s="6"/>
      <c r="H804" s="6"/>
      <c r="I804" s="6"/>
      <c r="J804" s="6"/>
      <c r="K804" s="6"/>
      <c r="L804" s="6"/>
      <c r="M804" s="6"/>
      <c r="N804" s="6"/>
      <c r="O804" s="16"/>
      <c r="P804" s="6"/>
      <c r="Q804" s="4"/>
      <c r="R804" s="4"/>
      <c r="S804" s="4"/>
      <c r="T804" s="4"/>
      <c r="U804" s="4"/>
      <c r="V804" s="4"/>
      <c r="W804" s="4"/>
      <c r="X804" s="4"/>
      <c r="Y804" s="4"/>
      <c r="Z804" s="4"/>
      <c r="AA804" s="4"/>
    </row>
    <row r="805" spans="1:27" ht="12.75" x14ac:dyDescent="0.2">
      <c r="A805" s="16"/>
      <c r="B805" s="6"/>
      <c r="C805" s="6"/>
      <c r="D805" s="6"/>
      <c r="E805" s="4"/>
      <c r="F805" s="6"/>
      <c r="G805" s="6"/>
      <c r="H805" s="6"/>
      <c r="I805" s="6"/>
      <c r="J805" s="6"/>
      <c r="K805" s="6"/>
      <c r="L805" s="6"/>
      <c r="M805" s="6"/>
      <c r="N805" s="6"/>
      <c r="O805" s="16"/>
      <c r="P805" s="6"/>
      <c r="Q805" s="4"/>
      <c r="R805" s="4"/>
      <c r="S805" s="4"/>
      <c r="T805" s="4"/>
      <c r="U805" s="4"/>
      <c r="V805" s="4"/>
      <c r="W805" s="4"/>
      <c r="X805" s="4"/>
      <c r="Y805" s="4"/>
      <c r="Z805" s="4"/>
      <c r="AA805" s="4"/>
    </row>
    <row r="806" spans="1:27" ht="12.75" x14ac:dyDescent="0.2">
      <c r="A806" s="16"/>
      <c r="B806" s="6"/>
      <c r="C806" s="6"/>
      <c r="D806" s="6"/>
      <c r="E806" s="4"/>
      <c r="F806" s="6"/>
      <c r="G806" s="6"/>
      <c r="H806" s="6"/>
      <c r="I806" s="6"/>
      <c r="J806" s="6"/>
      <c r="K806" s="6"/>
      <c r="L806" s="6"/>
      <c r="M806" s="6"/>
      <c r="N806" s="6"/>
      <c r="O806" s="16"/>
      <c r="P806" s="6"/>
      <c r="Q806" s="4"/>
      <c r="R806" s="4"/>
      <c r="S806" s="4"/>
      <c r="T806" s="4"/>
      <c r="U806" s="4"/>
      <c r="V806" s="4"/>
      <c r="W806" s="4"/>
      <c r="X806" s="4"/>
      <c r="Y806" s="4"/>
      <c r="Z806" s="4"/>
      <c r="AA806" s="4"/>
    </row>
    <row r="807" spans="1:27" ht="12.75" x14ac:dyDescent="0.2">
      <c r="A807" s="16"/>
      <c r="B807" s="6"/>
      <c r="C807" s="6"/>
      <c r="D807" s="6"/>
      <c r="E807" s="4"/>
      <c r="F807" s="6"/>
      <c r="G807" s="6"/>
      <c r="H807" s="6"/>
      <c r="I807" s="6"/>
      <c r="J807" s="6"/>
      <c r="K807" s="6"/>
      <c r="L807" s="6"/>
      <c r="M807" s="6"/>
      <c r="N807" s="6"/>
      <c r="O807" s="16"/>
      <c r="P807" s="6"/>
      <c r="Q807" s="4"/>
      <c r="R807" s="4"/>
      <c r="S807" s="4"/>
      <c r="T807" s="4"/>
      <c r="U807" s="4"/>
      <c r="V807" s="4"/>
      <c r="W807" s="4"/>
      <c r="X807" s="4"/>
      <c r="Y807" s="4"/>
      <c r="Z807" s="4"/>
      <c r="AA807" s="4"/>
    </row>
    <row r="808" spans="1:27" ht="12.75" x14ac:dyDescent="0.2">
      <c r="A808" s="16"/>
      <c r="B808" s="6"/>
      <c r="C808" s="6"/>
      <c r="D808" s="6"/>
      <c r="E808" s="4"/>
      <c r="F808" s="6"/>
      <c r="G808" s="6"/>
      <c r="H808" s="6"/>
      <c r="I808" s="6"/>
      <c r="J808" s="6"/>
      <c r="K808" s="6"/>
      <c r="L808" s="6"/>
      <c r="M808" s="6"/>
      <c r="N808" s="6"/>
      <c r="O808" s="16"/>
      <c r="P808" s="6"/>
      <c r="Q808" s="4"/>
      <c r="R808" s="4"/>
      <c r="S808" s="4"/>
      <c r="T808" s="4"/>
      <c r="U808" s="4"/>
      <c r="V808" s="4"/>
      <c r="W808" s="4"/>
      <c r="X808" s="4"/>
      <c r="Y808" s="4"/>
      <c r="Z808" s="4"/>
      <c r="AA808" s="4"/>
    </row>
    <row r="809" spans="1:27" ht="12.75" x14ac:dyDescent="0.2">
      <c r="A809" s="16"/>
      <c r="B809" s="6"/>
      <c r="C809" s="6"/>
      <c r="D809" s="6"/>
      <c r="E809" s="4"/>
      <c r="F809" s="6"/>
      <c r="G809" s="6"/>
      <c r="H809" s="6"/>
      <c r="I809" s="6"/>
      <c r="J809" s="6"/>
      <c r="K809" s="6"/>
      <c r="L809" s="6"/>
      <c r="M809" s="6"/>
      <c r="N809" s="6"/>
      <c r="O809" s="16"/>
      <c r="P809" s="6"/>
      <c r="Q809" s="4"/>
      <c r="R809" s="4"/>
      <c r="S809" s="4"/>
      <c r="T809" s="4"/>
      <c r="U809" s="4"/>
      <c r="V809" s="4"/>
      <c r="W809" s="4"/>
      <c r="X809" s="4"/>
      <c r="Y809" s="4"/>
      <c r="Z809" s="4"/>
      <c r="AA809" s="4"/>
    </row>
    <row r="810" spans="1:27" ht="12.75" x14ac:dyDescent="0.2">
      <c r="A810" s="16"/>
      <c r="B810" s="6"/>
      <c r="C810" s="6"/>
      <c r="D810" s="6"/>
      <c r="E810" s="4"/>
      <c r="F810" s="6"/>
      <c r="G810" s="6"/>
      <c r="H810" s="6"/>
      <c r="I810" s="6"/>
      <c r="J810" s="6"/>
      <c r="K810" s="6"/>
      <c r="L810" s="6"/>
      <c r="M810" s="6"/>
      <c r="N810" s="6"/>
      <c r="O810" s="16"/>
      <c r="P810" s="6"/>
      <c r="Q810" s="4"/>
      <c r="R810" s="4"/>
      <c r="S810" s="4"/>
      <c r="T810" s="4"/>
      <c r="U810" s="4"/>
      <c r="V810" s="4"/>
      <c r="W810" s="4"/>
      <c r="X810" s="4"/>
      <c r="Y810" s="4"/>
      <c r="Z810" s="4"/>
      <c r="AA810" s="4"/>
    </row>
    <row r="811" spans="1:27" ht="12.75" x14ac:dyDescent="0.2">
      <c r="A811" s="16"/>
      <c r="B811" s="6"/>
      <c r="C811" s="6"/>
      <c r="D811" s="6"/>
      <c r="E811" s="4"/>
      <c r="F811" s="6"/>
      <c r="G811" s="6"/>
      <c r="H811" s="6"/>
      <c r="I811" s="6"/>
      <c r="J811" s="6"/>
      <c r="K811" s="6"/>
      <c r="L811" s="6"/>
      <c r="M811" s="6"/>
      <c r="N811" s="6"/>
      <c r="O811" s="16"/>
      <c r="P811" s="6"/>
      <c r="Q811" s="4"/>
      <c r="R811" s="4"/>
      <c r="S811" s="4"/>
      <c r="T811" s="4"/>
      <c r="U811" s="4"/>
      <c r="V811" s="4"/>
      <c r="W811" s="4"/>
      <c r="X811" s="4"/>
      <c r="Y811" s="4"/>
      <c r="Z811" s="4"/>
      <c r="AA811" s="4"/>
    </row>
    <row r="812" spans="1:27" ht="12.75" x14ac:dyDescent="0.2">
      <c r="A812" s="16"/>
      <c r="B812" s="6"/>
      <c r="C812" s="6"/>
      <c r="D812" s="6"/>
      <c r="E812" s="4"/>
      <c r="F812" s="6"/>
      <c r="G812" s="6"/>
      <c r="H812" s="6"/>
      <c r="I812" s="6"/>
      <c r="J812" s="6"/>
      <c r="K812" s="6"/>
      <c r="L812" s="6"/>
      <c r="M812" s="6"/>
      <c r="N812" s="6"/>
      <c r="O812" s="16"/>
      <c r="P812" s="6"/>
      <c r="Q812" s="4"/>
      <c r="R812" s="4"/>
      <c r="S812" s="4"/>
      <c r="T812" s="4"/>
      <c r="U812" s="4"/>
      <c r="V812" s="4"/>
      <c r="W812" s="4"/>
      <c r="X812" s="4"/>
      <c r="Y812" s="4"/>
      <c r="Z812" s="4"/>
      <c r="AA812" s="4"/>
    </row>
    <row r="813" spans="1:27" ht="12.75" x14ac:dyDescent="0.2">
      <c r="A813" s="16"/>
      <c r="B813" s="6"/>
      <c r="C813" s="6"/>
      <c r="D813" s="6"/>
      <c r="E813" s="4"/>
      <c r="F813" s="6"/>
      <c r="G813" s="6"/>
      <c r="H813" s="6"/>
      <c r="I813" s="6"/>
      <c r="J813" s="6"/>
      <c r="K813" s="6"/>
      <c r="L813" s="6"/>
      <c r="M813" s="6"/>
      <c r="N813" s="6"/>
      <c r="O813" s="16"/>
      <c r="P813" s="6"/>
      <c r="Q813" s="4"/>
      <c r="R813" s="4"/>
      <c r="S813" s="4"/>
      <c r="T813" s="4"/>
      <c r="U813" s="4"/>
      <c r="V813" s="4"/>
      <c r="W813" s="4"/>
      <c r="X813" s="4"/>
      <c r="Y813" s="4"/>
      <c r="Z813" s="4"/>
      <c r="AA813" s="4"/>
    </row>
    <row r="814" spans="1:27" ht="12.75" x14ac:dyDescent="0.2">
      <c r="A814" s="16"/>
      <c r="B814" s="6"/>
      <c r="C814" s="6"/>
      <c r="D814" s="6"/>
      <c r="E814" s="4"/>
      <c r="F814" s="6"/>
      <c r="G814" s="6"/>
      <c r="H814" s="6"/>
      <c r="I814" s="6"/>
      <c r="J814" s="6"/>
      <c r="K814" s="6"/>
      <c r="L814" s="6"/>
      <c r="M814" s="6"/>
      <c r="N814" s="6"/>
      <c r="O814" s="16"/>
      <c r="P814" s="6"/>
      <c r="Q814" s="4"/>
      <c r="R814" s="4"/>
      <c r="S814" s="4"/>
      <c r="T814" s="4"/>
      <c r="U814" s="4"/>
      <c r="V814" s="4"/>
      <c r="W814" s="4"/>
      <c r="X814" s="4"/>
      <c r="Y814" s="4"/>
      <c r="Z814" s="4"/>
      <c r="AA814" s="4"/>
    </row>
    <row r="815" spans="1:27" ht="12.75" x14ac:dyDescent="0.2">
      <c r="A815" s="16"/>
      <c r="B815" s="6"/>
      <c r="C815" s="6"/>
      <c r="D815" s="6"/>
      <c r="E815" s="4"/>
      <c r="F815" s="6"/>
      <c r="G815" s="6"/>
      <c r="H815" s="6"/>
      <c r="I815" s="6"/>
      <c r="J815" s="6"/>
      <c r="K815" s="6"/>
      <c r="L815" s="6"/>
      <c r="M815" s="6"/>
      <c r="N815" s="6"/>
      <c r="O815" s="16"/>
      <c r="P815" s="6"/>
      <c r="Q815" s="4"/>
      <c r="R815" s="4"/>
      <c r="S815" s="4"/>
      <c r="T815" s="4"/>
      <c r="U815" s="4"/>
      <c r="V815" s="4"/>
      <c r="W815" s="4"/>
      <c r="X815" s="4"/>
      <c r="Y815" s="4"/>
      <c r="Z815" s="4"/>
      <c r="AA815" s="4"/>
    </row>
    <row r="816" spans="1:27" ht="12.75" x14ac:dyDescent="0.2">
      <c r="A816" s="16"/>
      <c r="B816" s="6"/>
      <c r="C816" s="6"/>
      <c r="D816" s="6"/>
      <c r="E816" s="4"/>
      <c r="F816" s="6"/>
      <c r="G816" s="6"/>
      <c r="H816" s="6"/>
      <c r="I816" s="6"/>
      <c r="J816" s="6"/>
      <c r="K816" s="6"/>
      <c r="L816" s="6"/>
      <c r="M816" s="6"/>
      <c r="N816" s="6"/>
      <c r="O816" s="16"/>
      <c r="P816" s="6"/>
      <c r="Q816" s="4"/>
      <c r="R816" s="4"/>
      <c r="S816" s="4"/>
      <c r="T816" s="4"/>
      <c r="U816" s="4"/>
      <c r="V816" s="4"/>
      <c r="W816" s="4"/>
      <c r="X816" s="4"/>
      <c r="Y816" s="4"/>
      <c r="Z816" s="4"/>
      <c r="AA816" s="4"/>
    </row>
    <row r="817" spans="1:27" ht="12.75" x14ac:dyDescent="0.2">
      <c r="A817" s="16"/>
      <c r="B817" s="6"/>
      <c r="C817" s="6"/>
      <c r="D817" s="6"/>
      <c r="E817" s="4"/>
      <c r="F817" s="6"/>
      <c r="G817" s="6"/>
      <c r="H817" s="6"/>
      <c r="I817" s="6"/>
      <c r="J817" s="6"/>
      <c r="K817" s="6"/>
      <c r="L817" s="6"/>
      <c r="M817" s="6"/>
      <c r="N817" s="6"/>
      <c r="O817" s="16"/>
      <c r="P817" s="6"/>
      <c r="Q817" s="4"/>
      <c r="R817" s="4"/>
      <c r="S817" s="4"/>
      <c r="T817" s="4"/>
      <c r="U817" s="4"/>
      <c r="V817" s="4"/>
      <c r="W817" s="4"/>
      <c r="X817" s="4"/>
      <c r="Y817" s="4"/>
      <c r="Z817" s="4"/>
      <c r="AA817" s="4"/>
    </row>
    <row r="818" spans="1:27" ht="12.75" x14ac:dyDescent="0.2">
      <c r="A818" s="16"/>
      <c r="B818" s="6"/>
      <c r="C818" s="6"/>
      <c r="D818" s="6"/>
      <c r="E818" s="4"/>
      <c r="F818" s="6"/>
      <c r="G818" s="6"/>
      <c r="H818" s="6"/>
      <c r="I818" s="6"/>
      <c r="J818" s="6"/>
      <c r="K818" s="6"/>
      <c r="L818" s="6"/>
      <c r="M818" s="6"/>
      <c r="N818" s="6"/>
      <c r="O818" s="16"/>
      <c r="P818" s="6"/>
      <c r="Q818" s="4"/>
      <c r="R818" s="4"/>
      <c r="S818" s="4"/>
      <c r="T818" s="4"/>
      <c r="U818" s="4"/>
      <c r="V818" s="4"/>
      <c r="W818" s="4"/>
      <c r="X818" s="4"/>
      <c r="Y818" s="4"/>
      <c r="Z818" s="4"/>
      <c r="AA818" s="4"/>
    </row>
    <row r="819" spans="1:27" ht="12.75" x14ac:dyDescent="0.2">
      <c r="A819" s="16"/>
      <c r="B819" s="6"/>
      <c r="C819" s="6"/>
      <c r="D819" s="6"/>
      <c r="E819" s="4"/>
      <c r="F819" s="6"/>
      <c r="G819" s="6"/>
      <c r="H819" s="6"/>
      <c r="I819" s="6"/>
      <c r="J819" s="6"/>
      <c r="K819" s="6"/>
      <c r="L819" s="6"/>
      <c r="M819" s="6"/>
      <c r="N819" s="6"/>
      <c r="O819" s="16"/>
      <c r="P819" s="6"/>
      <c r="Q819" s="4"/>
      <c r="R819" s="4"/>
      <c r="S819" s="4"/>
      <c r="T819" s="4"/>
      <c r="U819" s="4"/>
      <c r="V819" s="4"/>
      <c r="W819" s="4"/>
      <c r="X819" s="4"/>
      <c r="Y819" s="4"/>
      <c r="Z819" s="4"/>
      <c r="AA819" s="4"/>
    </row>
    <row r="820" spans="1:27" ht="12.75" x14ac:dyDescent="0.2">
      <c r="A820" s="16"/>
      <c r="B820" s="6"/>
      <c r="C820" s="6"/>
      <c r="D820" s="6"/>
      <c r="E820" s="4"/>
      <c r="F820" s="6"/>
      <c r="G820" s="6"/>
      <c r="H820" s="6"/>
      <c r="I820" s="6"/>
      <c r="J820" s="6"/>
      <c r="K820" s="6"/>
      <c r="L820" s="6"/>
      <c r="M820" s="6"/>
      <c r="N820" s="6"/>
      <c r="O820" s="16"/>
      <c r="P820" s="6"/>
      <c r="Q820" s="4"/>
      <c r="R820" s="4"/>
      <c r="S820" s="4"/>
      <c r="T820" s="4"/>
      <c r="U820" s="4"/>
      <c r="V820" s="4"/>
      <c r="W820" s="4"/>
      <c r="X820" s="4"/>
      <c r="Y820" s="4"/>
      <c r="Z820" s="4"/>
      <c r="AA820" s="4"/>
    </row>
    <row r="821" spans="1:27" ht="12.75" x14ac:dyDescent="0.2">
      <c r="A821" s="16"/>
      <c r="B821" s="6"/>
      <c r="C821" s="6"/>
      <c r="D821" s="6"/>
      <c r="E821" s="4"/>
      <c r="F821" s="6"/>
      <c r="G821" s="6"/>
      <c r="H821" s="6"/>
      <c r="I821" s="6"/>
      <c r="J821" s="6"/>
      <c r="K821" s="6"/>
      <c r="L821" s="6"/>
      <c r="M821" s="6"/>
      <c r="N821" s="6"/>
      <c r="O821" s="16"/>
      <c r="P821" s="6"/>
      <c r="Q821" s="4"/>
      <c r="R821" s="4"/>
      <c r="S821" s="4"/>
      <c r="T821" s="4"/>
      <c r="U821" s="4"/>
      <c r="V821" s="4"/>
      <c r="W821" s="4"/>
      <c r="X821" s="4"/>
      <c r="Y821" s="4"/>
      <c r="Z821" s="4"/>
      <c r="AA821" s="4"/>
    </row>
    <row r="822" spans="1:27" ht="12.75" x14ac:dyDescent="0.2">
      <c r="A822" s="16"/>
      <c r="B822" s="6"/>
      <c r="C822" s="6"/>
      <c r="D822" s="6"/>
      <c r="E822" s="4"/>
      <c r="F822" s="6"/>
      <c r="G822" s="6"/>
      <c r="H822" s="6"/>
      <c r="I822" s="6"/>
      <c r="J822" s="6"/>
      <c r="K822" s="6"/>
      <c r="L822" s="6"/>
      <c r="M822" s="6"/>
      <c r="N822" s="6"/>
      <c r="O822" s="16"/>
      <c r="P822" s="6"/>
      <c r="Q822" s="4"/>
      <c r="R822" s="4"/>
      <c r="S822" s="4"/>
      <c r="T822" s="4"/>
      <c r="U822" s="4"/>
      <c r="V822" s="4"/>
      <c r="W822" s="4"/>
      <c r="X822" s="4"/>
      <c r="Y822" s="4"/>
      <c r="Z822" s="4"/>
      <c r="AA822" s="4"/>
    </row>
    <row r="823" spans="1:27" ht="12.75" x14ac:dyDescent="0.2">
      <c r="A823" s="16"/>
      <c r="B823" s="6"/>
      <c r="C823" s="6"/>
      <c r="D823" s="6"/>
      <c r="E823" s="4"/>
      <c r="F823" s="6"/>
      <c r="G823" s="6"/>
      <c r="H823" s="6"/>
      <c r="I823" s="6"/>
      <c r="J823" s="6"/>
      <c r="K823" s="6"/>
      <c r="L823" s="6"/>
      <c r="M823" s="6"/>
      <c r="N823" s="6"/>
      <c r="O823" s="16"/>
      <c r="P823" s="6"/>
      <c r="Q823" s="4"/>
      <c r="R823" s="4"/>
      <c r="S823" s="4"/>
      <c r="T823" s="4"/>
      <c r="U823" s="4"/>
      <c r="V823" s="4"/>
      <c r="W823" s="4"/>
      <c r="X823" s="4"/>
      <c r="Y823" s="4"/>
      <c r="Z823" s="4"/>
      <c r="AA823" s="4"/>
    </row>
    <row r="824" spans="1:27" ht="12.75" x14ac:dyDescent="0.2">
      <c r="A824" s="16"/>
      <c r="B824" s="6"/>
      <c r="C824" s="6"/>
      <c r="D824" s="6"/>
      <c r="E824" s="4"/>
      <c r="F824" s="6"/>
      <c r="G824" s="6"/>
      <c r="H824" s="6"/>
      <c r="I824" s="6"/>
      <c r="J824" s="6"/>
      <c r="K824" s="6"/>
      <c r="L824" s="6"/>
      <c r="M824" s="6"/>
      <c r="N824" s="6"/>
      <c r="O824" s="16"/>
      <c r="P824" s="6"/>
      <c r="Q824" s="4"/>
      <c r="R824" s="4"/>
      <c r="S824" s="4"/>
      <c r="T824" s="4"/>
      <c r="U824" s="4"/>
      <c r="V824" s="4"/>
      <c r="W824" s="4"/>
      <c r="X824" s="4"/>
      <c r="Y824" s="4"/>
      <c r="Z824" s="4"/>
      <c r="AA824" s="4"/>
    </row>
    <row r="825" spans="1:27" ht="12.75" x14ac:dyDescent="0.2">
      <c r="A825" s="16"/>
      <c r="B825" s="6"/>
      <c r="C825" s="6"/>
      <c r="D825" s="6"/>
      <c r="E825" s="4"/>
      <c r="F825" s="6"/>
      <c r="G825" s="6"/>
      <c r="H825" s="6"/>
      <c r="I825" s="6"/>
      <c r="J825" s="6"/>
      <c r="K825" s="6"/>
      <c r="L825" s="6"/>
      <c r="M825" s="6"/>
      <c r="N825" s="6"/>
      <c r="O825" s="16"/>
      <c r="P825" s="6"/>
      <c r="Q825" s="4"/>
      <c r="R825" s="4"/>
      <c r="S825" s="4"/>
      <c r="T825" s="4"/>
      <c r="U825" s="4"/>
      <c r="V825" s="4"/>
      <c r="W825" s="4"/>
      <c r="X825" s="4"/>
      <c r="Y825" s="4"/>
      <c r="Z825" s="4"/>
      <c r="AA825" s="4"/>
    </row>
    <row r="826" spans="1:27" ht="12.75" x14ac:dyDescent="0.2">
      <c r="A826" s="16"/>
      <c r="B826" s="6"/>
      <c r="C826" s="6"/>
      <c r="D826" s="6"/>
      <c r="E826" s="4"/>
      <c r="F826" s="6"/>
      <c r="G826" s="6"/>
      <c r="H826" s="6"/>
      <c r="I826" s="6"/>
      <c r="J826" s="6"/>
      <c r="K826" s="6"/>
      <c r="L826" s="6"/>
      <c r="M826" s="6"/>
      <c r="N826" s="6"/>
      <c r="O826" s="16"/>
      <c r="P826" s="6"/>
      <c r="Q826" s="4"/>
      <c r="R826" s="4"/>
      <c r="S826" s="4"/>
      <c r="T826" s="4"/>
      <c r="U826" s="4"/>
      <c r="V826" s="4"/>
      <c r="W826" s="4"/>
      <c r="X826" s="4"/>
      <c r="Y826" s="4"/>
      <c r="Z826" s="4"/>
      <c r="AA826" s="4"/>
    </row>
    <row r="827" spans="1:27" ht="12.75" x14ac:dyDescent="0.2">
      <c r="A827" s="16"/>
      <c r="B827" s="6"/>
      <c r="C827" s="6"/>
      <c r="D827" s="6"/>
      <c r="E827" s="4"/>
      <c r="F827" s="6"/>
      <c r="G827" s="6"/>
      <c r="H827" s="6"/>
      <c r="I827" s="6"/>
      <c r="J827" s="6"/>
      <c r="K827" s="6"/>
      <c r="L827" s="6"/>
      <c r="M827" s="6"/>
      <c r="N827" s="6"/>
      <c r="O827" s="16"/>
      <c r="P827" s="6"/>
      <c r="Q827" s="4"/>
      <c r="R827" s="4"/>
      <c r="S827" s="4"/>
      <c r="T827" s="4"/>
      <c r="U827" s="4"/>
      <c r="V827" s="4"/>
      <c r="W827" s="4"/>
      <c r="X827" s="4"/>
      <c r="Y827" s="4"/>
      <c r="Z827" s="4"/>
      <c r="AA827" s="4"/>
    </row>
    <row r="828" spans="1:27" ht="12.75" x14ac:dyDescent="0.2">
      <c r="A828" s="16"/>
      <c r="B828" s="6"/>
      <c r="C828" s="6"/>
      <c r="D828" s="6"/>
      <c r="E828" s="4"/>
      <c r="F828" s="6"/>
      <c r="G828" s="6"/>
      <c r="H828" s="6"/>
      <c r="I828" s="6"/>
      <c r="J828" s="6"/>
      <c r="K828" s="6"/>
      <c r="L828" s="6"/>
      <c r="M828" s="6"/>
      <c r="N828" s="6"/>
      <c r="O828" s="16"/>
      <c r="P828" s="6"/>
      <c r="Q828" s="4"/>
      <c r="R828" s="4"/>
      <c r="S828" s="4"/>
      <c r="T828" s="4"/>
      <c r="U828" s="4"/>
      <c r="V828" s="4"/>
      <c r="W828" s="4"/>
      <c r="X828" s="4"/>
      <c r="Y828" s="4"/>
      <c r="Z828" s="4"/>
      <c r="AA828" s="4"/>
    </row>
    <row r="829" spans="1:27" ht="12.75" x14ac:dyDescent="0.2">
      <c r="A829" s="16"/>
      <c r="B829" s="6"/>
      <c r="C829" s="6"/>
      <c r="D829" s="6"/>
      <c r="E829" s="4"/>
      <c r="F829" s="6"/>
      <c r="G829" s="6"/>
      <c r="H829" s="6"/>
      <c r="I829" s="6"/>
      <c r="J829" s="6"/>
      <c r="K829" s="6"/>
      <c r="L829" s="6"/>
      <c r="M829" s="6"/>
      <c r="N829" s="6"/>
      <c r="O829" s="16"/>
      <c r="P829" s="6"/>
      <c r="Q829" s="4"/>
      <c r="R829" s="4"/>
      <c r="S829" s="4"/>
      <c r="T829" s="4"/>
      <c r="U829" s="4"/>
      <c r="V829" s="4"/>
      <c r="W829" s="4"/>
      <c r="X829" s="4"/>
      <c r="Y829" s="4"/>
      <c r="Z829" s="4"/>
      <c r="AA829" s="4"/>
    </row>
    <row r="830" spans="1:27" ht="12.75" x14ac:dyDescent="0.2">
      <c r="A830" s="16"/>
      <c r="B830" s="6"/>
      <c r="C830" s="6"/>
      <c r="D830" s="6"/>
      <c r="E830" s="4"/>
      <c r="F830" s="6"/>
      <c r="G830" s="6"/>
      <c r="H830" s="6"/>
      <c r="I830" s="6"/>
      <c r="J830" s="6"/>
      <c r="K830" s="6"/>
      <c r="L830" s="6"/>
      <c r="M830" s="6"/>
      <c r="N830" s="6"/>
      <c r="O830" s="16"/>
      <c r="P830" s="6"/>
      <c r="Q830" s="4"/>
      <c r="R830" s="4"/>
      <c r="S830" s="4"/>
      <c r="T830" s="4"/>
      <c r="U830" s="4"/>
      <c r="V830" s="4"/>
      <c r="W830" s="4"/>
      <c r="X830" s="4"/>
      <c r="Y830" s="4"/>
      <c r="Z830" s="4"/>
      <c r="AA830" s="4"/>
    </row>
    <row r="831" spans="1:27" ht="12.75" x14ac:dyDescent="0.2">
      <c r="A831" s="16"/>
      <c r="B831" s="6"/>
      <c r="C831" s="6"/>
      <c r="D831" s="6"/>
      <c r="E831" s="4"/>
      <c r="F831" s="6"/>
      <c r="G831" s="6"/>
      <c r="H831" s="6"/>
      <c r="I831" s="6"/>
      <c r="J831" s="6"/>
      <c r="K831" s="6"/>
      <c r="L831" s="6"/>
      <c r="M831" s="6"/>
      <c r="N831" s="6"/>
      <c r="O831" s="16"/>
      <c r="P831" s="6"/>
      <c r="Q831" s="4"/>
      <c r="R831" s="4"/>
      <c r="S831" s="4"/>
      <c r="T831" s="4"/>
      <c r="U831" s="4"/>
      <c r="V831" s="4"/>
      <c r="W831" s="4"/>
      <c r="X831" s="4"/>
      <c r="Y831" s="4"/>
      <c r="Z831" s="4"/>
      <c r="AA831" s="4"/>
    </row>
    <row r="832" spans="1:27" ht="12.75" x14ac:dyDescent="0.2">
      <c r="A832" s="16"/>
      <c r="B832" s="6"/>
      <c r="C832" s="6"/>
      <c r="D832" s="6"/>
      <c r="E832" s="4"/>
      <c r="F832" s="6"/>
      <c r="G832" s="6"/>
      <c r="H832" s="6"/>
      <c r="I832" s="6"/>
      <c r="J832" s="6"/>
      <c r="K832" s="6"/>
      <c r="L832" s="6"/>
      <c r="M832" s="6"/>
      <c r="N832" s="6"/>
      <c r="O832" s="16"/>
      <c r="P832" s="6"/>
      <c r="Q832" s="4"/>
      <c r="R832" s="4"/>
      <c r="S832" s="4"/>
      <c r="T832" s="4"/>
      <c r="U832" s="4"/>
      <c r="V832" s="4"/>
      <c r="W832" s="4"/>
      <c r="X832" s="4"/>
      <c r="Y832" s="4"/>
      <c r="Z832" s="4"/>
      <c r="AA832" s="4"/>
    </row>
    <row r="833" spans="1:27" ht="12.75" x14ac:dyDescent="0.2">
      <c r="A833" s="16"/>
      <c r="B833" s="6"/>
      <c r="C833" s="6"/>
      <c r="D833" s="6"/>
      <c r="E833" s="4"/>
      <c r="F833" s="6"/>
      <c r="G833" s="6"/>
      <c r="H833" s="6"/>
      <c r="I833" s="6"/>
      <c r="J833" s="6"/>
      <c r="K833" s="6"/>
      <c r="L833" s="6"/>
      <c r="M833" s="6"/>
      <c r="N833" s="6"/>
      <c r="O833" s="16"/>
      <c r="P833" s="6"/>
      <c r="Q833" s="4"/>
      <c r="R833" s="4"/>
      <c r="S833" s="4"/>
      <c r="T833" s="4"/>
      <c r="U833" s="4"/>
      <c r="V833" s="4"/>
      <c r="W833" s="4"/>
      <c r="X833" s="4"/>
      <c r="Y833" s="4"/>
      <c r="Z833" s="4"/>
      <c r="AA833" s="4"/>
    </row>
    <row r="834" spans="1:27" ht="12.75" x14ac:dyDescent="0.2">
      <c r="A834" s="16"/>
      <c r="B834" s="6"/>
      <c r="C834" s="6"/>
      <c r="D834" s="6"/>
      <c r="E834" s="4"/>
      <c r="F834" s="6"/>
      <c r="G834" s="6"/>
      <c r="H834" s="6"/>
      <c r="I834" s="6"/>
      <c r="J834" s="6"/>
      <c r="K834" s="6"/>
      <c r="L834" s="6"/>
      <c r="M834" s="6"/>
      <c r="N834" s="6"/>
      <c r="O834" s="16"/>
      <c r="P834" s="6"/>
      <c r="Q834" s="4"/>
      <c r="R834" s="4"/>
      <c r="S834" s="4"/>
      <c r="T834" s="4"/>
      <c r="U834" s="4"/>
      <c r="V834" s="4"/>
      <c r="W834" s="4"/>
      <c r="X834" s="4"/>
      <c r="Y834" s="4"/>
      <c r="Z834" s="4"/>
      <c r="AA834" s="4"/>
    </row>
    <row r="835" spans="1:27" ht="12.75" x14ac:dyDescent="0.2">
      <c r="A835" s="16"/>
      <c r="B835" s="6"/>
      <c r="C835" s="6"/>
      <c r="D835" s="6"/>
      <c r="E835" s="4"/>
      <c r="F835" s="6"/>
      <c r="G835" s="6"/>
      <c r="H835" s="6"/>
      <c r="I835" s="6"/>
      <c r="J835" s="6"/>
      <c r="K835" s="6"/>
      <c r="L835" s="6"/>
      <c r="M835" s="6"/>
      <c r="N835" s="6"/>
      <c r="O835" s="16"/>
      <c r="P835" s="6"/>
      <c r="Q835" s="4"/>
      <c r="R835" s="4"/>
      <c r="S835" s="4"/>
      <c r="T835" s="4"/>
      <c r="U835" s="4"/>
      <c r="V835" s="4"/>
      <c r="W835" s="4"/>
      <c r="X835" s="4"/>
      <c r="Y835" s="4"/>
      <c r="Z835" s="4"/>
      <c r="AA835" s="4"/>
    </row>
    <row r="836" spans="1:27" ht="12.75" x14ac:dyDescent="0.2">
      <c r="A836" s="16"/>
      <c r="B836" s="6"/>
      <c r="C836" s="6"/>
      <c r="D836" s="6"/>
      <c r="E836" s="4"/>
      <c r="F836" s="6"/>
      <c r="G836" s="6"/>
      <c r="H836" s="6"/>
      <c r="I836" s="6"/>
      <c r="J836" s="6"/>
      <c r="K836" s="6"/>
      <c r="L836" s="6"/>
      <c r="M836" s="6"/>
      <c r="N836" s="6"/>
      <c r="O836" s="16"/>
      <c r="P836" s="6"/>
      <c r="Q836" s="4"/>
      <c r="R836" s="4"/>
      <c r="S836" s="4"/>
      <c r="T836" s="4"/>
      <c r="U836" s="4"/>
      <c r="V836" s="4"/>
      <c r="W836" s="4"/>
      <c r="X836" s="4"/>
      <c r="Y836" s="4"/>
      <c r="Z836" s="4"/>
      <c r="AA836" s="4"/>
    </row>
    <row r="837" spans="1:27" ht="12.75" x14ac:dyDescent="0.2">
      <c r="A837" s="16"/>
      <c r="B837" s="6"/>
      <c r="C837" s="6"/>
      <c r="D837" s="6"/>
      <c r="E837" s="4"/>
      <c r="F837" s="6"/>
      <c r="G837" s="6"/>
      <c r="H837" s="6"/>
      <c r="I837" s="6"/>
      <c r="J837" s="6"/>
      <c r="K837" s="6"/>
      <c r="L837" s="6"/>
      <c r="M837" s="6"/>
      <c r="N837" s="6"/>
      <c r="O837" s="16"/>
      <c r="P837" s="6"/>
      <c r="Q837" s="4"/>
      <c r="R837" s="4"/>
      <c r="S837" s="4"/>
      <c r="T837" s="4"/>
      <c r="U837" s="4"/>
      <c r="V837" s="4"/>
      <c r="W837" s="4"/>
      <c r="X837" s="4"/>
      <c r="Y837" s="4"/>
      <c r="Z837" s="4"/>
      <c r="AA837" s="4"/>
    </row>
    <row r="838" spans="1:27" ht="12.75" x14ac:dyDescent="0.2">
      <c r="A838" s="16"/>
      <c r="B838" s="6"/>
      <c r="C838" s="6"/>
      <c r="D838" s="6"/>
      <c r="E838" s="4"/>
      <c r="F838" s="6"/>
      <c r="G838" s="6"/>
      <c r="H838" s="6"/>
      <c r="I838" s="6"/>
      <c r="J838" s="6"/>
      <c r="K838" s="6"/>
      <c r="L838" s="6"/>
      <c r="M838" s="6"/>
      <c r="N838" s="6"/>
      <c r="O838" s="16"/>
      <c r="P838" s="6"/>
      <c r="Q838" s="4"/>
      <c r="R838" s="4"/>
      <c r="S838" s="4"/>
      <c r="T838" s="4"/>
      <c r="U838" s="4"/>
      <c r="V838" s="4"/>
      <c r="W838" s="4"/>
      <c r="X838" s="4"/>
      <c r="Y838" s="4"/>
      <c r="Z838" s="4"/>
      <c r="AA838" s="4"/>
    </row>
    <row r="839" spans="1:27" ht="12.75" x14ac:dyDescent="0.2">
      <c r="A839" s="16"/>
      <c r="B839" s="6"/>
      <c r="C839" s="6"/>
      <c r="D839" s="6"/>
      <c r="E839" s="4"/>
      <c r="F839" s="6"/>
      <c r="G839" s="6"/>
      <c r="H839" s="6"/>
      <c r="I839" s="6"/>
      <c r="J839" s="6"/>
      <c r="K839" s="6"/>
      <c r="L839" s="6"/>
      <c r="M839" s="6"/>
      <c r="N839" s="6"/>
      <c r="O839" s="16"/>
      <c r="P839" s="6"/>
      <c r="Q839" s="4"/>
      <c r="R839" s="4"/>
      <c r="S839" s="4"/>
      <c r="T839" s="4"/>
      <c r="U839" s="4"/>
      <c r="V839" s="4"/>
      <c r="W839" s="4"/>
      <c r="X839" s="4"/>
      <c r="Y839" s="4"/>
      <c r="Z839" s="4"/>
      <c r="AA839" s="4"/>
    </row>
    <row r="840" spans="1:27" ht="12.75" x14ac:dyDescent="0.2">
      <c r="A840" s="16"/>
      <c r="B840" s="6"/>
      <c r="C840" s="6"/>
      <c r="D840" s="6"/>
      <c r="E840" s="4"/>
      <c r="F840" s="6"/>
      <c r="G840" s="6"/>
      <c r="H840" s="6"/>
      <c r="I840" s="6"/>
      <c r="J840" s="6"/>
      <c r="K840" s="6"/>
      <c r="L840" s="6"/>
      <c r="M840" s="6"/>
      <c r="N840" s="6"/>
      <c r="O840" s="16"/>
      <c r="P840" s="6"/>
      <c r="Q840" s="4"/>
      <c r="R840" s="4"/>
      <c r="S840" s="4"/>
      <c r="T840" s="4"/>
      <c r="U840" s="4"/>
      <c r="V840" s="4"/>
      <c r="W840" s="4"/>
      <c r="X840" s="4"/>
      <c r="Y840" s="4"/>
      <c r="Z840" s="4"/>
      <c r="AA840" s="4"/>
    </row>
    <row r="841" spans="1:27" ht="12.75" x14ac:dyDescent="0.2">
      <c r="A841" s="16"/>
      <c r="B841" s="6"/>
      <c r="C841" s="6"/>
      <c r="D841" s="6"/>
      <c r="E841" s="4"/>
      <c r="F841" s="6"/>
      <c r="G841" s="6"/>
      <c r="H841" s="6"/>
      <c r="I841" s="6"/>
      <c r="J841" s="6"/>
      <c r="K841" s="6"/>
      <c r="L841" s="6"/>
      <c r="M841" s="6"/>
      <c r="N841" s="6"/>
      <c r="O841" s="16"/>
      <c r="P841" s="6"/>
      <c r="Q841" s="4"/>
      <c r="R841" s="4"/>
      <c r="S841" s="4"/>
      <c r="T841" s="4"/>
      <c r="U841" s="4"/>
      <c r="V841" s="4"/>
      <c r="W841" s="4"/>
      <c r="X841" s="4"/>
      <c r="Y841" s="4"/>
      <c r="Z841" s="4"/>
      <c r="AA841" s="4"/>
    </row>
    <row r="842" spans="1:27" ht="12.75" x14ac:dyDescent="0.2">
      <c r="A842" s="16"/>
      <c r="B842" s="6"/>
      <c r="C842" s="6"/>
      <c r="D842" s="6"/>
      <c r="E842" s="4"/>
      <c r="F842" s="6"/>
      <c r="G842" s="6"/>
      <c r="H842" s="6"/>
      <c r="I842" s="6"/>
      <c r="J842" s="6"/>
      <c r="K842" s="6"/>
      <c r="L842" s="6"/>
      <c r="M842" s="6"/>
      <c r="N842" s="6"/>
      <c r="O842" s="16"/>
      <c r="P842" s="6"/>
      <c r="Q842" s="4"/>
      <c r="R842" s="4"/>
      <c r="S842" s="4"/>
      <c r="T842" s="4"/>
      <c r="U842" s="4"/>
      <c r="V842" s="4"/>
      <c r="W842" s="4"/>
      <c r="X842" s="4"/>
      <c r="Y842" s="4"/>
      <c r="Z842" s="4"/>
      <c r="AA842" s="4"/>
    </row>
    <row r="843" spans="1:27" ht="12.75" x14ac:dyDescent="0.2">
      <c r="A843" s="16"/>
      <c r="B843" s="6"/>
      <c r="C843" s="6"/>
      <c r="D843" s="6"/>
      <c r="E843" s="4"/>
      <c r="F843" s="6"/>
      <c r="G843" s="6"/>
      <c r="H843" s="6"/>
      <c r="I843" s="6"/>
      <c r="J843" s="6"/>
      <c r="K843" s="6"/>
      <c r="L843" s="6"/>
      <c r="M843" s="6"/>
      <c r="N843" s="6"/>
      <c r="O843" s="16"/>
      <c r="P843" s="6"/>
      <c r="Q843" s="4"/>
      <c r="R843" s="4"/>
      <c r="S843" s="4"/>
      <c r="T843" s="4"/>
      <c r="U843" s="4"/>
      <c r="V843" s="4"/>
      <c r="W843" s="4"/>
      <c r="X843" s="4"/>
      <c r="Y843" s="4"/>
      <c r="Z843" s="4"/>
      <c r="AA843" s="4"/>
    </row>
    <row r="844" spans="1:27" ht="12.75" x14ac:dyDescent="0.2">
      <c r="A844" s="16"/>
      <c r="B844" s="6"/>
      <c r="C844" s="6"/>
      <c r="D844" s="6"/>
      <c r="E844" s="4"/>
      <c r="F844" s="6"/>
      <c r="G844" s="6"/>
      <c r="H844" s="6"/>
      <c r="I844" s="6"/>
      <c r="J844" s="6"/>
      <c r="K844" s="6"/>
      <c r="L844" s="6"/>
      <c r="M844" s="6"/>
      <c r="N844" s="6"/>
      <c r="O844" s="16"/>
      <c r="P844" s="6"/>
      <c r="Q844" s="4"/>
      <c r="R844" s="4"/>
      <c r="S844" s="4"/>
      <c r="T844" s="4"/>
      <c r="U844" s="4"/>
      <c r="V844" s="4"/>
      <c r="W844" s="4"/>
      <c r="X844" s="4"/>
      <c r="Y844" s="4"/>
      <c r="Z844" s="4"/>
      <c r="AA844" s="4"/>
    </row>
    <row r="845" spans="1:27" ht="12.75" x14ac:dyDescent="0.2">
      <c r="A845" s="16"/>
      <c r="B845" s="6"/>
      <c r="C845" s="6"/>
      <c r="D845" s="6"/>
      <c r="E845" s="4"/>
      <c r="F845" s="6"/>
      <c r="G845" s="6"/>
      <c r="H845" s="6"/>
      <c r="I845" s="6"/>
      <c r="J845" s="6"/>
      <c r="K845" s="6"/>
      <c r="L845" s="6"/>
      <c r="M845" s="6"/>
      <c r="N845" s="6"/>
      <c r="O845" s="16"/>
      <c r="P845" s="6"/>
      <c r="Q845" s="4"/>
      <c r="R845" s="4"/>
      <c r="S845" s="4"/>
      <c r="T845" s="4"/>
      <c r="U845" s="4"/>
      <c r="V845" s="4"/>
      <c r="W845" s="4"/>
      <c r="X845" s="4"/>
      <c r="Y845" s="4"/>
      <c r="Z845" s="4"/>
      <c r="AA845" s="4"/>
    </row>
    <row r="846" spans="1:27" ht="12.75" x14ac:dyDescent="0.2">
      <c r="A846" s="16"/>
      <c r="B846" s="6"/>
      <c r="C846" s="6"/>
      <c r="D846" s="6"/>
      <c r="E846" s="4"/>
      <c r="F846" s="6"/>
      <c r="G846" s="6"/>
      <c r="H846" s="6"/>
      <c r="I846" s="6"/>
      <c r="J846" s="6"/>
      <c r="K846" s="6"/>
      <c r="L846" s="6"/>
      <c r="M846" s="6"/>
      <c r="N846" s="6"/>
      <c r="O846" s="16"/>
      <c r="P846" s="6"/>
      <c r="Q846" s="4"/>
      <c r="R846" s="4"/>
      <c r="S846" s="4"/>
      <c r="T846" s="4"/>
      <c r="U846" s="4"/>
      <c r="V846" s="4"/>
      <c r="W846" s="4"/>
      <c r="X846" s="4"/>
      <c r="Y846" s="4"/>
      <c r="Z846" s="4"/>
      <c r="AA846" s="4"/>
    </row>
    <row r="847" spans="1:27" ht="12.75" x14ac:dyDescent="0.2">
      <c r="A847" s="16"/>
      <c r="B847" s="6"/>
      <c r="C847" s="6"/>
      <c r="D847" s="6"/>
      <c r="E847" s="4"/>
      <c r="F847" s="6"/>
      <c r="G847" s="6"/>
      <c r="H847" s="6"/>
      <c r="I847" s="6"/>
      <c r="J847" s="6"/>
      <c r="K847" s="6"/>
      <c r="L847" s="6"/>
      <c r="M847" s="6"/>
      <c r="N847" s="6"/>
      <c r="O847" s="16"/>
      <c r="P847" s="6"/>
      <c r="Q847" s="4"/>
      <c r="R847" s="4"/>
      <c r="S847" s="4"/>
      <c r="T847" s="4"/>
      <c r="U847" s="4"/>
      <c r="V847" s="4"/>
      <c r="W847" s="4"/>
      <c r="X847" s="4"/>
      <c r="Y847" s="4"/>
      <c r="Z847" s="4"/>
      <c r="AA847" s="4"/>
    </row>
    <row r="848" spans="1:27" ht="12.75" x14ac:dyDescent="0.2">
      <c r="A848" s="16"/>
      <c r="B848" s="6"/>
      <c r="C848" s="6"/>
      <c r="D848" s="6"/>
      <c r="E848" s="4"/>
      <c r="F848" s="6"/>
      <c r="G848" s="6"/>
      <c r="H848" s="6"/>
      <c r="I848" s="6"/>
      <c r="J848" s="6"/>
      <c r="K848" s="6"/>
      <c r="L848" s="6"/>
      <c r="M848" s="6"/>
      <c r="N848" s="6"/>
      <c r="O848" s="16"/>
      <c r="P848" s="6"/>
      <c r="Q848" s="4"/>
      <c r="R848" s="4"/>
      <c r="S848" s="4"/>
      <c r="T848" s="4"/>
      <c r="U848" s="4"/>
      <c r="V848" s="4"/>
      <c r="W848" s="4"/>
      <c r="X848" s="4"/>
      <c r="Y848" s="4"/>
      <c r="Z848" s="4"/>
      <c r="AA848" s="4"/>
    </row>
    <row r="849" spans="1:27" ht="12.75" x14ac:dyDescent="0.2">
      <c r="A849" s="16"/>
      <c r="B849" s="6"/>
      <c r="C849" s="6"/>
      <c r="D849" s="6"/>
      <c r="E849" s="4"/>
      <c r="F849" s="6"/>
      <c r="G849" s="6"/>
      <c r="H849" s="6"/>
      <c r="I849" s="6"/>
      <c r="J849" s="6"/>
      <c r="K849" s="6"/>
      <c r="L849" s="6"/>
      <c r="M849" s="6"/>
      <c r="N849" s="6"/>
      <c r="O849" s="16"/>
      <c r="P849" s="6"/>
      <c r="Q849" s="4"/>
      <c r="R849" s="4"/>
      <c r="S849" s="4"/>
      <c r="T849" s="4"/>
      <c r="U849" s="4"/>
      <c r="V849" s="4"/>
      <c r="W849" s="4"/>
      <c r="X849" s="4"/>
      <c r="Y849" s="4"/>
      <c r="Z849" s="4"/>
      <c r="AA849" s="4"/>
    </row>
    <row r="850" spans="1:27" ht="12.75" x14ac:dyDescent="0.2">
      <c r="A850" s="16"/>
      <c r="B850" s="6"/>
      <c r="C850" s="6"/>
      <c r="D850" s="6"/>
      <c r="E850" s="4"/>
      <c r="F850" s="6"/>
      <c r="G850" s="6"/>
      <c r="H850" s="6"/>
      <c r="I850" s="6"/>
      <c r="J850" s="6"/>
      <c r="K850" s="6"/>
      <c r="L850" s="6"/>
      <c r="M850" s="6"/>
      <c r="N850" s="6"/>
      <c r="O850" s="16"/>
      <c r="P850" s="6"/>
      <c r="Q850" s="4"/>
      <c r="R850" s="4"/>
      <c r="S850" s="4"/>
      <c r="T850" s="4"/>
      <c r="U850" s="4"/>
      <c r="V850" s="4"/>
      <c r="W850" s="4"/>
      <c r="X850" s="4"/>
      <c r="Y850" s="4"/>
      <c r="Z850" s="4"/>
      <c r="AA850" s="4"/>
    </row>
    <row r="851" spans="1:27" ht="12.75" x14ac:dyDescent="0.2">
      <c r="A851" s="16"/>
      <c r="B851" s="6"/>
      <c r="C851" s="6"/>
      <c r="D851" s="6"/>
      <c r="E851" s="4"/>
      <c r="F851" s="6"/>
      <c r="G851" s="6"/>
      <c r="H851" s="6"/>
      <c r="I851" s="6"/>
      <c r="J851" s="6"/>
      <c r="K851" s="6"/>
      <c r="L851" s="6"/>
      <c r="M851" s="6"/>
      <c r="N851" s="6"/>
      <c r="O851" s="16"/>
      <c r="P851" s="6"/>
      <c r="Q851" s="4"/>
      <c r="R851" s="4"/>
      <c r="S851" s="4"/>
      <c r="T851" s="4"/>
      <c r="U851" s="4"/>
      <c r="V851" s="4"/>
      <c r="W851" s="4"/>
      <c r="X851" s="4"/>
      <c r="Y851" s="4"/>
      <c r="Z851" s="4"/>
      <c r="AA851" s="4"/>
    </row>
    <row r="852" spans="1:27" ht="12.75" x14ac:dyDescent="0.2">
      <c r="A852" s="16"/>
      <c r="B852" s="6"/>
      <c r="C852" s="6"/>
      <c r="D852" s="6"/>
      <c r="E852" s="4"/>
      <c r="F852" s="6"/>
      <c r="G852" s="6"/>
      <c r="H852" s="6"/>
      <c r="I852" s="6"/>
      <c r="J852" s="6"/>
      <c r="K852" s="6"/>
      <c r="L852" s="6"/>
      <c r="M852" s="6"/>
      <c r="N852" s="6"/>
      <c r="O852" s="16"/>
      <c r="P852" s="6"/>
      <c r="Q852" s="4"/>
      <c r="R852" s="4"/>
      <c r="S852" s="4"/>
      <c r="T852" s="4"/>
      <c r="U852" s="4"/>
      <c r="V852" s="4"/>
      <c r="W852" s="4"/>
      <c r="X852" s="4"/>
      <c r="Y852" s="4"/>
      <c r="Z852" s="4"/>
      <c r="AA852" s="4"/>
    </row>
    <row r="853" spans="1:27" ht="12.75" x14ac:dyDescent="0.2">
      <c r="A853" s="16"/>
      <c r="B853" s="6"/>
      <c r="C853" s="6"/>
      <c r="D853" s="6"/>
      <c r="E853" s="4"/>
      <c r="F853" s="6"/>
      <c r="G853" s="6"/>
      <c r="H853" s="6"/>
      <c r="I853" s="6"/>
      <c r="J853" s="6"/>
      <c r="K853" s="6"/>
      <c r="L853" s="6"/>
      <c r="M853" s="6"/>
      <c r="N853" s="6"/>
      <c r="O853" s="16"/>
      <c r="P853" s="6"/>
      <c r="Q853" s="4"/>
      <c r="R853" s="4"/>
      <c r="S853" s="4"/>
      <c r="T853" s="4"/>
      <c r="U853" s="4"/>
      <c r="V853" s="4"/>
      <c r="W853" s="4"/>
      <c r="X853" s="4"/>
      <c r="Y853" s="4"/>
      <c r="Z853" s="4"/>
      <c r="AA853" s="4"/>
    </row>
    <row r="854" spans="1:27" ht="12.75" x14ac:dyDescent="0.2">
      <c r="A854" s="16"/>
      <c r="B854" s="6"/>
      <c r="C854" s="6"/>
      <c r="D854" s="6"/>
      <c r="E854" s="4"/>
      <c r="F854" s="6"/>
      <c r="G854" s="6"/>
      <c r="H854" s="6"/>
      <c r="I854" s="6"/>
      <c r="J854" s="6"/>
      <c r="K854" s="6"/>
      <c r="L854" s="6"/>
      <c r="M854" s="6"/>
      <c r="N854" s="6"/>
      <c r="O854" s="16"/>
      <c r="P854" s="6"/>
      <c r="Q854" s="4"/>
      <c r="R854" s="4"/>
      <c r="S854" s="4"/>
      <c r="T854" s="4"/>
      <c r="U854" s="4"/>
      <c r="V854" s="4"/>
      <c r="W854" s="4"/>
      <c r="X854" s="4"/>
      <c r="Y854" s="4"/>
      <c r="Z854" s="4"/>
      <c r="AA854" s="4"/>
    </row>
    <row r="855" spans="1:27" ht="12.75" x14ac:dyDescent="0.2">
      <c r="A855" s="16"/>
      <c r="B855" s="6"/>
      <c r="C855" s="6"/>
      <c r="D855" s="6"/>
      <c r="E855" s="4"/>
      <c r="F855" s="6"/>
      <c r="G855" s="6"/>
      <c r="H855" s="6"/>
      <c r="I855" s="6"/>
      <c r="J855" s="6"/>
      <c r="K855" s="6"/>
      <c r="L855" s="6"/>
      <c r="M855" s="6"/>
      <c r="N855" s="6"/>
      <c r="O855" s="16"/>
      <c r="P855" s="6"/>
      <c r="Q855" s="4"/>
      <c r="R855" s="4"/>
      <c r="S855" s="4"/>
      <c r="T855" s="4"/>
      <c r="U855" s="4"/>
      <c r="V855" s="4"/>
      <c r="W855" s="4"/>
      <c r="X855" s="4"/>
      <c r="Y855" s="4"/>
      <c r="Z855" s="4"/>
      <c r="AA855" s="4"/>
    </row>
    <row r="856" spans="1:27" ht="12.75" x14ac:dyDescent="0.2">
      <c r="A856" s="16"/>
      <c r="B856" s="6"/>
      <c r="C856" s="6"/>
      <c r="D856" s="6"/>
      <c r="E856" s="4"/>
      <c r="F856" s="6"/>
      <c r="G856" s="6"/>
      <c r="H856" s="6"/>
      <c r="I856" s="6"/>
      <c r="J856" s="6"/>
      <c r="K856" s="6"/>
      <c r="L856" s="6"/>
      <c r="M856" s="6"/>
      <c r="N856" s="6"/>
      <c r="O856" s="16"/>
      <c r="P856" s="6"/>
      <c r="Q856" s="4"/>
      <c r="R856" s="4"/>
      <c r="S856" s="4"/>
      <c r="T856" s="4"/>
      <c r="U856" s="4"/>
      <c r="V856" s="4"/>
      <c r="W856" s="4"/>
      <c r="X856" s="4"/>
      <c r="Y856" s="4"/>
      <c r="Z856" s="4"/>
      <c r="AA856" s="4"/>
    </row>
    <row r="857" spans="1:27" ht="12.75" x14ac:dyDescent="0.2">
      <c r="A857" s="16"/>
      <c r="B857" s="6"/>
      <c r="C857" s="6"/>
      <c r="D857" s="6"/>
      <c r="E857" s="4"/>
      <c r="F857" s="6"/>
      <c r="G857" s="6"/>
      <c r="H857" s="6"/>
      <c r="I857" s="6"/>
      <c r="J857" s="6"/>
      <c r="K857" s="6"/>
      <c r="L857" s="6"/>
      <c r="M857" s="6"/>
      <c r="N857" s="6"/>
      <c r="O857" s="16"/>
      <c r="P857" s="6"/>
      <c r="Q857" s="4"/>
      <c r="R857" s="4"/>
      <c r="S857" s="4"/>
      <c r="T857" s="4"/>
      <c r="U857" s="4"/>
      <c r="V857" s="4"/>
      <c r="W857" s="4"/>
      <c r="X857" s="4"/>
      <c r="Y857" s="4"/>
      <c r="Z857" s="4"/>
      <c r="AA857" s="4"/>
    </row>
    <row r="858" spans="1:27" ht="12.75" x14ac:dyDescent="0.2">
      <c r="A858" s="16"/>
      <c r="B858" s="6"/>
      <c r="C858" s="6"/>
      <c r="D858" s="6"/>
      <c r="E858" s="4"/>
      <c r="F858" s="6"/>
      <c r="G858" s="6"/>
      <c r="H858" s="6"/>
      <c r="I858" s="6"/>
      <c r="J858" s="6"/>
      <c r="K858" s="6"/>
      <c r="L858" s="6"/>
      <c r="M858" s="6"/>
      <c r="N858" s="6"/>
      <c r="O858" s="16"/>
      <c r="P858" s="6"/>
      <c r="Q858" s="4"/>
      <c r="R858" s="4"/>
      <c r="S858" s="4"/>
      <c r="T858" s="4"/>
      <c r="U858" s="4"/>
      <c r="V858" s="4"/>
      <c r="W858" s="4"/>
      <c r="X858" s="4"/>
      <c r="Y858" s="4"/>
      <c r="Z858" s="4"/>
      <c r="AA858" s="4"/>
    </row>
    <row r="859" spans="1:27" ht="12.75" x14ac:dyDescent="0.2">
      <c r="A859" s="16"/>
      <c r="B859" s="6"/>
      <c r="C859" s="6"/>
      <c r="D859" s="6"/>
      <c r="E859" s="4"/>
      <c r="F859" s="6"/>
      <c r="G859" s="6"/>
      <c r="H859" s="6"/>
      <c r="I859" s="6"/>
      <c r="J859" s="6"/>
      <c r="K859" s="6"/>
      <c r="L859" s="6"/>
      <c r="M859" s="6"/>
      <c r="N859" s="6"/>
      <c r="O859" s="16"/>
      <c r="P859" s="6"/>
      <c r="Q859" s="4"/>
      <c r="R859" s="4"/>
      <c r="S859" s="4"/>
      <c r="T859" s="4"/>
      <c r="U859" s="4"/>
      <c r="V859" s="4"/>
      <c r="W859" s="4"/>
      <c r="X859" s="4"/>
      <c r="Y859" s="4"/>
      <c r="Z859" s="4"/>
      <c r="AA859" s="4"/>
    </row>
    <row r="860" spans="1:27" ht="12.75" x14ac:dyDescent="0.2">
      <c r="A860" s="16"/>
      <c r="B860" s="6"/>
      <c r="C860" s="6"/>
      <c r="D860" s="6"/>
      <c r="E860" s="4"/>
      <c r="F860" s="6"/>
      <c r="G860" s="6"/>
      <c r="H860" s="6"/>
      <c r="I860" s="6"/>
      <c r="J860" s="6"/>
      <c r="K860" s="6"/>
      <c r="L860" s="6"/>
      <c r="M860" s="6"/>
      <c r="N860" s="6"/>
      <c r="O860" s="16"/>
      <c r="P860" s="6"/>
      <c r="Q860" s="4"/>
      <c r="R860" s="4"/>
      <c r="S860" s="4"/>
      <c r="T860" s="4"/>
      <c r="U860" s="4"/>
      <c r="V860" s="4"/>
      <c r="W860" s="4"/>
      <c r="X860" s="4"/>
      <c r="Y860" s="4"/>
      <c r="Z860" s="4"/>
      <c r="AA860" s="4"/>
    </row>
    <row r="861" spans="1:27" ht="12.75" x14ac:dyDescent="0.2">
      <c r="A861" s="16"/>
      <c r="B861" s="6"/>
      <c r="C861" s="6"/>
      <c r="D861" s="6"/>
      <c r="E861" s="4"/>
      <c r="F861" s="6"/>
      <c r="G861" s="6"/>
      <c r="H861" s="6"/>
      <c r="I861" s="6"/>
      <c r="J861" s="6"/>
      <c r="K861" s="6"/>
      <c r="L861" s="6"/>
      <c r="M861" s="6"/>
      <c r="N861" s="6"/>
      <c r="O861" s="16"/>
      <c r="P861" s="6"/>
      <c r="Q861" s="4"/>
      <c r="R861" s="4"/>
      <c r="S861" s="4"/>
      <c r="T861" s="4"/>
      <c r="U861" s="4"/>
      <c r="V861" s="4"/>
      <c r="W861" s="4"/>
      <c r="X861" s="4"/>
      <c r="Y861" s="4"/>
      <c r="Z861" s="4"/>
      <c r="AA861" s="4"/>
    </row>
    <row r="862" spans="1:27" ht="12.75" x14ac:dyDescent="0.2">
      <c r="A862" s="16"/>
      <c r="B862" s="6"/>
      <c r="C862" s="6"/>
      <c r="D862" s="6"/>
      <c r="E862" s="4"/>
      <c r="F862" s="6"/>
      <c r="G862" s="6"/>
      <c r="H862" s="6"/>
      <c r="I862" s="6"/>
      <c r="J862" s="6"/>
      <c r="K862" s="6"/>
      <c r="L862" s="6"/>
      <c r="M862" s="6"/>
      <c r="N862" s="6"/>
      <c r="O862" s="16"/>
      <c r="P862" s="6"/>
      <c r="Q862" s="4"/>
      <c r="R862" s="4"/>
      <c r="S862" s="4"/>
      <c r="T862" s="4"/>
      <c r="U862" s="4"/>
      <c r="V862" s="4"/>
      <c r="W862" s="4"/>
      <c r="X862" s="4"/>
      <c r="Y862" s="4"/>
      <c r="Z862" s="4"/>
      <c r="AA862" s="4"/>
    </row>
    <row r="863" spans="1:27" ht="12.75" x14ac:dyDescent="0.2">
      <c r="A863" s="16"/>
      <c r="B863" s="6"/>
      <c r="C863" s="6"/>
      <c r="D863" s="6"/>
      <c r="E863" s="4"/>
      <c r="F863" s="6"/>
      <c r="G863" s="6"/>
      <c r="H863" s="6"/>
      <c r="I863" s="6"/>
      <c r="J863" s="6"/>
      <c r="K863" s="6"/>
      <c r="L863" s="6"/>
      <c r="M863" s="6"/>
      <c r="N863" s="6"/>
      <c r="O863" s="16"/>
      <c r="P863" s="6"/>
      <c r="Q863" s="4"/>
      <c r="R863" s="4"/>
      <c r="S863" s="4"/>
      <c r="T863" s="4"/>
      <c r="U863" s="4"/>
      <c r="V863" s="4"/>
      <c r="W863" s="4"/>
      <c r="X863" s="4"/>
      <c r="Y863" s="4"/>
      <c r="Z863" s="4"/>
      <c r="AA863" s="4"/>
    </row>
    <row r="864" spans="1:27" ht="12.75" x14ac:dyDescent="0.2">
      <c r="A864" s="16"/>
      <c r="B864" s="6"/>
      <c r="C864" s="6"/>
      <c r="D864" s="6"/>
      <c r="E864" s="4"/>
      <c r="F864" s="6"/>
      <c r="G864" s="6"/>
      <c r="H864" s="6"/>
      <c r="I864" s="6"/>
      <c r="J864" s="6"/>
      <c r="K864" s="6"/>
      <c r="L864" s="6"/>
      <c r="M864" s="6"/>
      <c r="N864" s="6"/>
      <c r="O864" s="16"/>
      <c r="P864" s="6"/>
      <c r="Q864" s="4"/>
      <c r="R864" s="4"/>
      <c r="S864" s="4"/>
      <c r="T864" s="4"/>
      <c r="U864" s="4"/>
      <c r="V864" s="4"/>
      <c r="W864" s="4"/>
      <c r="X864" s="4"/>
      <c r="Y864" s="4"/>
      <c r="Z864" s="4"/>
      <c r="AA864" s="4"/>
    </row>
    <row r="865" spans="1:27" ht="12.75" x14ac:dyDescent="0.2">
      <c r="A865" s="16"/>
      <c r="B865" s="6"/>
      <c r="C865" s="6"/>
      <c r="D865" s="6"/>
      <c r="E865" s="4"/>
      <c r="F865" s="6"/>
      <c r="G865" s="6"/>
      <c r="H865" s="6"/>
      <c r="I865" s="6"/>
      <c r="J865" s="6"/>
      <c r="K865" s="6"/>
      <c r="L865" s="6"/>
      <c r="M865" s="6"/>
      <c r="N865" s="6"/>
      <c r="O865" s="16"/>
      <c r="P865" s="6"/>
      <c r="Q865" s="4"/>
      <c r="R865" s="4"/>
      <c r="S865" s="4"/>
      <c r="T865" s="4"/>
      <c r="U865" s="4"/>
      <c r="V865" s="4"/>
      <c r="W865" s="4"/>
      <c r="X865" s="4"/>
      <c r="Y865" s="4"/>
      <c r="Z865" s="4"/>
      <c r="AA865" s="4"/>
    </row>
    <row r="866" spans="1:27" ht="12.75" x14ac:dyDescent="0.2">
      <c r="A866" s="16"/>
      <c r="B866" s="6"/>
      <c r="C866" s="6"/>
      <c r="D866" s="6"/>
      <c r="E866" s="4"/>
      <c r="F866" s="6"/>
      <c r="G866" s="6"/>
      <c r="H866" s="6"/>
      <c r="I866" s="6"/>
      <c r="J866" s="6"/>
      <c r="K866" s="6"/>
      <c r="L866" s="6"/>
      <c r="M866" s="6"/>
      <c r="N866" s="6"/>
      <c r="O866" s="16"/>
      <c r="P866" s="6"/>
      <c r="Q866" s="4"/>
      <c r="R866" s="4"/>
      <c r="S866" s="4"/>
      <c r="T866" s="4"/>
      <c r="U866" s="4"/>
      <c r="V866" s="4"/>
      <c r="W866" s="4"/>
      <c r="X866" s="4"/>
      <c r="Y866" s="4"/>
      <c r="Z866" s="4"/>
      <c r="AA866" s="4"/>
    </row>
    <row r="867" spans="1:27" ht="12.75" x14ac:dyDescent="0.2">
      <c r="A867" s="16"/>
      <c r="B867" s="6"/>
      <c r="C867" s="6"/>
      <c r="D867" s="6"/>
      <c r="E867" s="4"/>
      <c r="F867" s="6"/>
      <c r="G867" s="6"/>
      <c r="H867" s="6"/>
      <c r="I867" s="6"/>
      <c r="J867" s="6"/>
      <c r="K867" s="6"/>
      <c r="L867" s="6"/>
      <c r="M867" s="6"/>
      <c r="N867" s="6"/>
      <c r="O867" s="16"/>
      <c r="P867" s="6"/>
      <c r="Q867" s="4"/>
      <c r="R867" s="4"/>
      <c r="S867" s="4"/>
      <c r="T867" s="4"/>
      <c r="U867" s="4"/>
      <c r="V867" s="4"/>
      <c r="W867" s="4"/>
      <c r="X867" s="4"/>
      <c r="Y867" s="4"/>
      <c r="Z867" s="4"/>
      <c r="AA867" s="4"/>
    </row>
    <row r="868" spans="1:27" ht="12.75" x14ac:dyDescent="0.2">
      <c r="A868" s="16"/>
      <c r="B868" s="6"/>
      <c r="C868" s="6"/>
      <c r="D868" s="6"/>
      <c r="E868" s="4"/>
      <c r="F868" s="6"/>
      <c r="G868" s="6"/>
      <c r="H868" s="6"/>
      <c r="I868" s="6"/>
      <c r="J868" s="6"/>
      <c r="K868" s="6"/>
      <c r="L868" s="6"/>
      <c r="M868" s="6"/>
      <c r="N868" s="6"/>
      <c r="O868" s="16"/>
      <c r="P868" s="6"/>
      <c r="Q868" s="4"/>
      <c r="R868" s="4"/>
      <c r="S868" s="4"/>
      <c r="T868" s="4"/>
      <c r="U868" s="4"/>
      <c r="V868" s="4"/>
      <c r="W868" s="4"/>
      <c r="X868" s="4"/>
      <c r="Y868" s="4"/>
      <c r="Z868" s="4"/>
      <c r="AA868" s="4"/>
    </row>
    <row r="869" spans="1:27" ht="12.75" x14ac:dyDescent="0.2">
      <c r="A869" s="16"/>
      <c r="B869" s="6"/>
      <c r="C869" s="6"/>
      <c r="D869" s="6"/>
      <c r="E869" s="4"/>
      <c r="F869" s="6"/>
      <c r="G869" s="6"/>
      <c r="H869" s="6"/>
      <c r="I869" s="6"/>
      <c r="J869" s="6"/>
      <c r="K869" s="6"/>
      <c r="L869" s="6"/>
      <c r="M869" s="6"/>
      <c r="N869" s="6"/>
      <c r="O869" s="16"/>
      <c r="P869" s="6"/>
      <c r="Q869" s="4"/>
      <c r="R869" s="4"/>
      <c r="S869" s="4"/>
      <c r="T869" s="4"/>
      <c r="U869" s="4"/>
      <c r="V869" s="4"/>
      <c r="W869" s="4"/>
      <c r="X869" s="4"/>
      <c r="Y869" s="4"/>
      <c r="Z869" s="4"/>
      <c r="AA869" s="4"/>
    </row>
    <row r="870" spans="1:27" ht="12.75" x14ac:dyDescent="0.2">
      <c r="A870" s="16"/>
      <c r="B870" s="6"/>
      <c r="C870" s="6"/>
      <c r="D870" s="6"/>
      <c r="E870" s="4"/>
      <c r="F870" s="6"/>
      <c r="G870" s="6"/>
      <c r="H870" s="6"/>
      <c r="I870" s="6"/>
      <c r="J870" s="6"/>
      <c r="K870" s="6"/>
      <c r="L870" s="6"/>
      <c r="M870" s="6"/>
      <c r="N870" s="6"/>
      <c r="O870" s="16"/>
      <c r="P870" s="6"/>
      <c r="Q870" s="4"/>
      <c r="R870" s="4"/>
      <c r="S870" s="4"/>
      <c r="T870" s="4"/>
      <c r="U870" s="4"/>
      <c r="V870" s="4"/>
      <c r="W870" s="4"/>
      <c r="X870" s="4"/>
      <c r="Y870" s="4"/>
      <c r="Z870" s="4"/>
      <c r="AA870" s="4"/>
    </row>
    <row r="871" spans="1:27" ht="12.75" x14ac:dyDescent="0.2">
      <c r="A871" s="16"/>
      <c r="B871" s="6"/>
      <c r="C871" s="6"/>
      <c r="D871" s="6"/>
      <c r="E871" s="4"/>
      <c r="F871" s="6"/>
      <c r="G871" s="6"/>
      <c r="H871" s="6"/>
      <c r="I871" s="6"/>
      <c r="J871" s="6"/>
      <c r="K871" s="6"/>
      <c r="L871" s="6"/>
      <c r="M871" s="6"/>
      <c r="N871" s="6"/>
      <c r="O871" s="16"/>
      <c r="P871" s="6"/>
      <c r="Q871" s="4"/>
      <c r="R871" s="4"/>
      <c r="S871" s="4"/>
      <c r="T871" s="4"/>
      <c r="U871" s="4"/>
      <c r="V871" s="4"/>
      <c r="W871" s="4"/>
      <c r="X871" s="4"/>
      <c r="Y871" s="4"/>
      <c r="Z871" s="4"/>
      <c r="AA871" s="4"/>
    </row>
    <row r="872" spans="1:27" ht="12.75" x14ac:dyDescent="0.2">
      <c r="A872" s="16"/>
      <c r="B872" s="6"/>
      <c r="C872" s="6"/>
      <c r="D872" s="6"/>
      <c r="E872" s="4"/>
      <c r="F872" s="6"/>
      <c r="G872" s="6"/>
      <c r="H872" s="6"/>
      <c r="I872" s="6"/>
      <c r="J872" s="6"/>
      <c r="K872" s="6"/>
      <c r="L872" s="6"/>
      <c r="M872" s="6"/>
      <c r="N872" s="6"/>
      <c r="O872" s="16"/>
      <c r="P872" s="6"/>
      <c r="Q872" s="4"/>
      <c r="R872" s="4"/>
      <c r="S872" s="4"/>
      <c r="T872" s="4"/>
      <c r="U872" s="4"/>
      <c r="V872" s="4"/>
      <c r="W872" s="4"/>
      <c r="X872" s="4"/>
      <c r="Y872" s="4"/>
      <c r="Z872" s="4"/>
      <c r="AA872" s="4"/>
    </row>
    <row r="873" spans="1:27" ht="12.75" x14ac:dyDescent="0.2">
      <c r="A873" s="16"/>
      <c r="B873" s="6"/>
      <c r="C873" s="6"/>
      <c r="D873" s="6"/>
      <c r="E873" s="4"/>
      <c r="F873" s="6"/>
      <c r="G873" s="6"/>
      <c r="H873" s="6"/>
      <c r="I873" s="6"/>
      <c r="J873" s="6"/>
      <c r="K873" s="6"/>
      <c r="L873" s="6"/>
      <c r="M873" s="6"/>
      <c r="N873" s="6"/>
      <c r="O873" s="16"/>
      <c r="P873" s="6"/>
      <c r="Q873" s="4"/>
      <c r="R873" s="4"/>
      <c r="S873" s="4"/>
      <c r="T873" s="4"/>
      <c r="U873" s="4"/>
      <c r="V873" s="4"/>
      <c r="W873" s="4"/>
      <c r="X873" s="4"/>
      <c r="Y873" s="4"/>
      <c r="Z873" s="4"/>
      <c r="AA873" s="4"/>
    </row>
    <row r="874" spans="1:27" ht="12.75" x14ac:dyDescent="0.2">
      <c r="A874" s="16"/>
      <c r="B874" s="6"/>
      <c r="C874" s="6"/>
      <c r="D874" s="6"/>
      <c r="E874" s="4"/>
      <c r="F874" s="6"/>
      <c r="G874" s="6"/>
      <c r="H874" s="6"/>
      <c r="I874" s="6"/>
      <c r="J874" s="6"/>
      <c r="K874" s="6"/>
      <c r="L874" s="6"/>
      <c r="M874" s="6"/>
      <c r="N874" s="6"/>
      <c r="O874" s="16"/>
      <c r="P874" s="6"/>
      <c r="Q874" s="4"/>
      <c r="R874" s="4"/>
      <c r="S874" s="4"/>
      <c r="T874" s="4"/>
      <c r="U874" s="4"/>
      <c r="V874" s="4"/>
      <c r="W874" s="4"/>
      <c r="X874" s="4"/>
      <c r="Y874" s="4"/>
      <c r="Z874" s="4"/>
      <c r="AA874" s="4"/>
    </row>
    <row r="875" spans="1:27" ht="12.75" x14ac:dyDescent="0.2">
      <c r="A875" s="16"/>
      <c r="B875" s="6"/>
      <c r="C875" s="6"/>
      <c r="D875" s="6"/>
      <c r="E875" s="4"/>
      <c r="F875" s="6"/>
      <c r="G875" s="6"/>
      <c r="H875" s="6"/>
      <c r="I875" s="6"/>
      <c r="J875" s="6"/>
      <c r="K875" s="6"/>
      <c r="L875" s="6"/>
      <c r="M875" s="6"/>
      <c r="N875" s="6"/>
      <c r="O875" s="16"/>
      <c r="P875" s="6"/>
      <c r="Q875" s="4"/>
      <c r="R875" s="4"/>
      <c r="S875" s="4"/>
      <c r="T875" s="4"/>
      <c r="U875" s="4"/>
      <c r="V875" s="4"/>
      <c r="W875" s="4"/>
      <c r="X875" s="4"/>
      <c r="Y875" s="4"/>
      <c r="Z875" s="4"/>
      <c r="AA875" s="4"/>
    </row>
    <row r="876" spans="1:27" ht="12.75" x14ac:dyDescent="0.2">
      <c r="A876" s="16"/>
      <c r="B876" s="6"/>
      <c r="C876" s="6"/>
      <c r="D876" s="6"/>
      <c r="E876" s="4"/>
      <c r="F876" s="6"/>
      <c r="G876" s="6"/>
      <c r="H876" s="6"/>
      <c r="I876" s="6"/>
      <c r="J876" s="6"/>
      <c r="K876" s="6"/>
      <c r="L876" s="6"/>
      <c r="M876" s="6"/>
      <c r="N876" s="6"/>
      <c r="O876" s="16"/>
      <c r="P876" s="6"/>
      <c r="Q876" s="4"/>
      <c r="R876" s="4"/>
      <c r="S876" s="4"/>
      <c r="T876" s="4"/>
      <c r="U876" s="4"/>
      <c r="V876" s="4"/>
      <c r="W876" s="4"/>
      <c r="X876" s="4"/>
      <c r="Y876" s="4"/>
      <c r="Z876" s="4"/>
      <c r="AA876" s="4"/>
    </row>
    <row r="877" spans="1:27" ht="12.75" x14ac:dyDescent="0.2">
      <c r="A877" s="16"/>
      <c r="B877" s="6"/>
      <c r="C877" s="6"/>
      <c r="D877" s="6"/>
      <c r="E877" s="4"/>
      <c r="F877" s="6"/>
      <c r="G877" s="6"/>
      <c r="H877" s="6"/>
      <c r="I877" s="6"/>
      <c r="J877" s="6"/>
      <c r="K877" s="6"/>
      <c r="L877" s="6"/>
      <c r="M877" s="6"/>
      <c r="N877" s="6"/>
      <c r="O877" s="16"/>
      <c r="P877" s="6"/>
      <c r="Q877" s="4"/>
      <c r="R877" s="4"/>
      <c r="S877" s="4"/>
      <c r="T877" s="4"/>
      <c r="U877" s="4"/>
      <c r="V877" s="4"/>
      <c r="W877" s="4"/>
      <c r="X877" s="4"/>
      <c r="Y877" s="4"/>
      <c r="Z877" s="4"/>
      <c r="AA877" s="4"/>
    </row>
    <row r="878" spans="1:27" ht="12.75" x14ac:dyDescent="0.2">
      <c r="A878" s="16"/>
      <c r="B878" s="6"/>
      <c r="C878" s="6"/>
      <c r="D878" s="6"/>
      <c r="E878" s="4"/>
      <c r="F878" s="6"/>
      <c r="G878" s="6"/>
      <c r="H878" s="6"/>
      <c r="I878" s="6"/>
      <c r="J878" s="6"/>
      <c r="K878" s="6"/>
      <c r="L878" s="6"/>
      <c r="M878" s="6"/>
      <c r="N878" s="6"/>
      <c r="O878" s="16"/>
      <c r="P878" s="6"/>
      <c r="Q878" s="4"/>
      <c r="R878" s="4"/>
      <c r="S878" s="4"/>
      <c r="T878" s="4"/>
      <c r="U878" s="4"/>
      <c r="V878" s="4"/>
      <c r="W878" s="4"/>
      <c r="X878" s="4"/>
      <c r="Y878" s="4"/>
      <c r="Z878" s="4"/>
      <c r="AA878" s="4"/>
    </row>
    <row r="879" spans="1:27" ht="12.75" x14ac:dyDescent="0.2">
      <c r="A879" s="16"/>
      <c r="B879" s="6"/>
      <c r="C879" s="6"/>
      <c r="D879" s="6"/>
      <c r="E879" s="4"/>
      <c r="F879" s="6"/>
      <c r="G879" s="6"/>
      <c r="H879" s="6"/>
      <c r="I879" s="6"/>
      <c r="J879" s="6"/>
      <c r="K879" s="6"/>
      <c r="L879" s="6"/>
      <c r="M879" s="6"/>
      <c r="N879" s="6"/>
      <c r="O879" s="16"/>
      <c r="P879" s="6"/>
      <c r="Q879" s="4"/>
      <c r="R879" s="4"/>
      <c r="S879" s="4"/>
      <c r="T879" s="4"/>
      <c r="U879" s="4"/>
      <c r="V879" s="4"/>
      <c r="W879" s="4"/>
      <c r="X879" s="4"/>
      <c r="Y879" s="4"/>
      <c r="Z879" s="4"/>
      <c r="AA879" s="4"/>
    </row>
    <row r="880" spans="1:27" ht="12.75" x14ac:dyDescent="0.2">
      <c r="A880" s="16"/>
      <c r="B880" s="6"/>
      <c r="C880" s="6"/>
      <c r="D880" s="6"/>
      <c r="E880" s="4"/>
      <c r="F880" s="6"/>
      <c r="G880" s="6"/>
      <c r="H880" s="6"/>
      <c r="I880" s="6"/>
      <c r="J880" s="6"/>
      <c r="K880" s="6"/>
      <c r="L880" s="6"/>
      <c r="M880" s="6"/>
      <c r="N880" s="6"/>
      <c r="O880" s="16"/>
      <c r="P880" s="6"/>
      <c r="Q880" s="4"/>
      <c r="R880" s="4"/>
      <c r="S880" s="4"/>
      <c r="T880" s="4"/>
      <c r="U880" s="4"/>
      <c r="V880" s="4"/>
      <c r="W880" s="4"/>
      <c r="X880" s="4"/>
      <c r="Y880" s="4"/>
      <c r="Z880" s="4"/>
      <c r="AA880" s="4"/>
    </row>
    <row r="881" spans="1:27" ht="12.75" x14ac:dyDescent="0.2">
      <c r="A881" s="16"/>
      <c r="B881" s="6"/>
      <c r="C881" s="6"/>
      <c r="D881" s="6"/>
      <c r="E881" s="4"/>
      <c r="F881" s="6"/>
      <c r="G881" s="6"/>
      <c r="H881" s="6"/>
      <c r="I881" s="6"/>
      <c r="J881" s="6"/>
      <c r="K881" s="6"/>
      <c r="L881" s="6"/>
      <c r="M881" s="6"/>
      <c r="N881" s="6"/>
      <c r="O881" s="16"/>
      <c r="P881" s="6"/>
      <c r="Q881" s="4"/>
      <c r="R881" s="4"/>
      <c r="S881" s="4"/>
      <c r="T881" s="4"/>
      <c r="U881" s="4"/>
      <c r="V881" s="4"/>
      <c r="W881" s="4"/>
      <c r="X881" s="4"/>
      <c r="Y881" s="4"/>
      <c r="Z881" s="4"/>
      <c r="AA881" s="4"/>
    </row>
    <row r="882" spans="1:27" ht="12.75" x14ac:dyDescent="0.2">
      <c r="A882" s="16"/>
      <c r="B882" s="6"/>
      <c r="C882" s="6"/>
      <c r="D882" s="6"/>
      <c r="E882" s="4"/>
      <c r="F882" s="6"/>
      <c r="G882" s="6"/>
      <c r="H882" s="6"/>
      <c r="I882" s="6"/>
      <c r="J882" s="6"/>
      <c r="K882" s="6"/>
      <c r="L882" s="6"/>
      <c r="M882" s="6"/>
      <c r="N882" s="6"/>
      <c r="O882" s="16"/>
      <c r="P882" s="6"/>
      <c r="Q882" s="4"/>
      <c r="R882" s="4"/>
      <c r="S882" s="4"/>
      <c r="T882" s="4"/>
      <c r="U882" s="4"/>
      <c r="V882" s="4"/>
      <c r="W882" s="4"/>
      <c r="X882" s="4"/>
      <c r="Y882" s="4"/>
      <c r="Z882" s="4"/>
      <c r="AA882" s="4"/>
    </row>
    <row r="883" spans="1:27" ht="12.75" x14ac:dyDescent="0.2">
      <c r="A883" s="16"/>
      <c r="B883" s="6"/>
      <c r="C883" s="6"/>
      <c r="D883" s="6"/>
      <c r="E883" s="4"/>
      <c r="F883" s="6"/>
      <c r="G883" s="6"/>
      <c r="H883" s="6"/>
      <c r="I883" s="6"/>
      <c r="J883" s="6"/>
      <c r="K883" s="6"/>
      <c r="L883" s="6"/>
      <c r="M883" s="6"/>
      <c r="N883" s="6"/>
      <c r="O883" s="16"/>
      <c r="P883" s="6"/>
      <c r="Q883" s="4"/>
      <c r="R883" s="4"/>
      <c r="S883" s="4"/>
      <c r="T883" s="4"/>
      <c r="U883" s="4"/>
      <c r="V883" s="4"/>
      <c r="W883" s="4"/>
      <c r="X883" s="4"/>
      <c r="Y883" s="4"/>
      <c r="Z883" s="4"/>
      <c r="AA883" s="4"/>
    </row>
    <row r="884" spans="1:27" ht="12.75" x14ac:dyDescent="0.2">
      <c r="A884" s="16"/>
      <c r="B884" s="6"/>
      <c r="C884" s="6"/>
      <c r="D884" s="6"/>
      <c r="E884" s="4"/>
      <c r="F884" s="6"/>
      <c r="G884" s="6"/>
      <c r="H884" s="6"/>
      <c r="I884" s="6"/>
      <c r="J884" s="6"/>
      <c r="K884" s="6"/>
      <c r="L884" s="6"/>
      <c r="M884" s="6"/>
      <c r="N884" s="6"/>
      <c r="O884" s="16"/>
      <c r="P884" s="6"/>
      <c r="Q884" s="4"/>
      <c r="R884" s="4"/>
      <c r="S884" s="4"/>
      <c r="T884" s="4"/>
      <c r="U884" s="4"/>
      <c r="V884" s="4"/>
      <c r="W884" s="4"/>
      <c r="X884" s="4"/>
      <c r="Y884" s="4"/>
      <c r="Z884" s="4"/>
      <c r="AA884" s="4"/>
    </row>
    <row r="885" spans="1:27" ht="12.75" x14ac:dyDescent="0.2">
      <c r="A885" s="16"/>
      <c r="B885" s="6"/>
      <c r="C885" s="6"/>
      <c r="D885" s="6"/>
      <c r="E885" s="4"/>
      <c r="F885" s="6"/>
      <c r="G885" s="6"/>
      <c r="H885" s="6"/>
      <c r="I885" s="6"/>
      <c r="J885" s="6"/>
      <c r="K885" s="6"/>
      <c r="L885" s="6"/>
      <c r="M885" s="6"/>
      <c r="N885" s="6"/>
      <c r="O885" s="16"/>
      <c r="P885" s="6"/>
      <c r="Q885" s="4"/>
      <c r="R885" s="4"/>
      <c r="S885" s="4"/>
      <c r="T885" s="4"/>
      <c r="U885" s="4"/>
      <c r="V885" s="4"/>
      <c r="W885" s="4"/>
      <c r="X885" s="4"/>
      <c r="Y885" s="4"/>
      <c r="Z885" s="4"/>
      <c r="AA885" s="4"/>
    </row>
    <row r="886" spans="1:27" ht="12.75" x14ac:dyDescent="0.2">
      <c r="A886" s="16"/>
      <c r="B886" s="6"/>
      <c r="C886" s="6"/>
      <c r="D886" s="6"/>
      <c r="E886" s="4"/>
      <c r="F886" s="6"/>
      <c r="G886" s="6"/>
      <c r="H886" s="6"/>
      <c r="I886" s="6"/>
      <c r="J886" s="6"/>
      <c r="K886" s="6"/>
      <c r="L886" s="6"/>
      <c r="M886" s="6"/>
      <c r="N886" s="6"/>
      <c r="O886" s="16"/>
      <c r="P886" s="6"/>
      <c r="Q886" s="4"/>
      <c r="R886" s="4"/>
      <c r="S886" s="4"/>
      <c r="T886" s="4"/>
      <c r="U886" s="4"/>
      <c r="V886" s="4"/>
      <c r="W886" s="4"/>
      <c r="X886" s="4"/>
      <c r="Y886" s="4"/>
      <c r="Z886" s="4"/>
      <c r="AA886" s="4"/>
    </row>
    <row r="887" spans="1:27" ht="12.75" x14ac:dyDescent="0.2">
      <c r="A887" s="16"/>
      <c r="B887" s="6"/>
      <c r="C887" s="6"/>
      <c r="D887" s="6"/>
      <c r="E887" s="4"/>
      <c r="F887" s="6"/>
      <c r="G887" s="6"/>
      <c r="H887" s="6"/>
      <c r="I887" s="6"/>
      <c r="J887" s="6"/>
      <c r="K887" s="6"/>
      <c r="L887" s="6"/>
      <c r="M887" s="6"/>
      <c r="N887" s="6"/>
      <c r="O887" s="16"/>
      <c r="P887" s="6"/>
      <c r="Q887" s="4"/>
      <c r="R887" s="4"/>
      <c r="S887" s="4"/>
      <c r="T887" s="4"/>
      <c r="U887" s="4"/>
      <c r="V887" s="4"/>
      <c r="W887" s="4"/>
      <c r="X887" s="4"/>
      <c r="Y887" s="4"/>
      <c r="Z887" s="4"/>
      <c r="AA887" s="4"/>
    </row>
    <row r="888" spans="1:27" ht="12.75" x14ac:dyDescent="0.2">
      <c r="A888" s="16"/>
      <c r="B888" s="6"/>
      <c r="C888" s="6"/>
      <c r="D888" s="6"/>
      <c r="E888" s="4"/>
      <c r="F888" s="6"/>
      <c r="G888" s="6"/>
      <c r="H888" s="6"/>
      <c r="I888" s="6"/>
      <c r="J888" s="6"/>
      <c r="K888" s="6"/>
      <c r="L888" s="6"/>
      <c r="M888" s="6"/>
      <c r="N888" s="6"/>
      <c r="O888" s="16"/>
      <c r="P888" s="6"/>
      <c r="Q888" s="4"/>
      <c r="R888" s="4"/>
      <c r="S888" s="4"/>
      <c r="T888" s="4"/>
      <c r="U888" s="4"/>
      <c r="V888" s="4"/>
      <c r="W888" s="4"/>
      <c r="X888" s="4"/>
      <c r="Y888" s="4"/>
      <c r="Z888" s="4"/>
      <c r="AA888" s="4"/>
    </row>
    <row r="889" spans="1:27" ht="12.75" x14ac:dyDescent="0.2">
      <c r="A889" s="16"/>
      <c r="B889" s="6"/>
      <c r="C889" s="6"/>
      <c r="D889" s="6"/>
      <c r="E889" s="4"/>
      <c r="F889" s="6"/>
      <c r="G889" s="6"/>
      <c r="H889" s="6"/>
      <c r="I889" s="6"/>
      <c r="J889" s="6"/>
      <c r="K889" s="6"/>
      <c r="L889" s="6"/>
      <c r="M889" s="6"/>
      <c r="N889" s="6"/>
      <c r="O889" s="16"/>
      <c r="P889" s="6"/>
      <c r="Q889" s="4"/>
      <c r="R889" s="4"/>
      <c r="S889" s="4"/>
      <c r="T889" s="4"/>
      <c r="U889" s="4"/>
      <c r="V889" s="4"/>
      <c r="W889" s="4"/>
      <c r="X889" s="4"/>
      <c r="Y889" s="4"/>
      <c r="Z889" s="4"/>
      <c r="AA889" s="4"/>
    </row>
    <row r="890" spans="1:27" ht="12.75" x14ac:dyDescent="0.2">
      <c r="A890" s="16"/>
      <c r="B890" s="6"/>
      <c r="C890" s="6"/>
      <c r="D890" s="6"/>
      <c r="E890" s="4"/>
      <c r="F890" s="6"/>
      <c r="G890" s="6"/>
      <c r="H890" s="6"/>
      <c r="I890" s="6"/>
      <c r="J890" s="6"/>
      <c r="K890" s="6"/>
      <c r="L890" s="6"/>
      <c r="M890" s="6"/>
      <c r="N890" s="6"/>
      <c r="O890" s="16"/>
      <c r="P890" s="6"/>
      <c r="Q890" s="4"/>
      <c r="R890" s="4"/>
      <c r="S890" s="4"/>
      <c r="T890" s="4"/>
      <c r="U890" s="4"/>
      <c r="V890" s="4"/>
      <c r="W890" s="4"/>
      <c r="X890" s="4"/>
      <c r="Y890" s="4"/>
      <c r="Z890" s="4"/>
      <c r="AA890" s="4"/>
    </row>
    <row r="891" spans="1:27" ht="12.75" x14ac:dyDescent="0.2">
      <c r="A891" s="16"/>
      <c r="B891" s="6"/>
      <c r="C891" s="6"/>
      <c r="D891" s="6"/>
      <c r="E891" s="4"/>
      <c r="F891" s="6"/>
      <c r="G891" s="6"/>
      <c r="H891" s="6"/>
      <c r="I891" s="6"/>
      <c r="J891" s="6"/>
      <c r="K891" s="6"/>
      <c r="L891" s="6"/>
      <c r="M891" s="6"/>
      <c r="N891" s="6"/>
      <c r="O891" s="16"/>
      <c r="P891" s="6"/>
      <c r="Q891" s="4"/>
      <c r="R891" s="4"/>
      <c r="S891" s="4"/>
      <c r="T891" s="4"/>
      <c r="U891" s="4"/>
      <c r="V891" s="4"/>
      <c r="W891" s="4"/>
      <c r="X891" s="4"/>
      <c r="Y891" s="4"/>
      <c r="Z891" s="4"/>
      <c r="AA891" s="4"/>
    </row>
    <row r="892" spans="1:27" ht="12.75" x14ac:dyDescent="0.2">
      <c r="A892" s="16"/>
      <c r="B892" s="6"/>
      <c r="C892" s="6"/>
      <c r="D892" s="6"/>
      <c r="E892" s="4"/>
      <c r="F892" s="6"/>
      <c r="G892" s="6"/>
      <c r="H892" s="6"/>
      <c r="I892" s="6"/>
      <c r="J892" s="6"/>
      <c r="K892" s="6"/>
      <c r="L892" s="6"/>
      <c r="M892" s="6"/>
      <c r="N892" s="6"/>
      <c r="O892" s="16"/>
      <c r="P892" s="6"/>
      <c r="Q892" s="4"/>
      <c r="R892" s="4"/>
      <c r="S892" s="4"/>
      <c r="T892" s="4"/>
      <c r="U892" s="4"/>
      <c r="V892" s="4"/>
      <c r="W892" s="4"/>
      <c r="X892" s="4"/>
      <c r="Y892" s="4"/>
      <c r="Z892" s="4"/>
      <c r="AA892" s="4"/>
    </row>
    <row r="893" spans="1:27" ht="12.75" x14ac:dyDescent="0.2">
      <c r="A893" s="16"/>
      <c r="B893" s="6"/>
      <c r="C893" s="6"/>
      <c r="D893" s="6"/>
      <c r="E893" s="4"/>
      <c r="F893" s="6"/>
      <c r="G893" s="6"/>
      <c r="H893" s="6"/>
      <c r="I893" s="6"/>
      <c r="J893" s="6"/>
      <c r="K893" s="6"/>
      <c r="L893" s="6"/>
      <c r="M893" s="6"/>
      <c r="N893" s="6"/>
      <c r="O893" s="16"/>
      <c r="P893" s="6"/>
      <c r="Q893" s="4"/>
      <c r="R893" s="4"/>
      <c r="S893" s="4"/>
      <c r="T893" s="4"/>
      <c r="U893" s="4"/>
      <c r="V893" s="4"/>
      <c r="W893" s="4"/>
      <c r="X893" s="4"/>
      <c r="Y893" s="4"/>
      <c r="Z893" s="4"/>
      <c r="AA893" s="4"/>
    </row>
    <row r="894" spans="1:27" ht="12.75" x14ac:dyDescent="0.2">
      <c r="A894" s="16"/>
      <c r="B894" s="6"/>
      <c r="C894" s="6"/>
      <c r="D894" s="6"/>
      <c r="E894" s="4"/>
      <c r="F894" s="6"/>
      <c r="G894" s="6"/>
      <c r="H894" s="6"/>
      <c r="I894" s="6"/>
      <c r="J894" s="6"/>
      <c r="K894" s="6"/>
      <c r="L894" s="6"/>
      <c r="M894" s="6"/>
      <c r="N894" s="6"/>
      <c r="O894" s="16"/>
      <c r="P894" s="6"/>
      <c r="Q894" s="4"/>
      <c r="R894" s="4"/>
      <c r="S894" s="4"/>
      <c r="T894" s="4"/>
      <c r="U894" s="4"/>
      <c r="V894" s="4"/>
      <c r="W894" s="4"/>
      <c r="X894" s="4"/>
      <c r="Y894" s="4"/>
      <c r="Z894" s="4"/>
      <c r="AA894" s="4"/>
    </row>
    <row r="895" spans="1:27" ht="12.75" x14ac:dyDescent="0.2">
      <c r="A895" s="16"/>
      <c r="B895" s="6"/>
      <c r="C895" s="6"/>
      <c r="D895" s="6"/>
      <c r="E895" s="4"/>
      <c r="F895" s="6"/>
      <c r="G895" s="6"/>
      <c r="H895" s="6"/>
      <c r="I895" s="6"/>
      <c r="J895" s="6"/>
      <c r="K895" s="6"/>
      <c r="L895" s="6"/>
      <c r="M895" s="6"/>
      <c r="N895" s="6"/>
      <c r="O895" s="16"/>
      <c r="P895" s="6"/>
      <c r="Q895" s="4"/>
      <c r="R895" s="4"/>
      <c r="S895" s="4"/>
      <c r="T895" s="4"/>
      <c r="U895" s="4"/>
      <c r="V895" s="4"/>
      <c r="W895" s="4"/>
      <c r="X895" s="4"/>
      <c r="Y895" s="4"/>
      <c r="Z895" s="4"/>
      <c r="AA895" s="4"/>
    </row>
    <row r="896" spans="1:27" ht="12.75" x14ac:dyDescent="0.2">
      <c r="A896" s="16"/>
      <c r="B896" s="6"/>
      <c r="C896" s="6"/>
      <c r="D896" s="6"/>
      <c r="E896" s="4"/>
      <c r="F896" s="6"/>
      <c r="G896" s="6"/>
      <c r="H896" s="6"/>
      <c r="I896" s="6"/>
      <c r="J896" s="6"/>
      <c r="K896" s="6"/>
      <c r="L896" s="6"/>
      <c r="M896" s="6"/>
      <c r="N896" s="6"/>
      <c r="O896" s="16"/>
      <c r="P896" s="6"/>
      <c r="Q896" s="4"/>
      <c r="R896" s="4"/>
      <c r="S896" s="4"/>
      <c r="T896" s="4"/>
      <c r="U896" s="4"/>
      <c r="V896" s="4"/>
      <c r="W896" s="4"/>
      <c r="X896" s="4"/>
      <c r="Y896" s="4"/>
      <c r="Z896" s="4"/>
      <c r="AA896" s="4"/>
    </row>
    <row r="897" spans="1:27" ht="12.75" x14ac:dyDescent="0.2">
      <c r="A897" s="16"/>
      <c r="B897" s="6"/>
      <c r="C897" s="6"/>
      <c r="D897" s="6"/>
      <c r="E897" s="4"/>
      <c r="F897" s="6"/>
      <c r="G897" s="6"/>
      <c r="H897" s="6"/>
      <c r="I897" s="6"/>
      <c r="J897" s="6"/>
      <c r="K897" s="6"/>
      <c r="L897" s="6"/>
      <c r="M897" s="6"/>
      <c r="N897" s="6"/>
      <c r="O897" s="16"/>
      <c r="P897" s="6"/>
      <c r="Q897" s="4"/>
      <c r="R897" s="4"/>
      <c r="S897" s="4"/>
      <c r="T897" s="4"/>
      <c r="U897" s="4"/>
      <c r="V897" s="4"/>
      <c r="W897" s="4"/>
      <c r="X897" s="4"/>
      <c r="Y897" s="4"/>
      <c r="Z897" s="4"/>
      <c r="AA897" s="4"/>
    </row>
    <row r="898" spans="1:27" ht="12.75" x14ac:dyDescent="0.2">
      <c r="A898" s="16"/>
      <c r="B898" s="6"/>
      <c r="C898" s="6"/>
      <c r="D898" s="6"/>
      <c r="E898" s="4"/>
      <c r="F898" s="6"/>
      <c r="G898" s="6"/>
      <c r="H898" s="6"/>
      <c r="I898" s="6"/>
      <c r="J898" s="6"/>
      <c r="K898" s="6"/>
      <c r="L898" s="6"/>
      <c r="M898" s="6"/>
      <c r="N898" s="6"/>
      <c r="O898" s="16"/>
      <c r="P898" s="6"/>
      <c r="Q898" s="4"/>
      <c r="R898" s="4"/>
      <c r="S898" s="4"/>
      <c r="T898" s="4"/>
      <c r="U898" s="4"/>
      <c r="V898" s="4"/>
      <c r="W898" s="4"/>
      <c r="X898" s="4"/>
      <c r="Y898" s="4"/>
      <c r="Z898" s="4"/>
      <c r="AA898" s="4"/>
    </row>
    <row r="899" spans="1:27" ht="12.75" x14ac:dyDescent="0.2">
      <c r="A899" s="16"/>
      <c r="B899" s="6"/>
      <c r="C899" s="6"/>
      <c r="D899" s="6"/>
      <c r="E899" s="4"/>
      <c r="F899" s="6"/>
      <c r="G899" s="6"/>
      <c r="H899" s="6"/>
      <c r="I899" s="6"/>
      <c r="J899" s="6"/>
      <c r="K899" s="6"/>
      <c r="L899" s="6"/>
      <c r="M899" s="6"/>
      <c r="N899" s="6"/>
      <c r="O899" s="16"/>
      <c r="P899" s="6"/>
      <c r="Q899" s="4"/>
      <c r="R899" s="4"/>
      <c r="S899" s="4"/>
      <c r="T899" s="4"/>
      <c r="U899" s="4"/>
      <c r="V899" s="4"/>
      <c r="W899" s="4"/>
      <c r="X899" s="4"/>
      <c r="Y899" s="4"/>
      <c r="Z899" s="4"/>
      <c r="AA899" s="4"/>
    </row>
    <row r="900" spans="1:27" ht="12.75" x14ac:dyDescent="0.2">
      <c r="A900" s="16"/>
      <c r="B900" s="6"/>
      <c r="C900" s="6"/>
      <c r="D900" s="6"/>
      <c r="E900" s="4"/>
      <c r="F900" s="6"/>
      <c r="G900" s="6"/>
      <c r="H900" s="6"/>
      <c r="I900" s="6"/>
      <c r="J900" s="6"/>
      <c r="K900" s="6"/>
      <c r="L900" s="6"/>
      <c r="M900" s="6"/>
      <c r="N900" s="6"/>
      <c r="O900" s="16"/>
      <c r="P900" s="6"/>
      <c r="Q900" s="4"/>
      <c r="R900" s="4"/>
      <c r="S900" s="4"/>
      <c r="T900" s="4"/>
      <c r="U900" s="4"/>
      <c r="V900" s="4"/>
      <c r="W900" s="4"/>
      <c r="X900" s="4"/>
      <c r="Y900" s="4"/>
      <c r="Z900" s="4"/>
      <c r="AA900" s="4"/>
    </row>
    <row r="901" spans="1:27" ht="12.75" x14ac:dyDescent="0.2">
      <c r="A901" s="16"/>
      <c r="B901" s="6"/>
      <c r="C901" s="6"/>
      <c r="D901" s="6"/>
      <c r="E901" s="4"/>
      <c r="F901" s="6"/>
      <c r="G901" s="6"/>
      <c r="H901" s="6"/>
      <c r="I901" s="6"/>
      <c r="J901" s="6"/>
      <c r="K901" s="6"/>
      <c r="L901" s="6"/>
      <c r="M901" s="6"/>
      <c r="N901" s="6"/>
      <c r="O901" s="16"/>
      <c r="P901" s="6"/>
      <c r="Q901" s="4"/>
      <c r="R901" s="4"/>
      <c r="S901" s="4"/>
      <c r="T901" s="4"/>
      <c r="U901" s="4"/>
      <c r="V901" s="4"/>
      <c r="W901" s="4"/>
      <c r="X901" s="4"/>
      <c r="Y901" s="4"/>
      <c r="Z901" s="4"/>
      <c r="AA901" s="4"/>
    </row>
    <row r="902" spans="1:27" ht="12.75" x14ac:dyDescent="0.2">
      <c r="A902" s="16"/>
      <c r="B902" s="6"/>
      <c r="C902" s="6"/>
      <c r="D902" s="6"/>
      <c r="E902" s="4"/>
      <c r="F902" s="6"/>
      <c r="G902" s="6"/>
      <c r="H902" s="6"/>
      <c r="I902" s="6"/>
      <c r="J902" s="6"/>
      <c r="K902" s="6"/>
      <c r="L902" s="6"/>
      <c r="M902" s="6"/>
      <c r="N902" s="6"/>
      <c r="O902" s="16"/>
      <c r="P902" s="6"/>
      <c r="Q902" s="4"/>
      <c r="R902" s="4"/>
      <c r="S902" s="4"/>
      <c r="T902" s="4"/>
      <c r="U902" s="4"/>
      <c r="V902" s="4"/>
      <c r="W902" s="4"/>
      <c r="X902" s="4"/>
      <c r="Y902" s="4"/>
      <c r="Z902" s="4"/>
      <c r="AA902" s="4"/>
    </row>
    <row r="903" spans="1:27" ht="12.75" x14ac:dyDescent="0.2">
      <c r="A903" s="16"/>
      <c r="B903" s="6"/>
      <c r="C903" s="6"/>
      <c r="D903" s="6"/>
      <c r="E903" s="4"/>
      <c r="F903" s="6"/>
      <c r="G903" s="6"/>
      <c r="H903" s="6"/>
      <c r="I903" s="6"/>
      <c r="J903" s="6"/>
      <c r="K903" s="6"/>
      <c r="L903" s="6"/>
      <c r="M903" s="6"/>
      <c r="N903" s="6"/>
      <c r="O903" s="16"/>
      <c r="P903" s="6"/>
      <c r="Q903" s="4"/>
      <c r="R903" s="4"/>
      <c r="S903" s="4"/>
      <c r="T903" s="4"/>
      <c r="U903" s="4"/>
      <c r="V903" s="4"/>
      <c r="W903" s="4"/>
      <c r="X903" s="4"/>
      <c r="Y903" s="4"/>
      <c r="Z903" s="4"/>
      <c r="AA903" s="4"/>
    </row>
    <row r="904" spans="1:27" ht="12.75" x14ac:dyDescent="0.2">
      <c r="A904" s="16"/>
      <c r="B904" s="6"/>
      <c r="C904" s="6"/>
      <c r="D904" s="6"/>
      <c r="E904" s="4"/>
      <c r="F904" s="6"/>
      <c r="G904" s="6"/>
      <c r="H904" s="6"/>
      <c r="I904" s="6"/>
      <c r="J904" s="6"/>
      <c r="K904" s="6"/>
      <c r="L904" s="6"/>
      <c r="M904" s="6"/>
      <c r="N904" s="6"/>
      <c r="O904" s="16"/>
      <c r="P904" s="6"/>
      <c r="Q904" s="4"/>
      <c r="R904" s="4"/>
      <c r="S904" s="4"/>
      <c r="T904" s="4"/>
      <c r="U904" s="4"/>
      <c r="V904" s="4"/>
      <c r="W904" s="4"/>
      <c r="X904" s="4"/>
      <c r="Y904" s="4"/>
      <c r="Z904" s="4"/>
      <c r="AA904" s="4"/>
    </row>
    <row r="905" spans="1:27" ht="12.75" x14ac:dyDescent="0.2">
      <c r="A905" s="16"/>
      <c r="B905" s="6"/>
      <c r="C905" s="6"/>
      <c r="D905" s="6"/>
      <c r="E905" s="4"/>
      <c r="F905" s="6"/>
      <c r="G905" s="6"/>
      <c r="H905" s="6"/>
      <c r="I905" s="6"/>
      <c r="J905" s="6"/>
      <c r="K905" s="6"/>
      <c r="L905" s="6"/>
      <c r="M905" s="6"/>
      <c r="N905" s="6"/>
      <c r="O905" s="16"/>
      <c r="P905" s="6"/>
      <c r="Q905" s="4"/>
      <c r="R905" s="4"/>
      <c r="S905" s="4"/>
      <c r="T905" s="4"/>
      <c r="U905" s="4"/>
      <c r="V905" s="4"/>
      <c r="W905" s="4"/>
      <c r="X905" s="4"/>
      <c r="Y905" s="4"/>
      <c r="Z905" s="4"/>
      <c r="AA905" s="4"/>
    </row>
    <row r="906" spans="1:27" ht="12.75" x14ac:dyDescent="0.2">
      <c r="A906" s="16"/>
      <c r="B906" s="6"/>
      <c r="C906" s="6"/>
      <c r="D906" s="6"/>
      <c r="E906" s="4"/>
      <c r="F906" s="6"/>
      <c r="G906" s="6"/>
      <c r="H906" s="6"/>
      <c r="I906" s="6"/>
      <c r="J906" s="6"/>
      <c r="K906" s="6"/>
      <c r="L906" s="6"/>
      <c r="M906" s="6"/>
      <c r="N906" s="6"/>
      <c r="O906" s="16"/>
      <c r="P906" s="6"/>
      <c r="Q906" s="4"/>
      <c r="R906" s="4"/>
      <c r="S906" s="4"/>
      <c r="T906" s="4"/>
      <c r="U906" s="4"/>
      <c r="V906" s="4"/>
      <c r="W906" s="4"/>
      <c r="X906" s="4"/>
      <c r="Y906" s="4"/>
      <c r="Z906" s="4"/>
      <c r="AA906" s="4"/>
    </row>
    <row r="907" spans="1:27" ht="12.75" x14ac:dyDescent="0.2">
      <c r="A907" s="16"/>
      <c r="B907" s="6"/>
      <c r="C907" s="6"/>
      <c r="D907" s="6"/>
      <c r="E907" s="4"/>
      <c r="F907" s="6"/>
      <c r="G907" s="6"/>
      <c r="H907" s="6"/>
      <c r="I907" s="6"/>
      <c r="J907" s="6"/>
      <c r="K907" s="6"/>
      <c r="L907" s="6"/>
      <c r="M907" s="6"/>
      <c r="N907" s="6"/>
      <c r="O907" s="16"/>
      <c r="P907" s="6"/>
      <c r="Q907" s="4"/>
      <c r="R907" s="4"/>
      <c r="S907" s="4"/>
      <c r="T907" s="4"/>
      <c r="U907" s="4"/>
      <c r="V907" s="4"/>
      <c r="W907" s="4"/>
      <c r="X907" s="4"/>
      <c r="Y907" s="4"/>
      <c r="Z907" s="4"/>
      <c r="AA907" s="4"/>
    </row>
    <row r="908" spans="1:27" ht="12.75" x14ac:dyDescent="0.2">
      <c r="A908" s="16"/>
      <c r="B908" s="6"/>
      <c r="C908" s="6"/>
      <c r="D908" s="6"/>
      <c r="E908" s="4"/>
      <c r="F908" s="6"/>
      <c r="G908" s="6"/>
      <c r="H908" s="6"/>
      <c r="I908" s="6"/>
      <c r="J908" s="6"/>
      <c r="K908" s="6"/>
      <c r="L908" s="6"/>
      <c r="M908" s="6"/>
      <c r="N908" s="6"/>
      <c r="O908" s="16"/>
      <c r="P908" s="6"/>
      <c r="Q908" s="4"/>
      <c r="R908" s="4"/>
      <c r="S908" s="4"/>
      <c r="T908" s="4"/>
      <c r="U908" s="4"/>
      <c r="V908" s="4"/>
      <c r="W908" s="4"/>
      <c r="X908" s="4"/>
      <c r="Y908" s="4"/>
      <c r="Z908" s="4"/>
      <c r="AA908" s="4"/>
    </row>
    <row r="909" spans="1:27" ht="12.75" x14ac:dyDescent="0.2">
      <c r="A909" s="16"/>
      <c r="B909" s="6"/>
      <c r="C909" s="6"/>
      <c r="D909" s="6"/>
      <c r="E909" s="4"/>
      <c r="F909" s="6"/>
      <c r="G909" s="6"/>
      <c r="H909" s="6"/>
      <c r="I909" s="6"/>
      <c r="J909" s="6"/>
      <c r="K909" s="6"/>
      <c r="L909" s="6"/>
      <c r="M909" s="6"/>
      <c r="N909" s="6"/>
      <c r="O909" s="16"/>
      <c r="P909" s="6"/>
      <c r="Q909" s="4"/>
      <c r="R909" s="4"/>
      <c r="S909" s="4"/>
      <c r="T909" s="4"/>
      <c r="U909" s="4"/>
      <c r="V909" s="4"/>
      <c r="W909" s="4"/>
      <c r="X909" s="4"/>
      <c r="Y909" s="4"/>
      <c r="Z909" s="4"/>
      <c r="AA909" s="4"/>
    </row>
    <row r="910" spans="1:27" ht="12.75" x14ac:dyDescent="0.2">
      <c r="A910" s="16"/>
      <c r="B910" s="6"/>
      <c r="C910" s="6"/>
      <c r="D910" s="6"/>
      <c r="E910" s="4"/>
      <c r="F910" s="6"/>
      <c r="G910" s="6"/>
      <c r="H910" s="6"/>
      <c r="I910" s="6"/>
      <c r="J910" s="6"/>
      <c r="K910" s="6"/>
      <c r="L910" s="6"/>
      <c r="M910" s="6"/>
      <c r="N910" s="6"/>
      <c r="O910" s="16"/>
      <c r="P910" s="6"/>
      <c r="Q910" s="4"/>
      <c r="R910" s="4"/>
      <c r="S910" s="4"/>
      <c r="T910" s="4"/>
      <c r="U910" s="4"/>
      <c r="V910" s="4"/>
      <c r="W910" s="4"/>
      <c r="X910" s="4"/>
      <c r="Y910" s="4"/>
      <c r="Z910" s="4"/>
      <c r="AA910" s="4"/>
    </row>
    <row r="911" spans="1:27" ht="12.75" x14ac:dyDescent="0.2">
      <c r="A911" s="16"/>
      <c r="B911" s="6"/>
      <c r="C911" s="6"/>
      <c r="D911" s="6"/>
      <c r="E911" s="4"/>
      <c r="F911" s="6"/>
      <c r="G911" s="6"/>
      <c r="H911" s="6"/>
      <c r="I911" s="6"/>
      <c r="J911" s="6"/>
      <c r="K911" s="6"/>
      <c r="L911" s="6"/>
      <c r="M911" s="6"/>
      <c r="N911" s="6"/>
      <c r="O911" s="16"/>
      <c r="P911" s="6"/>
      <c r="Q911" s="4"/>
      <c r="R911" s="4"/>
      <c r="S911" s="4"/>
      <c r="T911" s="4"/>
      <c r="U911" s="4"/>
      <c r="V911" s="4"/>
      <c r="W911" s="4"/>
      <c r="X911" s="4"/>
      <c r="Y911" s="4"/>
      <c r="Z911" s="4"/>
      <c r="AA911" s="4"/>
    </row>
    <row r="912" spans="1:27" ht="12.75" x14ac:dyDescent="0.2">
      <c r="A912" s="16"/>
      <c r="B912" s="6"/>
      <c r="C912" s="6"/>
      <c r="D912" s="6"/>
      <c r="E912" s="4"/>
      <c r="F912" s="6"/>
      <c r="G912" s="6"/>
      <c r="H912" s="6"/>
      <c r="I912" s="6"/>
      <c r="J912" s="6"/>
      <c r="K912" s="6"/>
      <c r="L912" s="6"/>
      <c r="M912" s="6"/>
      <c r="N912" s="6"/>
      <c r="O912" s="16"/>
      <c r="P912" s="6"/>
      <c r="Q912" s="4"/>
      <c r="R912" s="4"/>
      <c r="S912" s="4"/>
      <c r="T912" s="4"/>
      <c r="U912" s="4"/>
      <c r="V912" s="4"/>
      <c r="W912" s="4"/>
      <c r="X912" s="4"/>
      <c r="Y912" s="4"/>
      <c r="Z912" s="4"/>
      <c r="AA912" s="4"/>
    </row>
    <row r="913" spans="1:27" ht="12.75" x14ac:dyDescent="0.2">
      <c r="A913" s="16"/>
      <c r="B913" s="6"/>
      <c r="C913" s="6"/>
      <c r="D913" s="6"/>
      <c r="E913" s="4"/>
      <c r="F913" s="6"/>
      <c r="G913" s="6"/>
      <c r="H913" s="6"/>
      <c r="I913" s="6"/>
      <c r="J913" s="6"/>
      <c r="K913" s="6"/>
      <c r="L913" s="6"/>
      <c r="M913" s="6"/>
      <c r="N913" s="6"/>
      <c r="O913" s="16"/>
      <c r="P913" s="6"/>
      <c r="Q913" s="4"/>
      <c r="R913" s="4"/>
      <c r="S913" s="4"/>
      <c r="T913" s="4"/>
      <c r="U913" s="4"/>
      <c r="V913" s="4"/>
      <c r="W913" s="4"/>
      <c r="X913" s="4"/>
      <c r="Y913" s="4"/>
      <c r="Z913" s="4"/>
      <c r="AA913" s="4"/>
    </row>
    <row r="914" spans="1:27" ht="12.75" x14ac:dyDescent="0.2">
      <c r="A914" s="16"/>
      <c r="B914" s="6"/>
      <c r="C914" s="6"/>
      <c r="D914" s="6"/>
      <c r="E914" s="4"/>
      <c r="F914" s="6"/>
      <c r="G914" s="6"/>
      <c r="H914" s="6"/>
      <c r="I914" s="6"/>
      <c r="J914" s="6"/>
      <c r="K914" s="6"/>
      <c r="L914" s="6"/>
      <c r="M914" s="6"/>
      <c r="N914" s="6"/>
      <c r="O914" s="16"/>
      <c r="P914" s="6"/>
      <c r="Q914" s="4"/>
      <c r="R914" s="4"/>
      <c r="S914" s="4"/>
      <c r="T914" s="4"/>
      <c r="U914" s="4"/>
      <c r="V914" s="4"/>
      <c r="W914" s="4"/>
      <c r="X914" s="4"/>
      <c r="Y914" s="4"/>
      <c r="Z914" s="4"/>
      <c r="AA914" s="4"/>
    </row>
    <row r="915" spans="1:27" ht="12.75" x14ac:dyDescent="0.2">
      <c r="A915" s="16"/>
      <c r="B915" s="6"/>
      <c r="C915" s="6"/>
      <c r="D915" s="6"/>
      <c r="E915" s="4"/>
      <c r="F915" s="6"/>
      <c r="G915" s="6"/>
      <c r="H915" s="6"/>
      <c r="I915" s="6"/>
      <c r="J915" s="6"/>
      <c r="K915" s="6"/>
      <c r="L915" s="6"/>
      <c r="M915" s="6"/>
      <c r="N915" s="6"/>
      <c r="O915" s="16"/>
      <c r="P915" s="6"/>
      <c r="Q915" s="4"/>
      <c r="R915" s="4"/>
      <c r="S915" s="4"/>
      <c r="T915" s="4"/>
      <c r="U915" s="4"/>
      <c r="V915" s="4"/>
      <c r="W915" s="4"/>
      <c r="X915" s="4"/>
      <c r="Y915" s="4"/>
      <c r="Z915" s="4"/>
      <c r="AA915" s="4"/>
    </row>
    <row r="916" spans="1:27" ht="12.75" x14ac:dyDescent="0.2">
      <c r="A916" s="16"/>
      <c r="B916" s="6"/>
      <c r="C916" s="6"/>
      <c r="D916" s="6"/>
      <c r="E916" s="4"/>
      <c r="F916" s="6"/>
      <c r="G916" s="6"/>
      <c r="H916" s="6"/>
      <c r="I916" s="6"/>
      <c r="J916" s="6"/>
      <c r="K916" s="6"/>
      <c r="L916" s="6"/>
      <c r="M916" s="6"/>
      <c r="N916" s="6"/>
      <c r="O916" s="16"/>
      <c r="P916" s="6"/>
      <c r="Q916" s="4"/>
      <c r="R916" s="4"/>
      <c r="S916" s="4"/>
      <c r="T916" s="4"/>
      <c r="U916" s="4"/>
      <c r="V916" s="4"/>
      <c r="W916" s="4"/>
      <c r="X916" s="4"/>
      <c r="Y916" s="4"/>
      <c r="Z916" s="4"/>
      <c r="AA916" s="4"/>
    </row>
    <row r="917" spans="1:27" ht="12.75" x14ac:dyDescent="0.2">
      <c r="A917" s="16"/>
      <c r="B917" s="6"/>
      <c r="C917" s="6"/>
      <c r="D917" s="6"/>
      <c r="E917" s="4"/>
      <c r="F917" s="6"/>
      <c r="G917" s="6"/>
      <c r="H917" s="6"/>
      <c r="I917" s="6"/>
      <c r="J917" s="6"/>
      <c r="K917" s="6"/>
      <c r="L917" s="6"/>
      <c r="M917" s="6"/>
      <c r="N917" s="6"/>
      <c r="O917" s="16"/>
      <c r="P917" s="6"/>
      <c r="Q917" s="4"/>
      <c r="R917" s="4"/>
      <c r="S917" s="4"/>
      <c r="T917" s="4"/>
      <c r="U917" s="4"/>
      <c r="V917" s="4"/>
      <c r="W917" s="4"/>
      <c r="X917" s="4"/>
      <c r="Y917" s="4"/>
      <c r="Z917" s="4"/>
      <c r="AA917" s="4"/>
    </row>
    <row r="918" spans="1:27" ht="12.75" x14ac:dyDescent="0.2">
      <c r="A918" s="16"/>
      <c r="B918" s="6"/>
      <c r="C918" s="6"/>
      <c r="D918" s="6"/>
      <c r="E918" s="4"/>
      <c r="F918" s="6"/>
      <c r="G918" s="6"/>
      <c r="H918" s="6"/>
      <c r="I918" s="6"/>
      <c r="J918" s="6"/>
      <c r="K918" s="6"/>
      <c r="L918" s="6"/>
      <c r="M918" s="6"/>
      <c r="N918" s="6"/>
      <c r="O918" s="16"/>
      <c r="P918" s="6"/>
      <c r="Q918" s="4"/>
      <c r="R918" s="4"/>
      <c r="S918" s="4"/>
      <c r="T918" s="4"/>
      <c r="U918" s="4"/>
      <c r="V918" s="4"/>
      <c r="W918" s="4"/>
      <c r="X918" s="4"/>
      <c r="Y918" s="4"/>
      <c r="Z918" s="4"/>
      <c r="AA918" s="4"/>
    </row>
    <row r="919" spans="1:27" ht="12.75" x14ac:dyDescent="0.2">
      <c r="A919" s="16"/>
      <c r="B919" s="6"/>
      <c r="C919" s="6"/>
      <c r="D919" s="6"/>
      <c r="E919" s="4"/>
      <c r="F919" s="6"/>
      <c r="G919" s="6"/>
      <c r="H919" s="6"/>
      <c r="I919" s="6"/>
      <c r="J919" s="6"/>
      <c r="K919" s="6"/>
      <c r="L919" s="6"/>
      <c r="M919" s="6"/>
      <c r="N919" s="6"/>
      <c r="O919" s="16"/>
      <c r="P919" s="6"/>
      <c r="Q919" s="4"/>
      <c r="R919" s="4"/>
      <c r="S919" s="4"/>
      <c r="T919" s="4"/>
      <c r="U919" s="4"/>
      <c r="V919" s="4"/>
      <c r="W919" s="4"/>
      <c r="X919" s="4"/>
      <c r="Y919" s="4"/>
      <c r="Z919" s="4"/>
      <c r="AA919" s="4"/>
    </row>
    <row r="920" spans="1:27" ht="12.75" x14ac:dyDescent="0.2">
      <c r="A920" s="16"/>
      <c r="B920" s="6"/>
      <c r="C920" s="6"/>
      <c r="D920" s="6"/>
      <c r="E920" s="4"/>
      <c r="F920" s="6"/>
      <c r="G920" s="6"/>
      <c r="H920" s="6"/>
      <c r="I920" s="6"/>
      <c r="J920" s="6"/>
      <c r="K920" s="6"/>
      <c r="L920" s="6"/>
      <c r="M920" s="6"/>
      <c r="N920" s="6"/>
      <c r="O920" s="16"/>
      <c r="P920" s="6"/>
      <c r="Q920" s="4"/>
      <c r="R920" s="4"/>
      <c r="S920" s="4"/>
      <c r="T920" s="4"/>
      <c r="U920" s="4"/>
      <c r="V920" s="4"/>
      <c r="W920" s="4"/>
      <c r="X920" s="4"/>
      <c r="Y920" s="4"/>
      <c r="Z920" s="4"/>
      <c r="AA920" s="4"/>
    </row>
    <row r="921" spans="1:27" ht="12.75" x14ac:dyDescent="0.2">
      <c r="A921" s="16"/>
      <c r="B921" s="6"/>
      <c r="C921" s="6"/>
      <c r="D921" s="6"/>
      <c r="E921" s="4"/>
      <c r="F921" s="6"/>
      <c r="G921" s="6"/>
      <c r="H921" s="6"/>
      <c r="I921" s="6"/>
      <c r="J921" s="6"/>
      <c r="K921" s="6"/>
      <c r="L921" s="6"/>
      <c r="M921" s="6"/>
      <c r="N921" s="6"/>
      <c r="O921" s="16"/>
      <c r="P921" s="6"/>
      <c r="Q921" s="4"/>
      <c r="R921" s="4"/>
      <c r="S921" s="4"/>
      <c r="T921" s="4"/>
      <c r="U921" s="4"/>
      <c r="V921" s="4"/>
      <c r="W921" s="4"/>
      <c r="X921" s="4"/>
      <c r="Y921" s="4"/>
      <c r="Z921" s="4"/>
      <c r="AA921" s="4"/>
    </row>
    <row r="922" spans="1:27" ht="12.75" x14ac:dyDescent="0.2">
      <c r="A922" s="16"/>
      <c r="B922" s="6"/>
      <c r="C922" s="6"/>
      <c r="D922" s="6"/>
      <c r="E922" s="4"/>
      <c r="F922" s="6"/>
      <c r="G922" s="6"/>
      <c r="H922" s="6"/>
      <c r="I922" s="6"/>
      <c r="J922" s="6"/>
      <c r="K922" s="6"/>
      <c r="L922" s="6"/>
      <c r="M922" s="6"/>
      <c r="N922" s="6"/>
      <c r="O922" s="16"/>
      <c r="P922" s="6"/>
      <c r="Q922" s="4"/>
      <c r="R922" s="4"/>
      <c r="S922" s="4"/>
      <c r="T922" s="4"/>
      <c r="U922" s="4"/>
      <c r="V922" s="4"/>
      <c r="W922" s="4"/>
      <c r="X922" s="4"/>
      <c r="Y922" s="4"/>
      <c r="Z922" s="4"/>
      <c r="AA922" s="4"/>
    </row>
    <row r="923" spans="1:27" ht="12.75" x14ac:dyDescent="0.2">
      <c r="A923" s="16"/>
      <c r="B923" s="6"/>
      <c r="C923" s="6"/>
      <c r="D923" s="6"/>
      <c r="E923" s="4"/>
      <c r="F923" s="6"/>
      <c r="G923" s="6"/>
      <c r="H923" s="6"/>
      <c r="I923" s="6"/>
      <c r="J923" s="6"/>
      <c r="K923" s="6"/>
      <c r="L923" s="6"/>
      <c r="M923" s="6"/>
      <c r="N923" s="6"/>
      <c r="O923" s="16"/>
      <c r="P923" s="6"/>
      <c r="Q923" s="4"/>
      <c r="R923" s="4"/>
      <c r="S923" s="4"/>
      <c r="T923" s="4"/>
      <c r="U923" s="4"/>
      <c r="V923" s="4"/>
      <c r="W923" s="4"/>
      <c r="X923" s="4"/>
      <c r="Y923" s="4"/>
      <c r="Z923" s="4"/>
      <c r="AA923" s="4"/>
    </row>
    <row r="924" spans="1:27" ht="12.75" x14ac:dyDescent="0.2">
      <c r="A924" s="16"/>
      <c r="B924" s="6"/>
      <c r="C924" s="6"/>
      <c r="D924" s="6"/>
      <c r="E924" s="4"/>
      <c r="F924" s="6"/>
      <c r="G924" s="6"/>
      <c r="H924" s="6"/>
      <c r="I924" s="6"/>
      <c r="J924" s="6"/>
      <c r="K924" s="6"/>
      <c r="L924" s="6"/>
      <c r="M924" s="6"/>
      <c r="N924" s="6"/>
      <c r="O924" s="16"/>
      <c r="P924" s="6"/>
      <c r="Q924" s="4"/>
      <c r="R924" s="4"/>
      <c r="S924" s="4"/>
      <c r="T924" s="4"/>
      <c r="U924" s="4"/>
      <c r="V924" s="4"/>
      <c r="W924" s="4"/>
      <c r="X924" s="4"/>
      <c r="Y924" s="4"/>
      <c r="Z924" s="4"/>
      <c r="AA924" s="4"/>
    </row>
    <row r="925" spans="1:27" ht="12.75" x14ac:dyDescent="0.2">
      <c r="A925" s="16"/>
      <c r="B925" s="6"/>
      <c r="C925" s="6"/>
      <c r="D925" s="6"/>
      <c r="E925" s="4"/>
      <c r="F925" s="6"/>
      <c r="G925" s="6"/>
      <c r="H925" s="6"/>
      <c r="I925" s="6"/>
      <c r="J925" s="6"/>
      <c r="K925" s="6"/>
      <c r="L925" s="6"/>
      <c r="M925" s="6"/>
      <c r="N925" s="6"/>
      <c r="O925" s="16"/>
      <c r="P925" s="6"/>
      <c r="Q925" s="4"/>
      <c r="R925" s="4"/>
      <c r="S925" s="4"/>
      <c r="T925" s="4"/>
      <c r="U925" s="4"/>
      <c r="V925" s="4"/>
      <c r="W925" s="4"/>
      <c r="X925" s="4"/>
      <c r="Y925" s="4"/>
      <c r="Z925" s="4"/>
      <c r="AA925" s="4"/>
    </row>
    <row r="926" spans="1:27" ht="12.75" x14ac:dyDescent="0.2">
      <c r="A926" s="16"/>
      <c r="B926" s="6"/>
      <c r="C926" s="6"/>
      <c r="D926" s="6"/>
      <c r="E926" s="4"/>
      <c r="F926" s="6"/>
      <c r="G926" s="6"/>
      <c r="H926" s="6"/>
      <c r="I926" s="6"/>
      <c r="J926" s="6"/>
      <c r="K926" s="6"/>
      <c r="L926" s="6"/>
      <c r="M926" s="6"/>
      <c r="N926" s="6"/>
      <c r="O926" s="16"/>
      <c r="P926" s="6"/>
      <c r="Q926" s="4"/>
      <c r="R926" s="4"/>
      <c r="S926" s="4"/>
      <c r="T926" s="4"/>
      <c r="U926" s="4"/>
      <c r="V926" s="4"/>
      <c r="W926" s="4"/>
      <c r="X926" s="4"/>
      <c r="Y926" s="4"/>
      <c r="Z926" s="4"/>
      <c r="AA926" s="4"/>
    </row>
    <row r="927" spans="1:27" ht="12.75" x14ac:dyDescent="0.2">
      <c r="A927" s="16"/>
      <c r="B927" s="6"/>
      <c r="C927" s="6"/>
      <c r="D927" s="6"/>
      <c r="E927" s="4"/>
      <c r="F927" s="6"/>
      <c r="G927" s="6"/>
      <c r="H927" s="6"/>
      <c r="I927" s="6"/>
      <c r="J927" s="6"/>
      <c r="K927" s="6"/>
      <c r="L927" s="6"/>
      <c r="M927" s="6"/>
      <c r="N927" s="6"/>
      <c r="O927" s="16"/>
      <c r="P927" s="6"/>
      <c r="Q927" s="4"/>
      <c r="R927" s="4"/>
      <c r="S927" s="4"/>
      <c r="T927" s="4"/>
      <c r="U927" s="4"/>
      <c r="V927" s="4"/>
      <c r="W927" s="4"/>
      <c r="X927" s="4"/>
      <c r="Y927" s="4"/>
      <c r="Z927" s="4"/>
      <c r="AA927" s="4"/>
    </row>
    <row r="928" spans="1:27" ht="12.75" x14ac:dyDescent="0.2">
      <c r="A928" s="16"/>
      <c r="B928" s="6"/>
      <c r="C928" s="6"/>
      <c r="D928" s="6"/>
      <c r="E928" s="4"/>
      <c r="F928" s="6"/>
      <c r="G928" s="6"/>
      <c r="H928" s="6"/>
      <c r="I928" s="6"/>
      <c r="J928" s="6"/>
      <c r="K928" s="6"/>
      <c r="L928" s="6"/>
      <c r="M928" s="6"/>
      <c r="N928" s="6"/>
      <c r="O928" s="16"/>
      <c r="P928" s="6"/>
      <c r="Q928" s="4"/>
      <c r="R928" s="4"/>
      <c r="S928" s="4"/>
      <c r="T928" s="4"/>
      <c r="U928" s="4"/>
      <c r="V928" s="4"/>
      <c r="W928" s="4"/>
      <c r="X928" s="4"/>
      <c r="Y928" s="4"/>
      <c r="Z928" s="4"/>
      <c r="AA928" s="4"/>
    </row>
    <row r="929" spans="1:27" ht="12.75" x14ac:dyDescent="0.2">
      <c r="A929" s="16"/>
      <c r="B929" s="6"/>
      <c r="C929" s="6"/>
      <c r="D929" s="6"/>
      <c r="E929" s="4"/>
      <c r="F929" s="6"/>
      <c r="G929" s="6"/>
      <c r="H929" s="6"/>
      <c r="I929" s="6"/>
      <c r="J929" s="6"/>
      <c r="K929" s="6"/>
      <c r="L929" s="6"/>
      <c r="M929" s="6"/>
      <c r="N929" s="6"/>
      <c r="O929" s="16"/>
      <c r="P929" s="6"/>
      <c r="Q929" s="4"/>
      <c r="R929" s="4"/>
      <c r="S929" s="4"/>
      <c r="T929" s="4"/>
      <c r="U929" s="4"/>
      <c r="V929" s="4"/>
      <c r="W929" s="4"/>
      <c r="X929" s="4"/>
      <c r="Y929" s="4"/>
      <c r="Z929" s="4"/>
      <c r="AA929" s="4"/>
    </row>
    <row r="930" spans="1:27" ht="12.75" x14ac:dyDescent="0.2">
      <c r="A930" s="16"/>
      <c r="B930" s="6"/>
      <c r="C930" s="6"/>
      <c r="D930" s="6"/>
      <c r="E930" s="4"/>
      <c r="F930" s="6"/>
      <c r="G930" s="6"/>
      <c r="H930" s="6"/>
      <c r="I930" s="6"/>
      <c r="J930" s="6"/>
      <c r="K930" s="6"/>
      <c r="L930" s="6"/>
      <c r="M930" s="6"/>
      <c r="N930" s="6"/>
      <c r="O930" s="16"/>
      <c r="P930" s="6"/>
      <c r="Q930" s="4"/>
      <c r="R930" s="4"/>
      <c r="S930" s="4"/>
      <c r="T930" s="4"/>
      <c r="U930" s="4"/>
      <c r="V930" s="4"/>
      <c r="W930" s="4"/>
      <c r="X930" s="4"/>
      <c r="Y930" s="4"/>
      <c r="Z930" s="4"/>
      <c r="AA930" s="4"/>
    </row>
    <row r="931" spans="1:27" ht="12.75" x14ac:dyDescent="0.2">
      <c r="A931" s="16"/>
      <c r="B931" s="6"/>
      <c r="C931" s="6"/>
      <c r="D931" s="6"/>
      <c r="E931" s="4"/>
      <c r="F931" s="6"/>
      <c r="G931" s="6"/>
      <c r="H931" s="6"/>
      <c r="I931" s="6"/>
      <c r="J931" s="6"/>
      <c r="K931" s="6"/>
      <c r="L931" s="6"/>
      <c r="M931" s="6"/>
      <c r="N931" s="6"/>
      <c r="O931" s="16"/>
      <c r="P931" s="6"/>
      <c r="Q931" s="4"/>
      <c r="R931" s="4"/>
      <c r="S931" s="4"/>
      <c r="T931" s="4"/>
      <c r="U931" s="4"/>
      <c r="V931" s="4"/>
      <c r="W931" s="4"/>
      <c r="X931" s="4"/>
      <c r="Y931" s="4"/>
      <c r="Z931" s="4"/>
      <c r="AA931" s="4"/>
    </row>
    <row r="932" spans="1:27" ht="12.75" x14ac:dyDescent="0.2">
      <c r="A932" s="16"/>
      <c r="B932" s="6"/>
      <c r="C932" s="6"/>
      <c r="D932" s="6"/>
      <c r="E932" s="4"/>
      <c r="F932" s="6"/>
      <c r="G932" s="6"/>
      <c r="H932" s="6"/>
      <c r="I932" s="6"/>
      <c r="J932" s="6"/>
      <c r="K932" s="6"/>
      <c r="L932" s="6"/>
      <c r="M932" s="6"/>
      <c r="N932" s="6"/>
      <c r="O932" s="16"/>
      <c r="P932" s="6"/>
      <c r="Q932" s="4"/>
      <c r="R932" s="4"/>
      <c r="S932" s="4"/>
      <c r="T932" s="4"/>
      <c r="U932" s="4"/>
      <c r="V932" s="4"/>
      <c r="W932" s="4"/>
      <c r="X932" s="4"/>
      <c r="Y932" s="4"/>
      <c r="Z932" s="4"/>
      <c r="AA932" s="4"/>
    </row>
    <row r="933" spans="1:27" ht="12.75" x14ac:dyDescent="0.2">
      <c r="A933" s="16"/>
      <c r="B933" s="6"/>
      <c r="C933" s="6"/>
      <c r="D933" s="6"/>
      <c r="E933" s="4"/>
      <c r="F933" s="6"/>
      <c r="G933" s="6"/>
      <c r="H933" s="6"/>
      <c r="I933" s="6"/>
      <c r="J933" s="6"/>
      <c r="K933" s="6"/>
      <c r="L933" s="6"/>
      <c r="M933" s="6"/>
      <c r="N933" s="6"/>
      <c r="O933" s="16"/>
      <c r="P933" s="6"/>
      <c r="Q933" s="4"/>
      <c r="R933" s="4"/>
      <c r="S933" s="4"/>
      <c r="T933" s="4"/>
      <c r="U933" s="4"/>
      <c r="V933" s="4"/>
      <c r="W933" s="4"/>
      <c r="X933" s="4"/>
      <c r="Y933" s="4"/>
      <c r="Z933" s="4"/>
      <c r="AA933" s="4"/>
    </row>
    <row r="934" spans="1:27" ht="12.75" x14ac:dyDescent="0.2">
      <c r="A934" s="16"/>
      <c r="B934" s="6"/>
      <c r="C934" s="6"/>
      <c r="D934" s="6"/>
      <c r="E934" s="4"/>
      <c r="F934" s="6"/>
      <c r="G934" s="6"/>
      <c r="H934" s="6"/>
      <c r="I934" s="6"/>
      <c r="J934" s="6"/>
      <c r="K934" s="6"/>
      <c r="L934" s="6"/>
      <c r="M934" s="6"/>
      <c r="N934" s="6"/>
      <c r="O934" s="16"/>
      <c r="P934" s="6"/>
      <c r="Q934" s="4"/>
      <c r="R934" s="4"/>
      <c r="S934" s="4"/>
      <c r="T934" s="4"/>
      <c r="U934" s="4"/>
      <c r="V934" s="4"/>
      <c r="W934" s="4"/>
      <c r="X934" s="4"/>
      <c r="Y934" s="4"/>
      <c r="Z934" s="4"/>
      <c r="AA934" s="4"/>
    </row>
    <row r="935" spans="1:27" ht="12.75" x14ac:dyDescent="0.2">
      <c r="A935" s="16"/>
      <c r="B935" s="6"/>
      <c r="C935" s="6"/>
      <c r="D935" s="6"/>
      <c r="E935" s="4"/>
      <c r="F935" s="6"/>
      <c r="G935" s="6"/>
      <c r="H935" s="6"/>
      <c r="I935" s="6"/>
      <c r="J935" s="6"/>
      <c r="K935" s="6"/>
      <c r="L935" s="6"/>
      <c r="M935" s="6"/>
      <c r="N935" s="6"/>
      <c r="O935" s="16"/>
      <c r="P935" s="6"/>
      <c r="Q935" s="4"/>
      <c r="R935" s="4"/>
      <c r="S935" s="4"/>
      <c r="T935" s="4"/>
      <c r="U935" s="4"/>
      <c r="V935" s="4"/>
      <c r="W935" s="4"/>
      <c r="X935" s="4"/>
      <c r="Y935" s="4"/>
      <c r="Z935" s="4"/>
      <c r="AA935" s="4"/>
    </row>
    <row r="936" spans="1:27" ht="12.75" x14ac:dyDescent="0.2">
      <c r="A936" s="16"/>
      <c r="B936" s="6"/>
      <c r="C936" s="6"/>
      <c r="D936" s="6"/>
      <c r="E936" s="4"/>
      <c r="F936" s="6"/>
      <c r="G936" s="6"/>
      <c r="H936" s="6"/>
      <c r="I936" s="6"/>
      <c r="J936" s="6"/>
      <c r="K936" s="6"/>
      <c r="L936" s="6"/>
      <c r="M936" s="6"/>
      <c r="N936" s="6"/>
      <c r="O936" s="16"/>
      <c r="P936" s="6"/>
      <c r="Q936" s="4"/>
      <c r="R936" s="4"/>
      <c r="S936" s="4"/>
      <c r="T936" s="4"/>
      <c r="U936" s="4"/>
      <c r="V936" s="4"/>
      <c r="W936" s="4"/>
      <c r="X936" s="4"/>
      <c r="Y936" s="4"/>
      <c r="Z936" s="4"/>
      <c r="AA936" s="4"/>
    </row>
    <row r="937" spans="1:27" ht="12.75" x14ac:dyDescent="0.2">
      <c r="A937" s="16"/>
      <c r="B937" s="6"/>
      <c r="C937" s="6"/>
      <c r="D937" s="6"/>
      <c r="E937" s="4"/>
      <c r="F937" s="6"/>
      <c r="G937" s="6"/>
      <c r="H937" s="6"/>
      <c r="I937" s="6"/>
      <c r="J937" s="6"/>
      <c r="K937" s="6"/>
      <c r="L937" s="6"/>
      <c r="M937" s="6"/>
      <c r="N937" s="6"/>
      <c r="O937" s="16"/>
      <c r="P937" s="6"/>
      <c r="Q937" s="4"/>
      <c r="R937" s="4"/>
      <c r="S937" s="4"/>
      <c r="T937" s="4"/>
      <c r="U937" s="4"/>
      <c r="V937" s="4"/>
      <c r="W937" s="4"/>
      <c r="X937" s="4"/>
      <c r="Y937" s="4"/>
      <c r="Z937" s="4"/>
      <c r="AA937" s="4"/>
    </row>
    <row r="938" spans="1:27" ht="12.75" x14ac:dyDescent="0.2">
      <c r="A938" s="16"/>
      <c r="B938" s="6"/>
      <c r="C938" s="6"/>
      <c r="D938" s="6"/>
      <c r="E938" s="4"/>
      <c r="F938" s="6"/>
      <c r="G938" s="6"/>
      <c r="H938" s="6"/>
      <c r="I938" s="6"/>
      <c r="J938" s="6"/>
      <c r="K938" s="6"/>
      <c r="L938" s="6"/>
      <c r="M938" s="6"/>
      <c r="N938" s="6"/>
      <c r="O938" s="16"/>
      <c r="P938" s="6"/>
      <c r="Q938" s="4"/>
      <c r="R938" s="4"/>
      <c r="S938" s="4"/>
      <c r="T938" s="4"/>
      <c r="U938" s="4"/>
      <c r="V938" s="4"/>
      <c r="W938" s="4"/>
      <c r="X938" s="4"/>
      <c r="Y938" s="4"/>
      <c r="Z938" s="4"/>
      <c r="AA938" s="4"/>
    </row>
    <row r="939" spans="1:27" ht="12.75" x14ac:dyDescent="0.2">
      <c r="A939" s="16"/>
      <c r="B939" s="6"/>
      <c r="C939" s="6"/>
      <c r="D939" s="6"/>
      <c r="E939" s="4"/>
      <c r="F939" s="6"/>
      <c r="G939" s="6"/>
      <c r="H939" s="6"/>
      <c r="I939" s="6"/>
      <c r="J939" s="6"/>
      <c r="K939" s="6"/>
      <c r="L939" s="6"/>
      <c r="M939" s="6"/>
      <c r="N939" s="6"/>
      <c r="O939" s="16"/>
      <c r="P939" s="6"/>
      <c r="Q939" s="4"/>
      <c r="R939" s="4"/>
      <c r="S939" s="4"/>
      <c r="T939" s="4"/>
      <c r="U939" s="4"/>
      <c r="V939" s="4"/>
      <c r="W939" s="4"/>
      <c r="X939" s="4"/>
      <c r="Y939" s="4"/>
      <c r="Z939" s="4"/>
      <c r="AA939" s="4"/>
    </row>
    <row r="940" spans="1:27" ht="12.75" x14ac:dyDescent="0.2">
      <c r="A940" s="16"/>
      <c r="B940" s="6"/>
      <c r="C940" s="6"/>
      <c r="D940" s="6"/>
      <c r="E940" s="4"/>
      <c r="F940" s="6"/>
      <c r="G940" s="6"/>
      <c r="H940" s="6"/>
      <c r="I940" s="6"/>
      <c r="J940" s="6"/>
      <c r="K940" s="6"/>
      <c r="L940" s="6"/>
      <c r="M940" s="6"/>
      <c r="N940" s="6"/>
      <c r="O940" s="16"/>
      <c r="P940" s="6"/>
      <c r="Q940" s="4"/>
      <c r="R940" s="4"/>
      <c r="S940" s="4"/>
      <c r="T940" s="4"/>
      <c r="U940" s="4"/>
      <c r="V940" s="4"/>
      <c r="W940" s="4"/>
      <c r="X940" s="4"/>
      <c r="Y940" s="4"/>
      <c r="Z940" s="4"/>
      <c r="AA940" s="4"/>
    </row>
    <row r="941" spans="1:27" ht="12.75" x14ac:dyDescent="0.2">
      <c r="A941" s="16"/>
      <c r="B941" s="6"/>
      <c r="C941" s="6"/>
      <c r="D941" s="6"/>
      <c r="E941" s="4"/>
      <c r="F941" s="6"/>
      <c r="G941" s="6"/>
      <c r="H941" s="6"/>
      <c r="I941" s="6"/>
      <c r="J941" s="6"/>
      <c r="K941" s="6"/>
      <c r="L941" s="6"/>
      <c r="M941" s="6"/>
      <c r="N941" s="6"/>
      <c r="O941" s="16"/>
      <c r="P941" s="6"/>
      <c r="Q941" s="4"/>
      <c r="R941" s="4"/>
      <c r="S941" s="4"/>
      <c r="T941" s="4"/>
      <c r="U941" s="4"/>
      <c r="V941" s="4"/>
      <c r="W941" s="4"/>
      <c r="X941" s="4"/>
      <c r="Y941" s="4"/>
      <c r="Z941" s="4"/>
      <c r="AA941" s="4"/>
    </row>
    <row r="942" spans="1:27" ht="12.75" x14ac:dyDescent="0.2">
      <c r="A942" s="16"/>
      <c r="B942" s="6"/>
      <c r="C942" s="6"/>
      <c r="D942" s="6"/>
      <c r="E942" s="4"/>
      <c r="F942" s="6"/>
      <c r="G942" s="6"/>
      <c r="H942" s="6"/>
      <c r="I942" s="6"/>
      <c r="J942" s="6"/>
      <c r="K942" s="6"/>
      <c r="L942" s="6"/>
      <c r="M942" s="6"/>
      <c r="N942" s="6"/>
      <c r="O942" s="16"/>
      <c r="P942" s="6"/>
      <c r="Q942" s="4"/>
      <c r="R942" s="4"/>
      <c r="S942" s="4"/>
      <c r="T942" s="4"/>
      <c r="U942" s="4"/>
      <c r="V942" s="4"/>
      <c r="W942" s="4"/>
      <c r="X942" s="4"/>
      <c r="Y942" s="4"/>
      <c r="Z942" s="4"/>
      <c r="AA942" s="4"/>
    </row>
    <row r="943" spans="1:27" ht="12.75" x14ac:dyDescent="0.2">
      <c r="A943" s="16"/>
      <c r="B943" s="6"/>
      <c r="C943" s="6"/>
      <c r="D943" s="6"/>
      <c r="E943" s="4"/>
      <c r="F943" s="6"/>
      <c r="G943" s="6"/>
      <c r="H943" s="6"/>
      <c r="I943" s="6"/>
      <c r="J943" s="6"/>
      <c r="K943" s="6"/>
      <c r="L943" s="6"/>
      <c r="M943" s="6"/>
      <c r="N943" s="6"/>
      <c r="O943" s="16"/>
      <c r="P943" s="6"/>
      <c r="Q943" s="4"/>
      <c r="R943" s="4"/>
      <c r="S943" s="4"/>
      <c r="T943" s="4"/>
      <c r="U943" s="4"/>
      <c r="V943" s="4"/>
      <c r="W943" s="4"/>
      <c r="X943" s="4"/>
      <c r="Y943" s="4"/>
      <c r="Z943" s="4"/>
      <c r="AA943" s="4"/>
    </row>
    <row r="944" spans="1:27" ht="12.75" x14ac:dyDescent="0.2">
      <c r="A944" s="16"/>
      <c r="B944" s="6"/>
      <c r="C944" s="6"/>
      <c r="D944" s="6"/>
      <c r="E944" s="4"/>
      <c r="F944" s="6"/>
      <c r="G944" s="6"/>
      <c r="H944" s="6"/>
      <c r="I944" s="6"/>
      <c r="J944" s="6"/>
      <c r="K944" s="6"/>
      <c r="L944" s="6"/>
      <c r="M944" s="6"/>
      <c r="N944" s="6"/>
      <c r="O944" s="16"/>
      <c r="P944" s="6"/>
      <c r="Q944" s="4"/>
      <c r="R944" s="4"/>
      <c r="S944" s="4"/>
      <c r="T944" s="4"/>
      <c r="U944" s="4"/>
      <c r="V944" s="4"/>
      <c r="W944" s="4"/>
      <c r="X944" s="4"/>
      <c r="Y944" s="4"/>
      <c r="Z944" s="4"/>
      <c r="AA944" s="4"/>
    </row>
    <row r="945" spans="1:27" ht="12.75" x14ac:dyDescent="0.2">
      <c r="A945" s="16"/>
      <c r="B945" s="6"/>
      <c r="C945" s="6"/>
      <c r="D945" s="6"/>
      <c r="E945" s="4"/>
      <c r="F945" s="6"/>
      <c r="G945" s="6"/>
      <c r="H945" s="6"/>
      <c r="I945" s="6"/>
      <c r="J945" s="6"/>
      <c r="K945" s="6"/>
      <c r="L945" s="6"/>
      <c r="M945" s="6"/>
      <c r="N945" s="6"/>
      <c r="O945" s="16"/>
      <c r="P945" s="6"/>
      <c r="Q945" s="4"/>
      <c r="R945" s="4"/>
      <c r="S945" s="4"/>
      <c r="T945" s="4"/>
      <c r="U945" s="4"/>
      <c r="V945" s="4"/>
      <c r="W945" s="4"/>
      <c r="X945" s="4"/>
      <c r="Y945" s="4"/>
      <c r="Z945" s="4"/>
      <c r="AA945" s="4"/>
    </row>
    <row r="946" spans="1:27" ht="12.75" x14ac:dyDescent="0.2">
      <c r="A946" s="16"/>
      <c r="B946" s="6"/>
      <c r="C946" s="6"/>
      <c r="D946" s="6"/>
      <c r="E946" s="4"/>
      <c r="F946" s="6"/>
      <c r="G946" s="6"/>
      <c r="H946" s="6"/>
      <c r="I946" s="6"/>
      <c r="J946" s="6"/>
      <c r="K946" s="6"/>
      <c r="L946" s="6"/>
      <c r="M946" s="6"/>
      <c r="N946" s="6"/>
      <c r="O946" s="16"/>
      <c r="P946" s="6"/>
      <c r="Q946" s="4"/>
      <c r="R946" s="4"/>
      <c r="S946" s="4"/>
      <c r="T946" s="4"/>
      <c r="U946" s="4"/>
      <c r="V946" s="4"/>
      <c r="W946" s="4"/>
      <c r="X946" s="4"/>
      <c r="Y946" s="4"/>
      <c r="Z946" s="4"/>
      <c r="AA946" s="4"/>
    </row>
    <row r="947" spans="1:27" ht="12.75" x14ac:dyDescent="0.2">
      <c r="A947" s="16"/>
      <c r="B947" s="6"/>
      <c r="C947" s="6"/>
      <c r="D947" s="6"/>
      <c r="E947" s="4"/>
      <c r="F947" s="6"/>
      <c r="G947" s="6"/>
      <c r="H947" s="6"/>
      <c r="I947" s="6"/>
      <c r="J947" s="6"/>
      <c r="K947" s="6"/>
      <c r="L947" s="6"/>
      <c r="M947" s="6"/>
      <c r="N947" s="6"/>
      <c r="O947" s="16"/>
      <c r="P947" s="6"/>
      <c r="Q947" s="4"/>
      <c r="R947" s="4"/>
      <c r="S947" s="4"/>
      <c r="T947" s="4"/>
      <c r="U947" s="4"/>
      <c r="V947" s="4"/>
      <c r="W947" s="4"/>
      <c r="X947" s="4"/>
      <c r="Y947" s="4"/>
      <c r="Z947" s="4"/>
      <c r="AA947" s="4"/>
    </row>
    <row r="948" spans="1:27" ht="12.75" x14ac:dyDescent="0.2">
      <c r="A948" s="16"/>
      <c r="B948" s="6"/>
      <c r="C948" s="6"/>
      <c r="D948" s="6"/>
      <c r="E948" s="4"/>
      <c r="F948" s="6"/>
      <c r="G948" s="6"/>
      <c r="H948" s="6"/>
      <c r="I948" s="6"/>
      <c r="J948" s="6"/>
      <c r="K948" s="6"/>
      <c r="L948" s="6"/>
      <c r="M948" s="6"/>
      <c r="N948" s="6"/>
      <c r="O948" s="16"/>
      <c r="P948" s="6"/>
      <c r="Q948" s="4"/>
      <c r="R948" s="4"/>
      <c r="S948" s="4"/>
      <c r="T948" s="4"/>
      <c r="U948" s="4"/>
      <c r="V948" s="4"/>
      <c r="W948" s="4"/>
      <c r="X948" s="4"/>
      <c r="Y948" s="4"/>
      <c r="Z948" s="4"/>
      <c r="AA948" s="4"/>
    </row>
    <row r="949" spans="1:27" ht="12.75" x14ac:dyDescent="0.2">
      <c r="A949" s="16"/>
      <c r="B949" s="6"/>
      <c r="C949" s="6"/>
      <c r="D949" s="6"/>
      <c r="E949" s="4"/>
      <c r="F949" s="6"/>
      <c r="G949" s="6"/>
      <c r="H949" s="6"/>
      <c r="I949" s="6"/>
      <c r="J949" s="6"/>
      <c r="K949" s="6"/>
      <c r="L949" s="6"/>
      <c r="M949" s="6"/>
      <c r="N949" s="6"/>
      <c r="O949" s="16"/>
      <c r="P949" s="6"/>
      <c r="Q949" s="4"/>
      <c r="R949" s="4"/>
      <c r="S949" s="4"/>
      <c r="T949" s="4"/>
      <c r="U949" s="4"/>
      <c r="V949" s="4"/>
      <c r="W949" s="4"/>
      <c r="X949" s="4"/>
      <c r="Y949" s="4"/>
      <c r="Z949" s="4"/>
      <c r="AA949" s="4"/>
    </row>
    <row r="950" spans="1:27" ht="12.75" x14ac:dyDescent="0.2">
      <c r="A950" s="16"/>
      <c r="B950" s="6"/>
      <c r="C950" s="6"/>
      <c r="D950" s="6"/>
      <c r="E950" s="4"/>
      <c r="F950" s="6"/>
      <c r="G950" s="6"/>
      <c r="H950" s="6"/>
      <c r="I950" s="6"/>
      <c r="J950" s="6"/>
      <c r="K950" s="6"/>
      <c r="L950" s="6"/>
      <c r="M950" s="6"/>
      <c r="N950" s="6"/>
      <c r="O950" s="16"/>
      <c r="P950" s="6"/>
      <c r="Q950" s="4"/>
      <c r="R950" s="4"/>
      <c r="S950" s="4"/>
      <c r="T950" s="4"/>
      <c r="U950" s="4"/>
      <c r="V950" s="4"/>
      <c r="W950" s="4"/>
      <c r="X950" s="4"/>
      <c r="Y950" s="4"/>
      <c r="Z950" s="4"/>
      <c r="AA950" s="4"/>
    </row>
    <row r="951" spans="1:27" ht="12.75" x14ac:dyDescent="0.2">
      <c r="A951" s="16"/>
      <c r="B951" s="6"/>
      <c r="C951" s="6"/>
      <c r="D951" s="6"/>
      <c r="E951" s="4"/>
      <c r="F951" s="6"/>
      <c r="G951" s="6"/>
      <c r="H951" s="6"/>
      <c r="I951" s="6"/>
      <c r="J951" s="6"/>
      <c r="K951" s="6"/>
      <c r="L951" s="6"/>
      <c r="M951" s="6"/>
      <c r="N951" s="6"/>
      <c r="O951" s="16"/>
      <c r="P951" s="6"/>
      <c r="Q951" s="4"/>
      <c r="R951" s="4"/>
      <c r="S951" s="4"/>
      <c r="T951" s="4"/>
      <c r="U951" s="4"/>
      <c r="V951" s="4"/>
      <c r="W951" s="4"/>
      <c r="X951" s="4"/>
      <c r="Y951" s="4"/>
      <c r="Z951" s="4"/>
      <c r="AA951" s="4"/>
    </row>
    <row r="952" spans="1:27" ht="12.75" x14ac:dyDescent="0.2">
      <c r="A952" s="16"/>
      <c r="B952" s="6"/>
      <c r="C952" s="6"/>
      <c r="D952" s="6"/>
      <c r="E952" s="4"/>
      <c r="F952" s="6"/>
      <c r="G952" s="6"/>
      <c r="H952" s="6"/>
      <c r="I952" s="6"/>
      <c r="J952" s="6"/>
      <c r="K952" s="6"/>
      <c r="L952" s="6"/>
      <c r="M952" s="6"/>
      <c r="N952" s="6"/>
      <c r="O952" s="16"/>
      <c r="P952" s="6"/>
      <c r="Q952" s="4"/>
      <c r="R952" s="4"/>
      <c r="S952" s="4"/>
      <c r="T952" s="4"/>
      <c r="U952" s="4"/>
      <c r="V952" s="4"/>
      <c r="W952" s="4"/>
      <c r="X952" s="4"/>
      <c r="Y952" s="4"/>
      <c r="Z952" s="4"/>
      <c r="AA952" s="4"/>
    </row>
    <row r="953" spans="1:27" ht="12.75" x14ac:dyDescent="0.2">
      <c r="A953" s="16"/>
      <c r="B953" s="6"/>
      <c r="C953" s="6"/>
      <c r="D953" s="6"/>
      <c r="E953" s="4"/>
      <c r="F953" s="6"/>
      <c r="G953" s="6"/>
      <c r="H953" s="6"/>
      <c r="I953" s="6"/>
      <c r="J953" s="6"/>
      <c r="K953" s="6"/>
      <c r="L953" s="6"/>
      <c r="M953" s="6"/>
      <c r="N953" s="6"/>
      <c r="O953" s="16"/>
      <c r="P953" s="6"/>
      <c r="Q953" s="4"/>
      <c r="R953" s="4"/>
      <c r="S953" s="4"/>
      <c r="T953" s="4"/>
      <c r="U953" s="4"/>
      <c r="V953" s="4"/>
      <c r="W953" s="4"/>
      <c r="X953" s="4"/>
      <c r="Y953" s="4"/>
      <c r="Z953" s="4"/>
      <c r="AA953" s="4"/>
    </row>
    <row r="954" spans="1:27" ht="12.75" x14ac:dyDescent="0.2">
      <c r="A954" s="16"/>
      <c r="B954" s="6"/>
      <c r="C954" s="6"/>
      <c r="D954" s="6"/>
      <c r="E954" s="4"/>
      <c r="F954" s="6"/>
      <c r="G954" s="6"/>
      <c r="H954" s="6"/>
      <c r="I954" s="6"/>
      <c r="J954" s="6"/>
      <c r="K954" s="6"/>
      <c r="L954" s="6"/>
      <c r="M954" s="6"/>
      <c r="N954" s="6"/>
      <c r="O954" s="16"/>
      <c r="P954" s="6"/>
      <c r="Q954" s="4"/>
      <c r="R954" s="4"/>
      <c r="S954" s="4"/>
      <c r="T954" s="4"/>
      <c r="U954" s="4"/>
      <c r="V954" s="4"/>
      <c r="W954" s="4"/>
      <c r="X954" s="4"/>
      <c r="Y954" s="4"/>
      <c r="Z954" s="4"/>
      <c r="AA954" s="4"/>
    </row>
    <row r="955" spans="1:27" ht="12.75" x14ac:dyDescent="0.2">
      <c r="A955" s="16"/>
      <c r="B955" s="6"/>
      <c r="C955" s="6"/>
      <c r="D955" s="6"/>
      <c r="E955" s="4"/>
      <c r="F955" s="6"/>
      <c r="G955" s="6"/>
      <c r="H955" s="6"/>
      <c r="I955" s="6"/>
      <c r="J955" s="6"/>
      <c r="K955" s="6"/>
      <c r="L955" s="6"/>
      <c r="M955" s="6"/>
      <c r="N955" s="6"/>
      <c r="O955" s="16"/>
      <c r="P955" s="6"/>
      <c r="Q955" s="4"/>
      <c r="R955" s="4"/>
      <c r="S955" s="4"/>
      <c r="T955" s="4"/>
      <c r="U955" s="4"/>
      <c r="V955" s="4"/>
      <c r="W955" s="4"/>
      <c r="X955" s="4"/>
      <c r="Y955" s="4"/>
      <c r="Z955" s="4"/>
      <c r="AA955" s="4"/>
    </row>
    <row r="956" spans="1:27" ht="12.75" x14ac:dyDescent="0.2">
      <c r="A956" s="16"/>
      <c r="B956" s="6"/>
      <c r="C956" s="6"/>
      <c r="D956" s="6"/>
      <c r="E956" s="4"/>
      <c r="F956" s="6"/>
      <c r="G956" s="6"/>
      <c r="H956" s="6"/>
      <c r="I956" s="6"/>
      <c r="J956" s="6"/>
      <c r="K956" s="6"/>
      <c r="L956" s="6"/>
      <c r="M956" s="6"/>
      <c r="N956" s="6"/>
      <c r="O956" s="16"/>
      <c r="P956" s="6"/>
      <c r="Q956" s="4"/>
      <c r="R956" s="4"/>
      <c r="S956" s="4"/>
      <c r="T956" s="4"/>
      <c r="U956" s="4"/>
      <c r="V956" s="4"/>
      <c r="W956" s="4"/>
      <c r="X956" s="4"/>
      <c r="Y956" s="4"/>
      <c r="Z956" s="4"/>
      <c r="AA956" s="4"/>
    </row>
    <row r="957" spans="1:27" ht="12.75" x14ac:dyDescent="0.2">
      <c r="A957" s="16"/>
      <c r="B957" s="6"/>
      <c r="C957" s="6"/>
      <c r="D957" s="6"/>
      <c r="E957" s="4"/>
      <c r="F957" s="6"/>
      <c r="G957" s="6"/>
      <c r="H957" s="6"/>
      <c r="I957" s="6"/>
      <c r="J957" s="6"/>
      <c r="K957" s="6"/>
      <c r="L957" s="6"/>
      <c r="M957" s="6"/>
      <c r="N957" s="6"/>
      <c r="O957" s="16"/>
      <c r="P957" s="6"/>
      <c r="Q957" s="4"/>
      <c r="R957" s="4"/>
      <c r="S957" s="4"/>
      <c r="T957" s="4"/>
      <c r="U957" s="4"/>
      <c r="V957" s="4"/>
      <c r="W957" s="4"/>
      <c r="X957" s="4"/>
      <c r="Y957" s="4"/>
      <c r="Z957" s="4"/>
      <c r="AA957" s="4"/>
    </row>
    <row r="958" spans="1:27" ht="12.75" x14ac:dyDescent="0.2">
      <c r="A958" s="16"/>
      <c r="B958" s="6"/>
      <c r="C958" s="6"/>
      <c r="D958" s="6"/>
      <c r="E958" s="4"/>
      <c r="F958" s="6"/>
      <c r="G958" s="6"/>
      <c r="H958" s="6"/>
      <c r="I958" s="6"/>
      <c r="J958" s="6"/>
      <c r="K958" s="6"/>
      <c r="L958" s="6"/>
      <c r="M958" s="6"/>
      <c r="N958" s="6"/>
      <c r="O958" s="16"/>
      <c r="P958" s="6"/>
      <c r="Q958" s="4"/>
      <c r="R958" s="4"/>
      <c r="S958" s="4"/>
      <c r="T958" s="4"/>
      <c r="U958" s="4"/>
      <c r="V958" s="4"/>
      <c r="W958" s="4"/>
      <c r="X958" s="4"/>
      <c r="Y958" s="4"/>
      <c r="Z958" s="4"/>
      <c r="AA958" s="4"/>
    </row>
    <row r="959" spans="1:27" ht="12.75" x14ac:dyDescent="0.2">
      <c r="A959" s="16"/>
      <c r="B959" s="6"/>
      <c r="C959" s="6"/>
      <c r="D959" s="6"/>
      <c r="E959" s="4"/>
      <c r="F959" s="6"/>
      <c r="G959" s="6"/>
      <c r="H959" s="6"/>
      <c r="I959" s="6"/>
      <c r="J959" s="6"/>
      <c r="K959" s="6"/>
      <c r="L959" s="6"/>
      <c r="M959" s="6"/>
      <c r="N959" s="6"/>
      <c r="O959" s="16"/>
      <c r="P959" s="6"/>
      <c r="Q959" s="4"/>
      <c r="R959" s="4"/>
      <c r="S959" s="4"/>
      <c r="T959" s="4"/>
      <c r="U959" s="4"/>
      <c r="V959" s="4"/>
      <c r="W959" s="4"/>
      <c r="X959" s="4"/>
      <c r="Y959" s="4"/>
      <c r="Z959" s="4"/>
      <c r="AA959" s="4"/>
    </row>
    <row r="960" spans="1:27" ht="12.75" x14ac:dyDescent="0.2">
      <c r="A960" s="16"/>
      <c r="B960" s="6"/>
      <c r="C960" s="6"/>
      <c r="D960" s="6"/>
      <c r="E960" s="4"/>
      <c r="F960" s="6"/>
      <c r="G960" s="6"/>
      <c r="H960" s="6"/>
      <c r="I960" s="6"/>
      <c r="J960" s="6"/>
      <c r="K960" s="6"/>
      <c r="L960" s="6"/>
      <c r="M960" s="6"/>
      <c r="N960" s="6"/>
      <c r="O960" s="16"/>
      <c r="P960" s="6"/>
      <c r="Q960" s="4"/>
      <c r="R960" s="4"/>
      <c r="S960" s="4"/>
      <c r="T960" s="4"/>
      <c r="U960" s="4"/>
      <c r="V960" s="4"/>
      <c r="W960" s="4"/>
      <c r="X960" s="4"/>
      <c r="Y960" s="4"/>
      <c r="Z960" s="4"/>
      <c r="AA960" s="4"/>
    </row>
    <row r="961" spans="1:27" ht="12.75" x14ac:dyDescent="0.2">
      <c r="A961" s="16"/>
      <c r="B961" s="6"/>
      <c r="C961" s="6"/>
      <c r="D961" s="6"/>
      <c r="E961" s="4"/>
      <c r="F961" s="6"/>
      <c r="G961" s="6"/>
      <c r="H961" s="6"/>
      <c r="I961" s="6"/>
      <c r="J961" s="6"/>
      <c r="K961" s="6"/>
      <c r="L961" s="6"/>
      <c r="M961" s="6"/>
      <c r="N961" s="6"/>
      <c r="O961" s="16"/>
      <c r="P961" s="6"/>
      <c r="Q961" s="4"/>
      <c r="R961" s="4"/>
      <c r="S961" s="4"/>
      <c r="T961" s="4"/>
      <c r="U961" s="4"/>
      <c r="V961" s="4"/>
      <c r="W961" s="4"/>
      <c r="X961" s="4"/>
      <c r="Y961" s="4"/>
      <c r="Z961" s="4"/>
      <c r="AA961" s="4"/>
    </row>
    <row r="962" spans="1:27" ht="12.75" x14ac:dyDescent="0.2">
      <c r="A962" s="16"/>
      <c r="B962" s="6"/>
      <c r="C962" s="6"/>
      <c r="D962" s="6"/>
      <c r="E962" s="4"/>
      <c r="F962" s="6"/>
      <c r="G962" s="6"/>
      <c r="H962" s="6"/>
      <c r="I962" s="6"/>
      <c r="J962" s="6"/>
      <c r="K962" s="6"/>
      <c r="L962" s="6"/>
      <c r="M962" s="6"/>
      <c r="N962" s="6"/>
      <c r="O962" s="16"/>
      <c r="P962" s="6"/>
      <c r="Q962" s="4"/>
      <c r="R962" s="4"/>
      <c r="S962" s="4"/>
      <c r="T962" s="4"/>
      <c r="U962" s="4"/>
      <c r="V962" s="4"/>
      <c r="W962" s="4"/>
      <c r="X962" s="4"/>
      <c r="Y962" s="4"/>
      <c r="Z962" s="4"/>
      <c r="AA962" s="4"/>
    </row>
    <row r="963" spans="1:27" ht="12.75" x14ac:dyDescent="0.2">
      <c r="A963" s="16"/>
      <c r="B963" s="6"/>
      <c r="C963" s="6"/>
      <c r="D963" s="6"/>
      <c r="E963" s="4"/>
      <c r="F963" s="6"/>
      <c r="G963" s="6"/>
      <c r="H963" s="6"/>
      <c r="I963" s="6"/>
      <c r="J963" s="6"/>
      <c r="K963" s="6"/>
      <c r="L963" s="6"/>
      <c r="M963" s="6"/>
      <c r="N963" s="6"/>
      <c r="O963" s="16"/>
      <c r="P963" s="6"/>
      <c r="Q963" s="4"/>
      <c r="R963" s="4"/>
      <c r="S963" s="4"/>
      <c r="T963" s="4"/>
      <c r="U963" s="4"/>
      <c r="V963" s="4"/>
      <c r="W963" s="4"/>
      <c r="X963" s="4"/>
      <c r="Y963" s="4"/>
      <c r="Z963" s="4"/>
      <c r="AA963" s="4"/>
    </row>
    <row r="964" spans="1:27" ht="12.75" x14ac:dyDescent="0.2">
      <c r="A964" s="16"/>
      <c r="B964" s="6"/>
      <c r="C964" s="6"/>
      <c r="D964" s="6"/>
      <c r="E964" s="4"/>
      <c r="F964" s="6"/>
      <c r="G964" s="6"/>
      <c r="H964" s="6"/>
      <c r="I964" s="6"/>
      <c r="J964" s="6"/>
      <c r="K964" s="6"/>
      <c r="L964" s="6"/>
      <c r="M964" s="6"/>
      <c r="N964" s="6"/>
      <c r="O964" s="16"/>
      <c r="P964" s="6"/>
      <c r="Q964" s="4"/>
      <c r="R964" s="4"/>
      <c r="S964" s="4"/>
      <c r="T964" s="4"/>
      <c r="U964" s="4"/>
      <c r="V964" s="4"/>
      <c r="W964" s="4"/>
      <c r="X964" s="4"/>
      <c r="Y964" s="4"/>
      <c r="Z964" s="4"/>
      <c r="AA964" s="4"/>
    </row>
    <row r="965" spans="1:27" ht="12.75" x14ac:dyDescent="0.2">
      <c r="A965" s="16"/>
      <c r="B965" s="6"/>
      <c r="C965" s="6"/>
      <c r="D965" s="6"/>
      <c r="E965" s="4"/>
      <c r="F965" s="6"/>
      <c r="G965" s="6"/>
      <c r="H965" s="6"/>
      <c r="I965" s="6"/>
      <c r="J965" s="6"/>
      <c r="K965" s="6"/>
      <c r="L965" s="6"/>
      <c r="M965" s="6"/>
      <c r="N965" s="6"/>
      <c r="O965" s="16"/>
      <c r="P965" s="6"/>
      <c r="Q965" s="4"/>
      <c r="R965" s="4"/>
      <c r="S965" s="4"/>
      <c r="T965" s="4"/>
      <c r="U965" s="4"/>
      <c r="V965" s="4"/>
      <c r="W965" s="4"/>
      <c r="X965" s="4"/>
      <c r="Y965" s="4"/>
      <c r="Z965" s="4"/>
      <c r="AA965" s="4"/>
    </row>
    <row r="966" spans="1:27" ht="12.75" x14ac:dyDescent="0.2">
      <c r="A966" s="16"/>
      <c r="B966" s="6"/>
      <c r="C966" s="6"/>
      <c r="D966" s="6"/>
      <c r="E966" s="4"/>
      <c r="F966" s="6"/>
      <c r="G966" s="6"/>
      <c r="H966" s="6"/>
      <c r="I966" s="6"/>
      <c r="J966" s="6"/>
      <c r="K966" s="6"/>
      <c r="L966" s="6"/>
      <c r="M966" s="6"/>
      <c r="N966" s="6"/>
      <c r="O966" s="16"/>
      <c r="P966" s="6"/>
      <c r="Q966" s="4"/>
      <c r="R966" s="4"/>
      <c r="S966" s="4"/>
      <c r="T966" s="4"/>
      <c r="U966" s="4"/>
      <c r="V966" s="4"/>
      <c r="W966" s="4"/>
      <c r="X966" s="4"/>
      <c r="Y966" s="4"/>
      <c r="Z966" s="4"/>
      <c r="AA966" s="4"/>
    </row>
    <row r="967" spans="1:27" ht="12.75" x14ac:dyDescent="0.2">
      <c r="A967" s="16"/>
      <c r="B967" s="6"/>
      <c r="C967" s="6"/>
      <c r="D967" s="6"/>
      <c r="E967" s="4"/>
      <c r="F967" s="6"/>
      <c r="G967" s="6"/>
      <c r="H967" s="6"/>
      <c r="I967" s="6"/>
      <c r="J967" s="6"/>
      <c r="K967" s="6"/>
      <c r="L967" s="6"/>
      <c r="M967" s="6"/>
      <c r="N967" s="6"/>
      <c r="O967" s="16"/>
      <c r="P967" s="6"/>
      <c r="Q967" s="4"/>
      <c r="R967" s="4"/>
      <c r="S967" s="4"/>
      <c r="T967" s="4"/>
      <c r="U967" s="4"/>
      <c r="V967" s="4"/>
      <c r="W967" s="4"/>
      <c r="X967" s="4"/>
      <c r="Y967" s="4"/>
      <c r="Z967" s="4"/>
      <c r="AA967" s="4"/>
    </row>
    <row r="968" spans="1:27" ht="12.75" x14ac:dyDescent="0.2">
      <c r="A968" s="16"/>
      <c r="B968" s="6"/>
      <c r="C968" s="6"/>
      <c r="D968" s="6"/>
      <c r="E968" s="4"/>
      <c r="F968" s="6"/>
      <c r="G968" s="6"/>
      <c r="H968" s="6"/>
      <c r="I968" s="6"/>
      <c r="J968" s="6"/>
      <c r="K968" s="6"/>
      <c r="L968" s="6"/>
      <c r="M968" s="6"/>
      <c r="N968" s="6"/>
      <c r="O968" s="16"/>
      <c r="P968" s="6"/>
      <c r="Q968" s="4"/>
      <c r="R968" s="4"/>
      <c r="S968" s="4"/>
      <c r="T968" s="4"/>
      <c r="U968" s="4"/>
      <c r="V968" s="4"/>
      <c r="W968" s="4"/>
      <c r="X968" s="4"/>
      <c r="Y968" s="4"/>
      <c r="Z968" s="4"/>
      <c r="AA968" s="4"/>
    </row>
    <row r="969" spans="1:27" ht="12.75" x14ac:dyDescent="0.2">
      <c r="A969" s="16"/>
      <c r="B969" s="6"/>
      <c r="C969" s="6"/>
      <c r="D969" s="6"/>
      <c r="E969" s="4"/>
      <c r="F969" s="6"/>
      <c r="G969" s="6"/>
      <c r="H969" s="6"/>
      <c r="I969" s="6"/>
      <c r="J969" s="6"/>
      <c r="K969" s="6"/>
      <c r="L969" s="6"/>
      <c r="M969" s="6"/>
      <c r="N969" s="6"/>
      <c r="O969" s="16"/>
      <c r="P969" s="6"/>
      <c r="Q969" s="4"/>
      <c r="R969" s="4"/>
      <c r="S969" s="4"/>
      <c r="T969" s="4"/>
      <c r="U969" s="4"/>
      <c r="V969" s="4"/>
      <c r="W969" s="4"/>
      <c r="X969" s="4"/>
      <c r="Y969" s="4"/>
      <c r="Z969" s="4"/>
      <c r="AA969" s="4"/>
    </row>
    <row r="970" spans="1:27" ht="12.75" x14ac:dyDescent="0.2">
      <c r="A970" s="16"/>
      <c r="B970" s="6"/>
      <c r="C970" s="6"/>
      <c r="D970" s="6"/>
      <c r="E970" s="4"/>
      <c r="F970" s="6"/>
      <c r="G970" s="6"/>
      <c r="H970" s="6"/>
      <c r="I970" s="6"/>
      <c r="J970" s="6"/>
      <c r="K970" s="6"/>
      <c r="L970" s="6"/>
      <c r="M970" s="6"/>
      <c r="N970" s="6"/>
      <c r="O970" s="16"/>
      <c r="P970" s="6"/>
      <c r="Q970" s="4"/>
      <c r="R970" s="4"/>
      <c r="S970" s="4"/>
      <c r="T970" s="4"/>
      <c r="U970" s="4"/>
      <c r="V970" s="4"/>
      <c r="W970" s="4"/>
      <c r="X970" s="4"/>
      <c r="Y970" s="4"/>
      <c r="Z970" s="4"/>
      <c r="AA970" s="4"/>
    </row>
    <row r="971" spans="1:27" ht="12.75" x14ac:dyDescent="0.2">
      <c r="A971" s="16"/>
      <c r="B971" s="6"/>
      <c r="C971" s="6"/>
      <c r="D971" s="6"/>
      <c r="E971" s="4"/>
      <c r="F971" s="6"/>
      <c r="G971" s="6"/>
      <c r="H971" s="6"/>
      <c r="I971" s="6"/>
      <c r="J971" s="6"/>
      <c r="K971" s="6"/>
      <c r="L971" s="6"/>
      <c r="M971" s="6"/>
      <c r="N971" s="6"/>
      <c r="O971" s="16"/>
      <c r="P971" s="6"/>
      <c r="Q971" s="4"/>
      <c r="R971" s="4"/>
      <c r="S971" s="4"/>
      <c r="T971" s="4"/>
      <c r="U971" s="4"/>
      <c r="V971" s="4"/>
      <c r="W971" s="4"/>
      <c r="X971" s="4"/>
      <c r="Y971" s="4"/>
      <c r="Z971" s="4"/>
      <c r="AA971" s="4"/>
    </row>
    <row r="972" spans="1:27" ht="12.75" x14ac:dyDescent="0.2">
      <c r="A972" s="16"/>
      <c r="B972" s="6"/>
      <c r="C972" s="6"/>
      <c r="D972" s="6"/>
      <c r="E972" s="4"/>
      <c r="F972" s="6"/>
      <c r="G972" s="6"/>
      <c r="H972" s="6"/>
      <c r="I972" s="6"/>
      <c r="J972" s="6"/>
      <c r="K972" s="6"/>
      <c r="L972" s="6"/>
      <c r="M972" s="6"/>
      <c r="N972" s="6"/>
      <c r="O972" s="16"/>
      <c r="P972" s="6"/>
      <c r="Q972" s="4"/>
      <c r="R972" s="4"/>
      <c r="S972" s="4"/>
      <c r="T972" s="4"/>
      <c r="U972" s="4"/>
      <c r="V972" s="4"/>
      <c r="W972" s="4"/>
      <c r="X972" s="4"/>
      <c r="Y972" s="4"/>
      <c r="Z972" s="4"/>
      <c r="AA972" s="4"/>
    </row>
    <row r="973" spans="1:27" ht="12.75" x14ac:dyDescent="0.2">
      <c r="A973" s="16"/>
      <c r="B973" s="6"/>
      <c r="C973" s="6"/>
      <c r="D973" s="6"/>
      <c r="E973" s="4"/>
      <c r="F973" s="6"/>
      <c r="G973" s="6"/>
      <c r="H973" s="6"/>
      <c r="I973" s="6"/>
      <c r="J973" s="6"/>
      <c r="K973" s="6"/>
      <c r="L973" s="6"/>
      <c r="M973" s="6"/>
      <c r="N973" s="6"/>
      <c r="O973" s="16"/>
      <c r="P973" s="6"/>
      <c r="Q973" s="4"/>
      <c r="R973" s="4"/>
      <c r="S973" s="4"/>
      <c r="T973" s="4"/>
      <c r="U973" s="4"/>
      <c r="V973" s="4"/>
      <c r="W973" s="4"/>
      <c r="X973" s="4"/>
      <c r="Y973" s="4"/>
      <c r="Z973" s="4"/>
      <c r="AA973" s="4"/>
    </row>
    <row r="974" spans="1:27" ht="12.75" x14ac:dyDescent="0.2">
      <c r="A974" s="16"/>
      <c r="B974" s="6"/>
      <c r="C974" s="6"/>
      <c r="D974" s="6"/>
      <c r="E974" s="4"/>
      <c r="F974" s="6"/>
      <c r="G974" s="6"/>
      <c r="H974" s="6"/>
      <c r="I974" s="6"/>
      <c r="J974" s="6"/>
      <c r="K974" s="6"/>
      <c r="L974" s="6"/>
      <c r="M974" s="6"/>
      <c r="N974" s="6"/>
      <c r="O974" s="16"/>
      <c r="P974" s="6"/>
      <c r="Q974" s="4"/>
      <c r="R974" s="4"/>
      <c r="S974" s="4"/>
      <c r="T974" s="4"/>
      <c r="U974" s="4"/>
      <c r="V974" s="4"/>
      <c r="W974" s="4"/>
      <c r="X974" s="4"/>
      <c r="Y974" s="4"/>
      <c r="Z974" s="4"/>
      <c r="AA974" s="4"/>
    </row>
    <row r="975" spans="1:27" ht="12.75" x14ac:dyDescent="0.2">
      <c r="A975" s="16"/>
      <c r="B975" s="6"/>
      <c r="C975" s="6"/>
      <c r="D975" s="6"/>
      <c r="E975" s="4"/>
      <c r="F975" s="6"/>
      <c r="G975" s="6"/>
      <c r="H975" s="6"/>
      <c r="I975" s="6"/>
      <c r="J975" s="6"/>
      <c r="K975" s="6"/>
      <c r="L975" s="6"/>
      <c r="M975" s="6"/>
      <c r="N975" s="6"/>
      <c r="O975" s="16"/>
      <c r="P975" s="6"/>
      <c r="Q975" s="4"/>
      <c r="R975" s="4"/>
      <c r="S975" s="4"/>
      <c r="T975" s="4"/>
      <c r="U975" s="4"/>
      <c r="V975" s="4"/>
      <c r="W975" s="4"/>
      <c r="X975" s="4"/>
      <c r="Y975" s="4"/>
      <c r="Z975" s="4"/>
      <c r="AA975" s="4"/>
    </row>
    <row r="976" spans="1:27" ht="12.75" x14ac:dyDescent="0.2">
      <c r="A976" s="16"/>
      <c r="B976" s="6"/>
      <c r="C976" s="6"/>
      <c r="D976" s="6"/>
      <c r="E976" s="4"/>
      <c r="F976" s="6"/>
      <c r="G976" s="6"/>
      <c r="H976" s="6"/>
      <c r="I976" s="6"/>
      <c r="J976" s="6"/>
      <c r="K976" s="6"/>
      <c r="L976" s="6"/>
      <c r="M976" s="6"/>
      <c r="N976" s="6"/>
      <c r="O976" s="16"/>
      <c r="P976" s="6"/>
      <c r="Q976" s="4"/>
      <c r="R976" s="4"/>
      <c r="S976" s="4"/>
      <c r="T976" s="4"/>
      <c r="U976" s="4"/>
      <c r="V976" s="4"/>
      <c r="W976" s="4"/>
      <c r="X976" s="4"/>
      <c r="Y976" s="4"/>
      <c r="Z976" s="4"/>
      <c r="AA976" s="4"/>
    </row>
    <row r="977" spans="1:27" ht="12.75" x14ac:dyDescent="0.2">
      <c r="A977" s="16"/>
      <c r="B977" s="6"/>
      <c r="C977" s="6"/>
      <c r="D977" s="6"/>
      <c r="E977" s="4"/>
      <c r="F977" s="6"/>
      <c r="G977" s="6"/>
      <c r="H977" s="6"/>
      <c r="I977" s="6"/>
      <c r="J977" s="6"/>
      <c r="K977" s="6"/>
      <c r="L977" s="6"/>
      <c r="M977" s="6"/>
      <c r="N977" s="6"/>
      <c r="O977" s="16"/>
      <c r="P977" s="6"/>
      <c r="Q977" s="4"/>
      <c r="R977" s="4"/>
      <c r="S977" s="4"/>
      <c r="T977" s="4"/>
      <c r="U977" s="4"/>
      <c r="V977" s="4"/>
      <c r="W977" s="4"/>
      <c r="X977" s="4"/>
      <c r="Y977" s="4"/>
      <c r="Z977" s="4"/>
      <c r="AA977" s="4"/>
    </row>
    <row r="978" spans="1:27" ht="12.75" x14ac:dyDescent="0.2">
      <c r="A978" s="16"/>
      <c r="B978" s="6"/>
      <c r="C978" s="6"/>
      <c r="D978" s="6"/>
      <c r="E978" s="4"/>
      <c r="F978" s="6"/>
      <c r="G978" s="6"/>
      <c r="H978" s="6"/>
      <c r="I978" s="6"/>
      <c r="J978" s="6"/>
      <c r="K978" s="6"/>
      <c r="L978" s="6"/>
      <c r="M978" s="6"/>
      <c r="N978" s="6"/>
      <c r="O978" s="16"/>
      <c r="P978" s="6"/>
      <c r="Q978" s="4"/>
      <c r="R978" s="4"/>
      <c r="S978" s="4"/>
      <c r="T978" s="4"/>
      <c r="U978" s="4"/>
      <c r="V978" s="4"/>
      <c r="W978" s="4"/>
      <c r="X978" s="4"/>
      <c r="Y978" s="4"/>
      <c r="Z978" s="4"/>
      <c r="AA978" s="4"/>
    </row>
    <row r="979" spans="1:27" ht="12.75" x14ac:dyDescent="0.2">
      <c r="A979" s="16"/>
      <c r="B979" s="6"/>
      <c r="C979" s="6"/>
      <c r="D979" s="6"/>
      <c r="E979" s="4"/>
      <c r="F979" s="6"/>
      <c r="G979" s="6"/>
      <c r="H979" s="6"/>
      <c r="I979" s="6"/>
      <c r="J979" s="6"/>
      <c r="K979" s="6"/>
      <c r="L979" s="6"/>
      <c r="M979" s="6"/>
      <c r="N979" s="6"/>
      <c r="O979" s="16"/>
      <c r="P979" s="6"/>
      <c r="Q979" s="4"/>
      <c r="R979" s="4"/>
      <c r="S979" s="4"/>
      <c r="T979" s="4"/>
      <c r="U979" s="4"/>
      <c r="V979" s="4"/>
      <c r="W979" s="4"/>
      <c r="X979" s="4"/>
      <c r="Y979" s="4"/>
      <c r="Z979" s="4"/>
      <c r="AA979" s="4"/>
    </row>
    <row r="980" spans="1:27" ht="12.75" x14ac:dyDescent="0.2">
      <c r="A980" s="16"/>
      <c r="B980" s="6"/>
      <c r="C980" s="6"/>
      <c r="D980" s="6"/>
      <c r="E980" s="4"/>
      <c r="F980" s="6"/>
      <c r="G980" s="6"/>
      <c r="H980" s="6"/>
      <c r="I980" s="6"/>
      <c r="J980" s="6"/>
      <c r="K980" s="6"/>
      <c r="L980" s="6"/>
      <c r="M980" s="6"/>
      <c r="N980" s="6"/>
      <c r="O980" s="16"/>
      <c r="P980" s="6"/>
      <c r="Q980" s="4"/>
      <c r="R980" s="4"/>
      <c r="S980" s="4"/>
      <c r="T980" s="4"/>
      <c r="U980" s="4"/>
      <c r="V980" s="4"/>
      <c r="W980" s="4"/>
      <c r="X980" s="4"/>
      <c r="Y980" s="4"/>
      <c r="Z980" s="4"/>
      <c r="AA980" s="4"/>
    </row>
    <row r="981" spans="1:27" ht="12.75" x14ac:dyDescent="0.2">
      <c r="A981" s="16"/>
      <c r="B981" s="6"/>
      <c r="C981" s="6"/>
      <c r="D981" s="6"/>
      <c r="E981" s="4"/>
      <c r="F981" s="6"/>
      <c r="G981" s="6"/>
      <c r="H981" s="6"/>
      <c r="I981" s="6"/>
      <c r="J981" s="6"/>
      <c r="K981" s="6"/>
      <c r="L981" s="6"/>
      <c r="M981" s="6"/>
      <c r="N981" s="6"/>
      <c r="O981" s="16"/>
      <c r="P981" s="6"/>
      <c r="Q981" s="4"/>
      <c r="R981" s="4"/>
      <c r="S981" s="4"/>
      <c r="T981" s="4"/>
      <c r="U981" s="4"/>
      <c r="V981" s="4"/>
      <c r="W981" s="4"/>
      <c r="X981" s="4"/>
      <c r="Y981" s="4"/>
      <c r="Z981" s="4"/>
      <c r="AA981" s="4"/>
    </row>
    <row r="982" spans="1:27" ht="12.75" x14ac:dyDescent="0.2">
      <c r="A982" s="16"/>
      <c r="B982" s="6"/>
      <c r="C982" s="6"/>
      <c r="D982" s="6"/>
      <c r="E982" s="4"/>
      <c r="F982" s="6"/>
      <c r="G982" s="6"/>
      <c r="H982" s="6"/>
      <c r="I982" s="6"/>
      <c r="J982" s="6"/>
      <c r="K982" s="6"/>
      <c r="L982" s="6"/>
      <c r="M982" s="6"/>
      <c r="N982" s="6"/>
      <c r="O982" s="16"/>
      <c r="P982" s="6"/>
      <c r="Q982" s="4"/>
      <c r="R982" s="4"/>
      <c r="S982" s="4"/>
      <c r="T982" s="4"/>
      <c r="U982" s="4"/>
      <c r="V982" s="4"/>
      <c r="W982" s="4"/>
      <c r="X982" s="4"/>
      <c r="Y982" s="4"/>
      <c r="Z982" s="4"/>
      <c r="AA982" s="4"/>
    </row>
    <row r="983" spans="1:27" ht="12.75" x14ac:dyDescent="0.2">
      <c r="A983" s="16"/>
      <c r="B983" s="6"/>
      <c r="C983" s="6"/>
      <c r="D983" s="6"/>
      <c r="E983" s="4"/>
      <c r="F983" s="6"/>
      <c r="G983" s="6"/>
      <c r="H983" s="6"/>
      <c r="I983" s="6"/>
      <c r="J983" s="6"/>
      <c r="K983" s="6"/>
      <c r="L983" s="6"/>
      <c r="M983" s="6"/>
      <c r="N983" s="6"/>
      <c r="O983" s="16"/>
      <c r="P983" s="6"/>
      <c r="Q983" s="4"/>
      <c r="R983" s="4"/>
      <c r="S983" s="4"/>
      <c r="T983" s="4"/>
      <c r="U983" s="4"/>
      <c r="V983" s="4"/>
      <c r="W983" s="4"/>
      <c r="X983" s="4"/>
      <c r="Y983" s="4"/>
      <c r="Z983" s="4"/>
      <c r="AA983" s="4"/>
    </row>
    <row r="984" spans="1:27" ht="12.75" x14ac:dyDescent="0.2">
      <c r="A984" s="16"/>
      <c r="B984" s="6"/>
      <c r="C984" s="6"/>
      <c r="D984" s="6"/>
      <c r="E984" s="4"/>
      <c r="F984" s="6"/>
      <c r="G984" s="6"/>
      <c r="H984" s="6"/>
      <c r="I984" s="6"/>
      <c r="J984" s="6"/>
      <c r="K984" s="6"/>
      <c r="L984" s="6"/>
      <c r="M984" s="6"/>
      <c r="N984" s="6"/>
      <c r="O984" s="16"/>
      <c r="P984" s="6"/>
      <c r="Q984" s="4"/>
      <c r="R984" s="4"/>
      <c r="S984" s="4"/>
      <c r="T984" s="4"/>
      <c r="U984" s="4"/>
      <c r="V984" s="4"/>
      <c r="W984" s="4"/>
      <c r="X984" s="4"/>
      <c r="Y984" s="4"/>
      <c r="Z984" s="4"/>
      <c r="AA984" s="4"/>
    </row>
    <row r="985" spans="1:27" ht="12.75" x14ac:dyDescent="0.2">
      <c r="A985" s="16"/>
      <c r="B985" s="6"/>
      <c r="C985" s="6"/>
      <c r="D985" s="6"/>
      <c r="E985" s="4"/>
      <c r="F985" s="6"/>
      <c r="G985" s="6"/>
      <c r="H985" s="6"/>
      <c r="I985" s="6"/>
      <c r="J985" s="6"/>
      <c r="K985" s="6"/>
      <c r="L985" s="6"/>
      <c r="M985" s="6"/>
      <c r="N985" s="6"/>
      <c r="O985" s="16"/>
      <c r="P985" s="6"/>
      <c r="Q985" s="4"/>
      <c r="R985" s="4"/>
      <c r="S985" s="4"/>
      <c r="T985" s="4"/>
      <c r="U985" s="4"/>
      <c r="V985" s="4"/>
      <c r="W985" s="4"/>
      <c r="X985" s="4"/>
      <c r="Y985" s="4"/>
      <c r="Z985" s="4"/>
      <c r="AA985" s="4"/>
    </row>
    <row r="986" spans="1:27" ht="12.75" x14ac:dyDescent="0.2">
      <c r="A986" s="16"/>
      <c r="B986" s="6"/>
      <c r="C986" s="6"/>
      <c r="D986" s="6"/>
      <c r="E986" s="4"/>
      <c r="F986" s="6"/>
      <c r="G986" s="6"/>
      <c r="H986" s="6"/>
      <c r="I986" s="6"/>
      <c r="J986" s="6"/>
      <c r="K986" s="6"/>
      <c r="L986" s="6"/>
      <c r="M986" s="6"/>
      <c r="N986" s="6"/>
      <c r="O986" s="16"/>
      <c r="P986" s="6"/>
      <c r="Q986" s="4"/>
      <c r="R986" s="4"/>
      <c r="S986" s="4"/>
      <c r="T986" s="4"/>
      <c r="U986" s="4"/>
      <c r="V986" s="4"/>
      <c r="W986" s="4"/>
      <c r="X986" s="4"/>
      <c r="Y986" s="4"/>
      <c r="Z986" s="4"/>
      <c r="AA986" s="4"/>
    </row>
    <row r="987" spans="1:27" ht="12.75" x14ac:dyDescent="0.2">
      <c r="A987" s="16"/>
      <c r="B987" s="6"/>
      <c r="C987" s="6"/>
      <c r="D987" s="6"/>
      <c r="E987" s="4"/>
      <c r="F987" s="6"/>
      <c r="G987" s="6"/>
      <c r="H987" s="6"/>
      <c r="I987" s="6"/>
      <c r="J987" s="6"/>
      <c r="K987" s="6"/>
      <c r="L987" s="6"/>
      <c r="M987" s="6"/>
      <c r="N987" s="6"/>
      <c r="O987" s="16"/>
      <c r="P987" s="6"/>
      <c r="Q987" s="4"/>
      <c r="R987" s="4"/>
      <c r="S987" s="4"/>
      <c r="T987" s="4"/>
      <c r="U987" s="4"/>
      <c r="V987" s="4"/>
      <c r="W987" s="4"/>
      <c r="X987" s="4"/>
      <c r="Y987" s="4"/>
      <c r="Z987" s="4"/>
      <c r="AA987" s="4"/>
    </row>
    <row r="988" spans="1:27" ht="12.75" x14ac:dyDescent="0.2">
      <c r="A988" s="16"/>
      <c r="B988" s="6"/>
      <c r="C988" s="6"/>
      <c r="D988" s="6"/>
      <c r="E988" s="4"/>
      <c r="F988" s="6"/>
      <c r="G988" s="6"/>
      <c r="H988" s="6"/>
      <c r="I988" s="6"/>
      <c r="J988" s="6"/>
      <c r="K988" s="6"/>
      <c r="L988" s="6"/>
      <c r="M988" s="6"/>
      <c r="N988" s="6"/>
      <c r="O988" s="16"/>
      <c r="P988" s="6"/>
      <c r="Q988" s="4"/>
      <c r="R988" s="4"/>
      <c r="S988" s="4"/>
      <c r="T988" s="4"/>
      <c r="U988" s="4"/>
      <c r="V988" s="4"/>
      <c r="W988" s="4"/>
      <c r="X988" s="4"/>
      <c r="Y988" s="4"/>
      <c r="Z988" s="4"/>
      <c r="AA988" s="4"/>
    </row>
    <row r="989" spans="1:27" ht="12.75" x14ac:dyDescent="0.2">
      <c r="A989" s="16"/>
      <c r="B989" s="6"/>
      <c r="C989" s="6"/>
      <c r="D989" s="6"/>
      <c r="E989" s="4"/>
      <c r="F989" s="6"/>
      <c r="G989" s="6"/>
      <c r="H989" s="6"/>
      <c r="I989" s="6"/>
      <c r="J989" s="6"/>
      <c r="K989" s="6"/>
      <c r="L989" s="6"/>
      <c r="M989" s="6"/>
      <c r="N989" s="6"/>
      <c r="O989" s="16"/>
      <c r="P989" s="6"/>
      <c r="Q989" s="4"/>
      <c r="R989" s="4"/>
      <c r="S989" s="4"/>
      <c r="T989" s="4"/>
      <c r="U989" s="4"/>
      <c r="V989" s="4"/>
      <c r="W989" s="4"/>
      <c r="X989" s="4"/>
      <c r="Y989" s="4"/>
      <c r="Z989" s="4"/>
      <c r="AA989" s="4"/>
    </row>
    <row r="990" spans="1:27" ht="12.75" x14ac:dyDescent="0.2">
      <c r="A990" s="16"/>
      <c r="B990" s="6"/>
      <c r="C990" s="6"/>
      <c r="D990" s="6"/>
      <c r="E990" s="4"/>
      <c r="F990" s="6"/>
      <c r="G990" s="6"/>
      <c r="H990" s="6"/>
      <c r="I990" s="6"/>
      <c r="J990" s="6"/>
      <c r="K990" s="6"/>
      <c r="L990" s="6"/>
      <c r="M990" s="6"/>
      <c r="N990" s="6"/>
      <c r="O990" s="16"/>
      <c r="P990" s="6"/>
      <c r="Q990" s="4"/>
      <c r="R990" s="4"/>
      <c r="S990" s="4"/>
      <c r="T990" s="4"/>
      <c r="U990" s="4"/>
      <c r="V990" s="4"/>
      <c r="W990" s="4"/>
      <c r="X990" s="4"/>
      <c r="Y990" s="4"/>
      <c r="Z990" s="4"/>
      <c r="AA990" s="4"/>
    </row>
    <row r="991" spans="1:27" ht="12.75" x14ac:dyDescent="0.2">
      <c r="A991" s="16"/>
      <c r="B991" s="6"/>
      <c r="C991" s="6"/>
      <c r="D991" s="6"/>
      <c r="E991" s="4"/>
      <c r="F991" s="6"/>
      <c r="G991" s="6"/>
      <c r="H991" s="6"/>
      <c r="I991" s="6"/>
      <c r="J991" s="6"/>
      <c r="K991" s="6"/>
      <c r="L991" s="6"/>
      <c r="M991" s="6"/>
      <c r="N991" s="6"/>
      <c r="O991" s="16"/>
      <c r="P991" s="6"/>
      <c r="Q991" s="4"/>
      <c r="R991" s="4"/>
      <c r="S991" s="4"/>
      <c r="T991" s="4"/>
      <c r="U991" s="4"/>
      <c r="V991" s="4"/>
      <c r="W991" s="4"/>
      <c r="X991" s="4"/>
      <c r="Y991" s="4"/>
      <c r="Z991" s="4"/>
      <c r="AA991" s="4"/>
    </row>
    <row r="992" spans="1:27" ht="12.75" x14ac:dyDescent="0.2">
      <c r="A992" s="16"/>
      <c r="B992" s="6"/>
      <c r="C992" s="6"/>
      <c r="D992" s="6"/>
      <c r="E992" s="4"/>
      <c r="F992" s="6"/>
      <c r="G992" s="6"/>
      <c r="H992" s="6"/>
      <c r="I992" s="6"/>
      <c r="J992" s="6"/>
      <c r="K992" s="6"/>
      <c r="L992" s="6"/>
      <c r="M992" s="6"/>
      <c r="N992" s="6"/>
      <c r="O992" s="16"/>
      <c r="P992" s="6"/>
      <c r="Q992" s="4"/>
      <c r="R992" s="4"/>
      <c r="S992" s="4"/>
      <c r="T992" s="4"/>
      <c r="U992" s="4"/>
      <c r="V992" s="4"/>
      <c r="W992" s="4"/>
      <c r="X992" s="4"/>
      <c r="Y992" s="4"/>
      <c r="Z992" s="4"/>
      <c r="AA992" s="4"/>
    </row>
    <row r="993" spans="1:27" ht="12.75" x14ac:dyDescent="0.2">
      <c r="A993" s="16"/>
      <c r="B993" s="6"/>
      <c r="C993" s="6"/>
      <c r="D993" s="6"/>
      <c r="E993" s="4"/>
      <c r="F993" s="6"/>
      <c r="G993" s="6"/>
      <c r="H993" s="6"/>
      <c r="I993" s="6"/>
      <c r="J993" s="6"/>
      <c r="K993" s="6"/>
      <c r="L993" s="6"/>
      <c r="M993" s="6"/>
      <c r="N993" s="6"/>
      <c r="O993" s="16"/>
      <c r="P993" s="6"/>
      <c r="Q993" s="4"/>
      <c r="R993" s="4"/>
      <c r="S993" s="4"/>
      <c r="T993" s="4"/>
      <c r="U993" s="4"/>
      <c r="V993" s="4"/>
      <c r="W993" s="4"/>
      <c r="X993" s="4"/>
      <c r="Y993" s="4"/>
      <c r="Z993" s="4"/>
      <c r="AA993" s="4"/>
    </row>
    <row r="994" spans="1:27" ht="12.75" x14ac:dyDescent="0.2">
      <c r="A994" s="16"/>
      <c r="B994" s="6"/>
      <c r="C994" s="6"/>
      <c r="D994" s="6"/>
      <c r="E994" s="4"/>
      <c r="F994" s="6"/>
      <c r="G994" s="6"/>
      <c r="H994" s="6"/>
      <c r="I994" s="6"/>
      <c r="J994" s="6"/>
      <c r="K994" s="6"/>
      <c r="L994" s="6"/>
      <c r="M994" s="6"/>
      <c r="N994" s="6"/>
      <c r="O994" s="16"/>
      <c r="P994" s="6"/>
      <c r="Q994" s="4"/>
      <c r="R994" s="4"/>
      <c r="S994" s="4"/>
      <c r="T994" s="4"/>
      <c r="U994" s="4"/>
      <c r="V994" s="4"/>
      <c r="W994" s="4"/>
      <c r="X994" s="4"/>
      <c r="Y994" s="4"/>
      <c r="Z994" s="4"/>
      <c r="AA994" s="4"/>
    </row>
    <row r="995" spans="1:27" ht="12.75" x14ac:dyDescent="0.2">
      <c r="A995" s="16"/>
      <c r="B995" s="6"/>
      <c r="C995" s="6"/>
      <c r="D995" s="6"/>
      <c r="E995" s="4"/>
      <c r="F995" s="6"/>
      <c r="G995" s="6"/>
      <c r="H995" s="6"/>
      <c r="I995" s="6"/>
      <c r="J995" s="6"/>
      <c r="K995" s="6"/>
      <c r="L995" s="6"/>
      <c r="M995" s="6"/>
      <c r="N995" s="6"/>
      <c r="O995" s="16"/>
      <c r="P995" s="6"/>
      <c r="Q995" s="4"/>
      <c r="R995" s="4"/>
      <c r="S995" s="4"/>
      <c r="T995" s="4"/>
      <c r="U995" s="4"/>
      <c r="V995" s="4"/>
      <c r="W995" s="4"/>
      <c r="X995" s="4"/>
      <c r="Y995" s="4"/>
      <c r="Z995" s="4"/>
      <c r="AA995" s="4"/>
    </row>
    <row r="996" spans="1:27" ht="12.75" x14ac:dyDescent="0.2">
      <c r="A996" s="16"/>
      <c r="B996" s="6"/>
      <c r="C996" s="6"/>
      <c r="D996" s="6"/>
      <c r="E996" s="4"/>
      <c r="F996" s="6"/>
      <c r="G996" s="6"/>
      <c r="H996" s="6"/>
      <c r="I996" s="6"/>
      <c r="J996" s="6"/>
      <c r="K996" s="6"/>
      <c r="L996" s="6"/>
      <c r="M996" s="6"/>
      <c r="N996" s="6"/>
      <c r="O996" s="16"/>
      <c r="P996" s="6"/>
      <c r="Q996" s="4"/>
      <c r="R996" s="4"/>
      <c r="S996" s="4"/>
      <c r="T996" s="4"/>
      <c r="U996" s="4"/>
      <c r="V996" s="4"/>
      <c r="W996" s="4"/>
      <c r="X996" s="4"/>
      <c r="Y996" s="4"/>
      <c r="Z996" s="4"/>
      <c r="AA996" s="4"/>
    </row>
    <row r="997" spans="1:27" ht="12.75" x14ac:dyDescent="0.2">
      <c r="A997" s="16"/>
      <c r="B997" s="6"/>
      <c r="C997" s="6"/>
      <c r="D997" s="6"/>
      <c r="E997" s="4"/>
      <c r="F997" s="6"/>
      <c r="G997" s="6"/>
      <c r="H997" s="6"/>
      <c r="I997" s="6"/>
      <c r="J997" s="6"/>
      <c r="K997" s="6"/>
      <c r="L997" s="6"/>
      <c r="M997" s="6"/>
      <c r="N997" s="6"/>
      <c r="O997" s="16"/>
      <c r="P997" s="6"/>
      <c r="Q997" s="4"/>
      <c r="R997" s="4"/>
      <c r="S997" s="4"/>
      <c r="T997" s="4"/>
      <c r="U997" s="4"/>
      <c r="V997" s="4"/>
      <c r="W997" s="4"/>
      <c r="X997" s="4"/>
      <c r="Y997" s="4"/>
      <c r="Z997" s="4"/>
      <c r="AA997" s="4"/>
    </row>
    <row r="998" spans="1:27" ht="12.75" x14ac:dyDescent="0.2">
      <c r="A998" s="16"/>
      <c r="B998" s="6"/>
      <c r="C998" s="6"/>
      <c r="D998" s="6"/>
      <c r="E998" s="4"/>
      <c r="F998" s="6"/>
      <c r="G998" s="6"/>
      <c r="H998" s="6"/>
      <c r="I998" s="6"/>
      <c r="J998" s="6"/>
      <c r="K998" s="6"/>
      <c r="L998" s="6"/>
      <c r="M998" s="6"/>
      <c r="N998" s="6"/>
      <c r="O998" s="16"/>
      <c r="P998" s="6"/>
      <c r="Q998" s="4"/>
      <c r="R998" s="4"/>
      <c r="S998" s="4"/>
      <c r="T998" s="4"/>
      <c r="U998" s="4"/>
      <c r="V998" s="4"/>
      <c r="W998" s="4"/>
      <c r="X998" s="4"/>
      <c r="Y998" s="4"/>
      <c r="Z998" s="4"/>
      <c r="AA998" s="4"/>
    </row>
    <row r="999" spans="1:27" ht="12.75" x14ac:dyDescent="0.2">
      <c r="A999" s="16"/>
      <c r="B999" s="6"/>
      <c r="C999" s="6"/>
      <c r="D999" s="6"/>
      <c r="E999" s="4"/>
      <c r="F999" s="6"/>
      <c r="G999" s="6"/>
      <c r="H999" s="6"/>
      <c r="I999" s="6"/>
      <c r="J999" s="6"/>
      <c r="K999" s="6"/>
      <c r="L999" s="6"/>
      <c r="M999" s="6"/>
      <c r="N999" s="6"/>
      <c r="O999" s="16"/>
      <c r="P999" s="6"/>
      <c r="Q999" s="4"/>
      <c r="R999" s="4"/>
      <c r="S999" s="4"/>
      <c r="T999" s="4"/>
      <c r="U999" s="4"/>
      <c r="V999" s="4"/>
      <c r="W999" s="4"/>
      <c r="X999" s="4"/>
      <c r="Y999" s="4"/>
      <c r="Z999" s="4"/>
      <c r="AA999" s="4"/>
    </row>
    <row r="1000" spans="1:27" ht="12.75" x14ac:dyDescent="0.2">
      <c r="A1000" s="16"/>
      <c r="B1000" s="6"/>
      <c r="C1000" s="6"/>
      <c r="D1000" s="6"/>
      <c r="E1000" s="4"/>
      <c r="F1000" s="6"/>
      <c r="G1000" s="6"/>
      <c r="H1000" s="6"/>
      <c r="I1000" s="6"/>
      <c r="J1000" s="6"/>
      <c r="K1000" s="6"/>
      <c r="L1000" s="6"/>
      <c r="M1000" s="6"/>
      <c r="N1000" s="6"/>
      <c r="O1000" s="16"/>
      <c r="P1000" s="6"/>
      <c r="Q1000" s="4"/>
      <c r="R1000" s="4"/>
      <c r="S1000" s="4"/>
      <c r="T1000" s="4"/>
      <c r="U1000" s="4"/>
      <c r="V1000" s="4"/>
      <c r="W1000" s="4"/>
      <c r="X1000" s="4"/>
      <c r="Y1000" s="4"/>
      <c r="Z1000" s="4"/>
      <c r="AA1000" s="4"/>
    </row>
    <row r="1001" spans="1:27" ht="12.75" x14ac:dyDescent="0.2">
      <c r="A1001" s="16"/>
      <c r="B1001" s="6"/>
      <c r="C1001" s="6"/>
      <c r="D1001" s="6"/>
      <c r="E1001" s="4"/>
      <c r="F1001" s="6"/>
      <c r="G1001" s="6"/>
      <c r="H1001" s="6"/>
      <c r="I1001" s="6"/>
      <c r="J1001" s="6"/>
      <c r="K1001" s="6"/>
      <c r="L1001" s="6"/>
      <c r="M1001" s="6"/>
      <c r="N1001" s="6"/>
      <c r="O1001" s="16"/>
      <c r="P1001" s="6"/>
      <c r="Q1001" s="4"/>
      <c r="R1001" s="4"/>
      <c r="S1001" s="4"/>
      <c r="T1001" s="4"/>
      <c r="U1001" s="4"/>
      <c r="V1001" s="4"/>
      <c r="W1001" s="4"/>
      <c r="X1001" s="4"/>
      <c r="Y1001" s="4"/>
      <c r="Z1001" s="4"/>
      <c r="AA1001" s="4"/>
    </row>
    <row r="1002" spans="1:27" ht="12.75" x14ac:dyDescent="0.2">
      <c r="H1002" s="6"/>
      <c r="R1002" s="4"/>
      <c r="S1002" s="4"/>
      <c r="T1002" s="4"/>
      <c r="U1002" s="4"/>
      <c r="V1002" s="4"/>
      <c r="W1002" s="4"/>
      <c r="X1002" s="4"/>
      <c r="Y1002" s="4"/>
      <c r="Z1002" s="4"/>
      <c r="AA1002" s="4"/>
    </row>
    <row r="1003" spans="1:27" ht="12.75" x14ac:dyDescent="0.2">
      <c r="R1003" s="4"/>
      <c r="S1003" s="4"/>
      <c r="T1003" s="4"/>
      <c r="U1003" s="4"/>
      <c r="V1003" s="4"/>
      <c r="W1003" s="4"/>
      <c r="X1003" s="4"/>
      <c r="Y1003" s="4"/>
      <c r="Z1003" s="4"/>
      <c r="AA1003" s="4"/>
    </row>
    <row r="1004" spans="1:27" ht="12.75" x14ac:dyDescent="0.2">
      <c r="R1004" s="4"/>
      <c r="S1004" s="4"/>
      <c r="T1004" s="4"/>
      <c r="U1004" s="4"/>
      <c r="V1004" s="4"/>
      <c r="W1004" s="4"/>
      <c r="X1004" s="4"/>
      <c r="Y1004" s="4"/>
      <c r="Z1004" s="4"/>
      <c r="AA1004" s="4"/>
    </row>
    <row r="1005" spans="1:27" ht="12.75" x14ac:dyDescent="0.2">
      <c r="R1005" s="4"/>
      <c r="S1005" s="4"/>
      <c r="T1005" s="4"/>
      <c r="U1005" s="4"/>
      <c r="V1005" s="4"/>
      <c r="W1005" s="4"/>
      <c r="X1005" s="4"/>
      <c r="Y1005" s="4"/>
      <c r="Z1005" s="4"/>
      <c r="AA1005" s="4"/>
    </row>
    <row r="1006" spans="1:27" ht="12.75" x14ac:dyDescent="0.2">
      <c r="R1006" s="4"/>
      <c r="S1006" s="4"/>
      <c r="T1006" s="4"/>
      <c r="U1006" s="4"/>
      <c r="V1006" s="4"/>
      <c r="W1006" s="4"/>
      <c r="X1006" s="4"/>
      <c r="Y1006" s="4"/>
      <c r="Z1006" s="4"/>
      <c r="AA1006" s="4"/>
    </row>
  </sheetData>
  <mergeCells count="29">
    <mergeCell ref="A134:A141"/>
    <mergeCell ref="A113:A119"/>
    <mergeCell ref="A120:A126"/>
    <mergeCell ref="A127:A133"/>
    <mergeCell ref="A71:A77"/>
    <mergeCell ref="A78:A84"/>
    <mergeCell ref="A85:A91"/>
    <mergeCell ref="A92:A98"/>
    <mergeCell ref="A99:A105"/>
    <mergeCell ref="A106:A112"/>
    <mergeCell ref="A64:A70"/>
    <mergeCell ref="G4:H4"/>
    <mergeCell ref="E6:M6"/>
    <mergeCell ref="A8:A14"/>
    <mergeCell ref="A15:A21"/>
    <mergeCell ref="A22:A28"/>
    <mergeCell ref="A29:A35"/>
    <mergeCell ref="A36:A42"/>
    <mergeCell ref="A43:A49"/>
    <mergeCell ref="A50:A56"/>
    <mergeCell ref="A57:A63"/>
    <mergeCell ref="C1:E1"/>
    <mergeCell ref="G1:H1"/>
    <mergeCell ref="J1:K1"/>
    <mergeCell ref="L1:N4"/>
    <mergeCell ref="C2:E2"/>
    <mergeCell ref="G2:H2"/>
    <mergeCell ref="C3:E3"/>
    <mergeCell ref="G3:H3"/>
  </mergeCells>
  <pageMargins left="0.7" right="0.7" top="0.75" bottom="0.75" header="0.3" footer="0.3"/>
  <pageSetup scale="31"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2Q - 80</vt:lpstr>
      <vt:lpstr>Marathon Splits</vt:lpstr>
      <vt:lpstr>Daniel's Metrics</vt:lpstr>
      <vt:lpstr>Q Sessions</vt:lpstr>
      <vt:lpstr>Daniel's Tables</vt:lpstr>
      <vt:lpstr>Daniel's Tables - POST</vt:lpstr>
      <vt:lpstr>2Q - 55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Mcgraw, Daniel E CIV USARMY CESAS (USA)</dc:creator>
  <cp:lastModifiedBy>McGraw, Daniel E CIV USARMY CEIWR (USA)</cp:lastModifiedBy>
  <cp:lastPrinted>2025-07-02T04:58:19Z</cp:lastPrinted>
  <dcterms:created xsi:type="dcterms:W3CDTF">2023-06-02T14:14:53Z</dcterms:created>
  <dcterms:modified xsi:type="dcterms:W3CDTF">2025-10-14T17:50:31Z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Folder_Number">
    <vt:lpwstr/>
  </property>
  <property fmtid="{D5CDD505-2E9C-101B-9397-08002B2CF9AE}" pid="3" name="Folder_Code">
    <vt:lpwstr/>
  </property>
  <property fmtid="{D5CDD505-2E9C-101B-9397-08002B2CF9AE}" pid="4" name="Folder_Name">
    <vt:lpwstr/>
  </property>
  <property fmtid="{D5CDD505-2E9C-101B-9397-08002B2CF9AE}" pid="5" name="Folder_Description">
    <vt:lpwstr/>
  </property>
  <property fmtid="{D5CDD505-2E9C-101B-9397-08002B2CF9AE}" pid="6" name="/Folder_Name/">
    <vt:lpwstr/>
  </property>
  <property fmtid="{D5CDD505-2E9C-101B-9397-08002B2CF9AE}" pid="7" name="/Folder_Description/">
    <vt:lpwstr/>
  </property>
  <property fmtid="{D5CDD505-2E9C-101B-9397-08002B2CF9AE}" pid="8" name="Folder_Version">
    <vt:lpwstr/>
  </property>
  <property fmtid="{D5CDD505-2E9C-101B-9397-08002B2CF9AE}" pid="9" name="Folder_VersionSeq">
    <vt:lpwstr/>
  </property>
  <property fmtid="{D5CDD505-2E9C-101B-9397-08002B2CF9AE}" pid="10" name="Folder_Manager">
    <vt:lpwstr/>
  </property>
  <property fmtid="{D5CDD505-2E9C-101B-9397-08002B2CF9AE}" pid="11" name="Folder_ManagerDesc">
    <vt:lpwstr/>
  </property>
  <property fmtid="{D5CDD505-2E9C-101B-9397-08002B2CF9AE}" pid="12" name="Folder_Storage">
    <vt:lpwstr/>
  </property>
  <property fmtid="{D5CDD505-2E9C-101B-9397-08002B2CF9AE}" pid="13" name="Folder_StorageDesc">
    <vt:lpwstr/>
  </property>
  <property fmtid="{D5CDD505-2E9C-101B-9397-08002B2CF9AE}" pid="14" name="Folder_Creator">
    <vt:lpwstr/>
  </property>
  <property fmtid="{D5CDD505-2E9C-101B-9397-08002B2CF9AE}" pid="15" name="Folder_CreatorDesc">
    <vt:lpwstr/>
  </property>
  <property fmtid="{D5CDD505-2E9C-101B-9397-08002B2CF9AE}" pid="16" name="Folder_CreateDate">
    <vt:lpwstr/>
  </property>
  <property fmtid="{D5CDD505-2E9C-101B-9397-08002B2CF9AE}" pid="17" name="Folder_Updater">
    <vt:lpwstr/>
  </property>
  <property fmtid="{D5CDD505-2E9C-101B-9397-08002B2CF9AE}" pid="18" name="Folder_UpdaterDesc">
    <vt:lpwstr/>
  </property>
  <property fmtid="{D5CDD505-2E9C-101B-9397-08002B2CF9AE}" pid="19" name="Folder_UpdateDate">
    <vt:lpwstr/>
  </property>
  <property fmtid="{D5CDD505-2E9C-101B-9397-08002B2CF9AE}" pid="20" name="Document_Number">
    <vt:lpwstr/>
  </property>
  <property fmtid="{D5CDD505-2E9C-101B-9397-08002B2CF9AE}" pid="21" name="Document_Name">
    <vt:lpwstr/>
  </property>
  <property fmtid="{D5CDD505-2E9C-101B-9397-08002B2CF9AE}" pid="22" name="Document_FileName">
    <vt:lpwstr/>
  </property>
  <property fmtid="{D5CDD505-2E9C-101B-9397-08002B2CF9AE}" pid="23" name="Document_Version">
    <vt:lpwstr/>
  </property>
  <property fmtid="{D5CDD505-2E9C-101B-9397-08002B2CF9AE}" pid="24" name="Document_VersionSeq">
    <vt:lpwstr/>
  </property>
  <property fmtid="{D5CDD505-2E9C-101B-9397-08002B2CF9AE}" pid="25" name="Document_Creator">
    <vt:lpwstr/>
  </property>
  <property fmtid="{D5CDD505-2E9C-101B-9397-08002B2CF9AE}" pid="26" name="Document_CreatorDesc">
    <vt:lpwstr/>
  </property>
  <property fmtid="{D5CDD505-2E9C-101B-9397-08002B2CF9AE}" pid="27" name="Document_CreateDate">
    <vt:lpwstr/>
  </property>
  <property fmtid="{D5CDD505-2E9C-101B-9397-08002B2CF9AE}" pid="28" name="Document_Updater">
    <vt:lpwstr/>
  </property>
  <property fmtid="{D5CDD505-2E9C-101B-9397-08002B2CF9AE}" pid="29" name="Document_UpdaterDesc">
    <vt:lpwstr/>
  </property>
  <property fmtid="{D5CDD505-2E9C-101B-9397-08002B2CF9AE}" pid="30" name="Document_UpdateDate">
    <vt:lpwstr/>
  </property>
  <property fmtid="{D5CDD505-2E9C-101B-9397-08002B2CF9AE}" pid="31" name="Document_Size">
    <vt:lpwstr/>
  </property>
  <property fmtid="{D5CDD505-2E9C-101B-9397-08002B2CF9AE}" pid="32" name="Document_Storage">
    <vt:lpwstr/>
  </property>
  <property fmtid="{D5CDD505-2E9C-101B-9397-08002B2CF9AE}" pid="33" name="Document_StorageDesc">
    <vt:lpwstr/>
  </property>
  <property fmtid="{D5CDD505-2E9C-101B-9397-08002B2CF9AE}" pid="34" name="Document_Department">
    <vt:lpwstr/>
  </property>
  <property fmtid="{D5CDD505-2E9C-101B-9397-08002B2CF9AE}" pid="35" name="Document_DepartmentDesc">
    <vt:lpwstr/>
  </property>
</Properties>
</file>