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7FB1A2D5-3543-4F1F-A01E-E23FFB5CA017}"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3" i="9" l="1"/>
  <c r="AA21" i="9"/>
  <c r="AB21" i="9" s="1"/>
  <c r="AA22" i="9"/>
  <c r="AB22" i="9"/>
  <c r="AA48" i="9"/>
  <c r="AB48" i="9" s="1"/>
  <c r="AA49" i="9"/>
  <c r="AB49" i="9" s="1"/>
  <c r="AA50" i="9"/>
  <c r="AB50" i="9" s="1"/>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Z135" i="9"/>
  <c r="Z108" i="9"/>
  <c r="Z19" i="9"/>
  <c r="AA19" i="9" s="1"/>
  <c r="AB19" i="9" s="1"/>
  <c r="AC25" i="9" s="1"/>
  <c r="AD25" i="9" s="1"/>
  <c r="Z87" i="9"/>
  <c r="Z8" i="9"/>
  <c r="AA8" i="9" s="1"/>
  <c r="AB8" i="9" s="1"/>
  <c r="Z124" i="9"/>
  <c r="Z58" i="9"/>
  <c r="Z50" i="9"/>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<sst xmlns="http://schemas.openxmlformats.org/spreadsheetml/2006/main" count="1245" uniqueCount="500">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</sst>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28.75</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55.930000000000007</c:v>
                </c:pt>
                <c:pt idx="41">
                  <c:v>47.910000000000004</c:v>
                </c:pt>
                <c:pt idx="42">
                  <c:v>28.75</c:v>
                </c:pt>
                <c:pt idx="43">
                  <c:v>22.619999999999997</c:v>
                </c:pt>
                <c:pt idx="44">
                  <c:v>14.52</c:v>
                </c:pt>
                <c:pt idx="45">
                  <c:v>6.1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66.315714285714279</c:v>
                </c:pt>
                <c:pt idx="41" formatCode="0">
                  <c:v>64.30714285714285</c:v>
                </c:pt>
                <c:pt idx="42" formatCode="0">
                  <c:v>58.111428571428569</c:v>
                </c:pt>
                <c:pt idx="43" formatCode="0">
                  <c:v>50.962857142857146</c:v>
                </c:pt>
                <c:pt idx="44" formatCode="0">
                  <c:v>42.658571428571427</c:v>
                </c:pt>
                <c:pt idx="45" formatCode="0">
                  <c:v>34.252857142857145</c:v>
                </c:pt>
                <c:pt idx="46" formatCode="0">
                  <c:v>25.118571428571432</c:v>
                </c:pt>
                <c:pt idx="47" formatCode="0">
                  <c:v>17.128571428571426</c:v>
                </c:pt>
                <c:pt idx="48" formatCode="0">
                  <c:v>10.284285714285714</c:v>
                </c:pt>
                <c:pt idx="49" formatCode="0">
                  <c:v>6.177142857142857</c:v>
                </c:pt>
                <c:pt idx="50" formatCode="0">
                  <c:v>2.9457142857142853</c:v>
                </c:pt>
                <c:pt idx="51" formatCode="0">
                  <c:v>0.87142857142857133</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55.930000000000007</c:v>
                      </c:pt>
                      <c:pt idx="41">
                        <c:v>47.910000000000004</c:v>
                      </c:pt>
                      <c:pt idx="42">
                        <c:v>28.75</c:v>
                      </c:pt>
                      <c:pt idx="43">
                        <c:v>22.619999999999997</c:v>
                      </c:pt>
                      <c:pt idx="44">
                        <c:v>14.52</c:v>
                      </c:pt>
                      <c:pt idx="45">
                        <c:v>6.1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78.430316666666656</c:v>
                </c:pt>
                <c:pt idx="35">
                  <c:v>71.524149999999992</c:v>
                </c:pt>
                <c:pt idx="36">
                  <c:v>32.654150000000001</c:v>
                </c:pt>
                <c:pt idx="37">
                  <c:v>24.084525000000003</c:v>
                </c:pt>
                <c:pt idx="38">
                  <c:v>17.621191666666668</c:v>
                </c:pt>
                <c:pt idx="39">
                  <c:v>8.5249416666666669</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55.930000000000007</c:v>
                </c:pt>
                <c:pt idx="41">
                  <c:v>47.910000000000004</c:v>
                </c:pt>
                <c:pt idx="42">
                  <c:v>28.75</c:v>
                </c:pt>
                <c:pt idx="43">
                  <c:v>22.619999999999997</c:v>
                </c:pt>
                <c:pt idx="44">
                  <c:v>14.52</c:v>
                </c:pt>
                <c:pt idx="45">
                  <c:v>6.1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78.430316666666656</c:v>
                </c:pt>
                <c:pt idx="41" formatCode="0.0">
                  <c:v>71.524149999999992</c:v>
                </c:pt>
                <c:pt idx="42" formatCode="0.0">
                  <c:v>32.654150000000001</c:v>
                </c:pt>
                <c:pt idx="43" formatCode="0.0">
                  <c:v>24.084525000000003</c:v>
                </c:pt>
                <c:pt idx="44" formatCode="0.0">
                  <c:v>17.621191666666668</c:v>
                </c:pt>
                <c:pt idx="45" formatCode="0.0">
                  <c:v>8.5249416666666669</c:v>
                </c:pt>
                <c:pt idx="46" formatCode="0.0">
                  <c:v>0</c:v>
                </c:pt>
                <c:pt idx="47" formatCode="0.0">
                  <c:v>0</c:v>
                </c:pt>
                <c:pt idx="48" formatCode="0.0">
                  <c:v>0</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39" activePane="bottomLeft" state="frozen"/>
      <selection pane="bottomLeft" activeCell="O47" sqref="O47"/>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5">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5">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1.8381828703703704</v>
      </c>
      <c r="Q48" s="865"/>
      <c r="R48" s="4"/>
      <c r="T48" s="16">
        <f t="shared" si="5"/>
        <v>55.930000000000007</v>
      </c>
      <c r="U48" s="868">
        <f t="shared" si="8"/>
        <v>66.315714285714279</v>
      </c>
      <c r="V48" s="4">
        <v>70</v>
      </c>
      <c r="W48" s="4">
        <f t="shared" si="9"/>
        <v>69</v>
      </c>
      <c r="X48" s="868">
        <f t="shared" si="10"/>
        <v>67.714285714285708</v>
      </c>
      <c r="Y48" s="4"/>
      <c r="Z48" s="869" t="e">
        <f t="shared" si="11"/>
        <v>#DIV/0!</v>
      </c>
      <c r="AA48" s="4">
        <f>IF(H48*G48,LOOKUP(Z48,'Daniel''s Tables'!$Z$135:$Z$214,'Daniel''s Tables'!$AB$135:$AB$214),0)</f>
        <v>0</v>
      </c>
      <c r="AB48" s="869">
        <f t="shared" si="12"/>
        <v>0</v>
      </c>
      <c r="AC48" s="871">
        <f t="shared" si="6"/>
        <v>78.430316666666656</v>
      </c>
      <c r="AD48" s="838">
        <f t="shared" si="7"/>
        <v>11.204330952380952</v>
      </c>
      <c r="AE48" s="838"/>
    </row>
    <row r="49" spans="1:31" ht="15.75" customHeight="1" x14ac:dyDescent="0.25">
      <c r="A49" s="884"/>
      <c r="B49" s="6">
        <v>86</v>
      </c>
      <c r="C49" s="17">
        <f t="shared" si="0"/>
        <v>45856</v>
      </c>
      <c r="D49" s="6" t="s">
        <v>28</v>
      </c>
      <c r="E49" s="4" t="s">
        <v>381</v>
      </c>
      <c r="F49" s="6">
        <v>6</v>
      </c>
      <c r="G49" s="6"/>
      <c r="H49" s="29"/>
      <c r="I49" s="6" t="str">
        <f t="shared" si="1"/>
        <v>0:00</v>
      </c>
      <c r="J49" s="6"/>
      <c r="K49" s="6"/>
      <c r="L49" s="6" t="str">
        <f t="shared" si="2"/>
        <v>0:00</v>
      </c>
      <c r="M49" s="6"/>
      <c r="N49" s="28">
        <f>SUM(H44:H50)</f>
        <v>0.1512037037037037</v>
      </c>
      <c r="O49" s="16"/>
      <c r="P49" s="863">
        <f>N50+P42</f>
        <v>348.15999999999997</v>
      </c>
      <c r="Q49" s="866"/>
      <c r="R49" s="25"/>
      <c r="T49" s="16">
        <f t="shared" si="5"/>
        <v>47.910000000000004</v>
      </c>
      <c r="U49" s="868">
        <f t="shared" si="8"/>
        <v>64.30714285714285</v>
      </c>
      <c r="V49" s="4">
        <v>70</v>
      </c>
      <c r="W49" s="4">
        <f t="shared" si="9"/>
        <v>69</v>
      </c>
      <c r="X49" s="868">
        <f t="shared" si="10"/>
        <v>68.428571428571431</v>
      </c>
      <c r="Y49" s="4"/>
      <c r="Z49" s="869" t="e">
        <f t="shared" si="11"/>
        <v>#DIV/0!</v>
      </c>
      <c r="AA49" s="4">
        <f>IF(H49*G49,LOOKUP(Z49,'Daniel''s Tables'!$Z$135:$Z$214,'Daniel''s Tables'!$AB$135:$AB$214),0)</f>
        <v>0</v>
      </c>
      <c r="AB49" s="869">
        <f t="shared" si="12"/>
        <v>0</v>
      </c>
      <c r="AC49" s="871">
        <f t="shared" si="6"/>
        <v>71.524149999999992</v>
      </c>
      <c r="AD49" s="838">
        <f t="shared" si="7"/>
        <v>10.217735714285713</v>
      </c>
      <c r="AE49" s="838"/>
    </row>
    <row r="50" spans="1:31" ht="15.75" customHeight="1" x14ac:dyDescent="0.25">
      <c r="A50" s="884"/>
      <c r="B50" s="6">
        <v>85</v>
      </c>
      <c r="C50" s="17">
        <f t="shared" si="0"/>
        <v>45857</v>
      </c>
      <c r="D50" s="6" t="s">
        <v>30</v>
      </c>
      <c r="E50" s="4" t="s">
        <v>397</v>
      </c>
      <c r="F50" s="6">
        <v>19</v>
      </c>
      <c r="G50" s="6"/>
      <c r="H50" s="29"/>
      <c r="I50" s="6" t="str">
        <f t="shared" si="1"/>
        <v>0:00</v>
      </c>
      <c r="J50" s="29"/>
      <c r="K50" s="6"/>
      <c r="L50" s="6" t="str">
        <f t="shared" si="2"/>
        <v>0:00</v>
      </c>
      <c r="M50" s="4">
        <f>SUM(F44:F50)</f>
        <v>70</v>
      </c>
      <c r="N50" s="6">
        <f>SUM(G44:G50)</f>
        <v>28.75</v>
      </c>
      <c r="O50" s="16"/>
      <c r="P50" s="863">
        <f>M50+P43</f>
        <v>422</v>
      </c>
      <c r="Q50" s="862">
        <f>P49/P50</f>
        <v>0.82502369668246434</v>
      </c>
      <c r="R50" s="4"/>
      <c r="T50" s="16">
        <f t="shared" si="5"/>
        <v>28.75</v>
      </c>
      <c r="U50" s="868">
        <f t="shared" si="8"/>
        <v>58.111428571428569</v>
      </c>
      <c r="V50" s="4">
        <v>70</v>
      </c>
      <c r="W50" s="4">
        <f t="shared" si="9"/>
        <v>70</v>
      </c>
      <c r="X50" s="868">
        <f t="shared" si="10"/>
        <v>68.142857142857139</v>
      </c>
      <c r="Y50" s="4"/>
      <c r="Z50" s="869" t="e">
        <f t="shared" si="11"/>
        <v>#DIV/0!</v>
      </c>
      <c r="AA50" s="4">
        <f>IF(H50*G50,LOOKUP(Z50,'Daniel''s Tables'!$Z$135:$Z$214,'Daniel''s Tables'!$AB$135:$AB$214),0)</f>
        <v>0</v>
      </c>
      <c r="AB50" s="869">
        <f t="shared" si="12"/>
        <v>0</v>
      </c>
      <c r="AC50" s="871">
        <f t="shared" si="6"/>
        <v>32.654150000000001</v>
      </c>
      <c r="AD50" s="838">
        <f t="shared" si="7"/>
        <v>4.6648785714285719</v>
      </c>
      <c r="AE50" s="838"/>
    </row>
    <row r="51" spans="1:31" ht="15.75" customHeight="1" x14ac:dyDescent="0.25">
      <c r="A51" s="88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22.619999999999997</v>
      </c>
      <c r="U51" s="868">
        <f t="shared" si="8"/>
        <v>50.962857142857146</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24.084525000000003</v>
      </c>
      <c r="AD51" s="838">
        <f t="shared" si="7"/>
        <v>3.4406464285714291</v>
      </c>
      <c r="AE51" s="838"/>
    </row>
    <row r="52" spans="1:31" ht="15.75" customHeight="1" x14ac:dyDescent="0.25">
      <c r="A52" s="88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14.52</v>
      </c>
      <c r="U52" s="868">
        <f t="shared" si="8"/>
        <v>42.658571428571427</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17.621191666666668</v>
      </c>
      <c r="AD52" s="838">
        <f t="shared" si="7"/>
        <v>2.5173130952380953</v>
      </c>
      <c r="AE52" s="838"/>
    </row>
    <row r="53" spans="1:31" ht="15.75" customHeight="1" x14ac:dyDescent="0.25">
      <c r="A53" s="88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6.1</v>
      </c>
      <c r="U53" s="868">
        <f t="shared" si="8"/>
        <v>34.252857142857145</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8.5249416666666669</v>
      </c>
      <c r="AD53" s="838">
        <f t="shared" si="7"/>
        <v>1.2178488095238096</v>
      </c>
      <c r="AE53" s="838"/>
    </row>
    <row r="54" spans="1:31" ht="15.75" customHeight="1" x14ac:dyDescent="0.25">
      <c r="A54" s="88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0</v>
      </c>
      <c r="U54" s="868">
        <f t="shared" si="8"/>
        <v>25.118571428571432</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0</v>
      </c>
      <c r="AD54" s="838">
        <f t="shared" si="7"/>
        <v>0</v>
      </c>
      <c r="AE54" s="838"/>
    </row>
    <row r="55" spans="1:31" ht="15.75" customHeight="1" x14ac:dyDescent="0.25">
      <c r="A55" s="88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1.8381828703703704</v>
      </c>
      <c r="Q55" s="865"/>
      <c r="R55" s="4"/>
      <c r="T55" s="16">
        <f t="shared" si="5"/>
        <v>0</v>
      </c>
      <c r="U55" s="868">
        <f t="shared" si="8"/>
        <v>17.128571428571426</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0</v>
      </c>
      <c r="AD55" s="838">
        <f t="shared" si="7"/>
        <v>0</v>
      </c>
      <c r="AE55" s="838"/>
    </row>
    <row r="56" spans="1:31" ht="15.75" customHeight="1" x14ac:dyDescent="0.25">
      <c r="A56" s="88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348.15999999999997</v>
      </c>
      <c r="Q56" s="866"/>
      <c r="R56" s="4"/>
      <c r="T56" s="16">
        <f t="shared" si="5"/>
        <v>0</v>
      </c>
      <c r="U56" s="868">
        <f t="shared" si="8"/>
        <v>10.284285714285714</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0</v>
      </c>
      <c r="AD56" s="838">
        <f t="shared" si="7"/>
        <v>0</v>
      </c>
      <c r="AE56" s="838"/>
    </row>
    <row r="57" spans="1:31" ht="15.75" customHeight="1" x14ac:dyDescent="0.25">
      <c r="A57" s="88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0.6935458167330677</v>
      </c>
      <c r="R57" s="4"/>
      <c r="T57" s="16">
        <f t="shared" si="5"/>
        <v>0</v>
      </c>
      <c r="U57" s="868">
        <f t="shared" si="8"/>
        <v>6.177142857142857</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5">
      <c r="A58" s="88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2.9457142857142853</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0.87142857142857133</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0</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0</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1.8381828703703704</v>
      </c>
      <c r="Q62" s="865"/>
      <c r="R62" s="4"/>
      <c r="T62" s="16">
        <f t="shared" si="5"/>
        <v>0</v>
      </c>
      <c r="U62" s="868">
        <f t="shared" si="8"/>
        <v>0</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8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348.15999999999997</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0.60655052264808362</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1.8381828703703704</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348.15999999999997</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0.54230529595015575</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1.8381828703703704</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348.15999999999997</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0.48221606648199444</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1.8381828703703704</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348.15999999999997</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0.43738693467336681</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1.8381828703703704</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348.15999999999997</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0.40110599078341008</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1.8381828703703704</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348.15999999999997</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0.36725738396624469</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1.8381828703703704</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348.15999999999997</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0.34066536203522502</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1.8381828703703704</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348.15999999999997</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0.31941284403669723</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1.8381828703703704</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348.15999999999997</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0.30117647058823527</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1.8381828703703704</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348.15999999999997</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0.28678747940691923</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1.8381828703703704</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348.15999999999997</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0.2765369340746624</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L5" sqref="L5"/>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28.75</v>
      </c>
      <c r="L8" s="838">
        <f>(K8-K7)/((K8+K7)/2)*100</f>
        <v>-85.991870724695147</v>
      </c>
    </row>
    <row r="9" spans="1:12" x14ac:dyDescent="0.25">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2"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5">
      <c r="A4" s="889"/>
      <c r="B4" s="825" t="s">
        <v>335</v>
      </c>
      <c r="C4" s="825" t="s">
        <v>337</v>
      </c>
      <c r="D4" s="838">
        <f>8+3+2+3</f>
        <v>16</v>
      </c>
      <c r="E4">
        <v>15</v>
      </c>
      <c r="F4" s="889"/>
      <c r="I4" s="889"/>
      <c r="J4" s="825" t="s">
        <v>335</v>
      </c>
      <c r="K4" s="825" t="s">
        <v>391</v>
      </c>
      <c r="L4">
        <v>17</v>
      </c>
      <c r="M4" s="889"/>
    </row>
    <row r="5" spans="1:13" x14ac:dyDescent="0.25">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5">
      <c r="A6" s="889"/>
      <c r="B6" s="825" t="s">
        <v>335</v>
      </c>
      <c r="C6" s="825" t="s">
        <v>354</v>
      </c>
      <c r="D6" s="838">
        <f>4+ (5*(1000/1600)) + (4*(400/1600)) +2</f>
        <v>10.125</v>
      </c>
      <c r="E6">
        <v>13</v>
      </c>
      <c r="F6" s="889"/>
      <c r="I6" s="889"/>
      <c r="J6" s="825" t="s">
        <v>335</v>
      </c>
      <c r="K6" s="825" t="s">
        <v>396</v>
      </c>
      <c r="L6">
        <v>15</v>
      </c>
      <c r="M6" s="890"/>
    </row>
    <row r="7" spans="1:13" x14ac:dyDescent="0.25">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5">
      <c r="A8" s="889"/>
      <c r="B8" s="825" t="s">
        <v>335</v>
      </c>
      <c r="C8" s="825" t="s">
        <v>341</v>
      </c>
      <c r="D8" s="838">
        <f>6+3+2+1+1</f>
        <v>13</v>
      </c>
      <c r="E8">
        <v>14</v>
      </c>
      <c r="F8" s="889"/>
      <c r="I8" s="889"/>
      <c r="J8" s="825" t="s">
        <v>335</v>
      </c>
      <c r="K8" s="825" t="s">
        <v>394</v>
      </c>
      <c r="L8">
        <v>17</v>
      </c>
      <c r="M8" s="889"/>
    </row>
    <row r="9" spans="1:13" x14ac:dyDescent="0.25">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5">
      <c r="A10" s="889"/>
      <c r="B10" s="825" t="s">
        <v>335</v>
      </c>
      <c r="C10" s="825" t="s">
        <v>342</v>
      </c>
      <c r="D10" s="839">
        <f>(40/7.5) + (3*2) + (2*1) + 1</f>
        <v>14.333333333333332</v>
      </c>
      <c r="E10">
        <v>15</v>
      </c>
      <c r="F10" s="889"/>
      <c r="I10" s="889"/>
      <c r="J10" s="825" t="s">
        <v>335</v>
      </c>
      <c r="K10" s="825" t="s">
        <v>399</v>
      </c>
      <c r="L10">
        <v>16</v>
      </c>
      <c r="M10" s="889"/>
    </row>
    <row r="11" spans="1:13" x14ac:dyDescent="0.25">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5">
      <c r="A12" s="889"/>
      <c r="B12" s="825" t="s">
        <v>335</v>
      </c>
      <c r="C12" s="825" t="s">
        <v>348</v>
      </c>
      <c r="D12" s="838">
        <f xml:space="preserve"> 8+(6*(1/1.6))+2</f>
        <v>13.75</v>
      </c>
      <c r="E12">
        <v>14</v>
      </c>
      <c r="F12" s="889"/>
      <c r="I12" s="889"/>
      <c r="J12" s="825" t="s">
        <v>335</v>
      </c>
      <c r="K12" s="825" t="s">
        <v>401</v>
      </c>
      <c r="L12">
        <v>17</v>
      </c>
      <c r="M12" s="889"/>
    </row>
    <row r="13" spans="1:13" x14ac:dyDescent="0.25">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5">
      <c r="A14" s="889"/>
      <c r="B14" s="825" t="s">
        <v>335</v>
      </c>
      <c r="C14" s="825" t="s">
        <v>351</v>
      </c>
      <c r="D14" s="838">
        <f>(40/7.5)+3+(2*2)+2</f>
        <v>14.333333333333332</v>
      </c>
      <c r="E14">
        <v>15</v>
      </c>
      <c r="F14" s="889"/>
      <c r="I14" s="889"/>
      <c r="J14" s="825" t="s">
        <v>335</v>
      </c>
      <c r="K14" s="825" t="s">
        <v>398</v>
      </c>
      <c r="L14">
        <v>17</v>
      </c>
      <c r="M14" s="889"/>
    </row>
    <row r="15" spans="1:13" x14ac:dyDescent="0.25">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5">
      <c r="A16" s="889"/>
      <c r="B16" s="825" t="s">
        <v>335</v>
      </c>
      <c r="C16" s="825" t="s">
        <v>352</v>
      </c>
      <c r="D16" s="838">
        <f>4+3+2+2+1+2</f>
        <v>14</v>
      </c>
      <c r="E16">
        <v>14</v>
      </c>
      <c r="F16" s="889"/>
      <c r="I16" s="889"/>
      <c r="J16" s="825" t="s">
        <v>335</v>
      </c>
      <c r="K16" s="825" t="s">
        <v>403</v>
      </c>
      <c r="L16">
        <v>15</v>
      </c>
      <c r="M16" s="889"/>
    </row>
    <row r="17" spans="1:13" x14ac:dyDescent="0.25">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5">
      <c r="A18" s="889"/>
      <c r="B18" s="825" t="s">
        <v>335</v>
      </c>
      <c r="C18" s="825" t="s">
        <v>355</v>
      </c>
      <c r="D18" s="838">
        <f>8+(5*(1/1.6))+(4*0.25)+1</f>
        <v>13.125</v>
      </c>
      <c r="E18">
        <v>15</v>
      </c>
      <c r="F18" s="889"/>
      <c r="I18" s="889"/>
      <c r="J18" s="825" t="s">
        <v>335</v>
      </c>
      <c r="K18" s="825" t="s">
        <v>405</v>
      </c>
      <c r="L18">
        <v>17</v>
      </c>
      <c r="M18" s="889"/>
    </row>
    <row r="19" spans="1:13" x14ac:dyDescent="0.25">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5">
      <c r="A20" s="889"/>
      <c r="B20" s="825" t="s">
        <v>335</v>
      </c>
      <c r="C20" s="825" t="s">
        <v>358</v>
      </c>
      <c r="D20" s="838">
        <f>2+12+2</f>
        <v>16</v>
      </c>
      <c r="E20">
        <v>16</v>
      </c>
      <c r="F20" s="889"/>
      <c r="I20" s="889"/>
      <c r="J20" s="825" t="s">
        <v>335</v>
      </c>
      <c r="K20" s="825" t="s">
        <v>406</v>
      </c>
      <c r="L20">
        <v>18</v>
      </c>
      <c r="M20" s="889"/>
    </row>
    <row r="21" spans="1:13" x14ac:dyDescent="0.25">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5">
      <c r="A22" s="889"/>
      <c r="B22" s="825" t="s">
        <v>335</v>
      </c>
      <c r="C22" s="825" t="s">
        <v>360</v>
      </c>
      <c r="D22" s="838">
        <f>5+(4*2)+2</f>
        <v>15</v>
      </c>
      <c r="E22">
        <v>15</v>
      </c>
      <c r="F22" s="889"/>
      <c r="I22" s="889"/>
      <c r="J22" s="825" t="s">
        <v>335</v>
      </c>
      <c r="K22" s="825" t="s">
        <v>408</v>
      </c>
      <c r="L22">
        <v>16</v>
      </c>
      <c r="M22" s="889"/>
    </row>
    <row r="23" spans="1:13" x14ac:dyDescent="0.25">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5">
      <c r="A24" s="889"/>
      <c r="B24" s="825" t="s">
        <v>335</v>
      </c>
      <c r="C24" s="825" t="s">
        <v>348</v>
      </c>
      <c r="D24" s="838">
        <f xml:space="preserve"> 8+(6*(1/1.6))+2</f>
        <v>13.75</v>
      </c>
      <c r="E24">
        <v>16</v>
      </c>
      <c r="F24" s="889"/>
      <c r="I24" s="889"/>
      <c r="J24" s="825" t="s">
        <v>335</v>
      </c>
      <c r="K24" s="825" t="s">
        <v>410</v>
      </c>
      <c r="L24">
        <v>17</v>
      </c>
      <c r="M24" s="889"/>
    </row>
    <row r="25" spans="1:13" x14ac:dyDescent="0.25">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5">
      <c r="A26" s="889"/>
      <c r="B26" s="825" t="s">
        <v>335</v>
      </c>
      <c r="C26" s="825" t="s">
        <v>365</v>
      </c>
      <c r="D26" s="838">
        <f>2+8+(2*2)+2</f>
        <v>16</v>
      </c>
      <c r="E26">
        <v>16</v>
      </c>
      <c r="F26" s="889"/>
      <c r="I26" s="889"/>
      <c r="J26" s="825" t="s">
        <v>335</v>
      </c>
      <c r="K26" s="825" t="s">
        <v>412</v>
      </c>
      <c r="L26">
        <v>15</v>
      </c>
      <c r="M26" s="889"/>
    </row>
    <row r="27" spans="1:13" x14ac:dyDescent="0.25">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5">
      <c r="A28" s="889"/>
      <c r="B28" s="825" t="s">
        <v>335</v>
      </c>
      <c r="C28" s="825" t="s">
        <v>367</v>
      </c>
      <c r="D28" s="839">
        <f>(40/7.5) + (4*2) + (2*1) + 1</f>
        <v>16.333333333333332</v>
      </c>
      <c r="E28">
        <v>17</v>
      </c>
      <c r="F28" s="889"/>
      <c r="I28" s="889"/>
      <c r="J28" s="825" t="s">
        <v>335</v>
      </c>
      <c r="K28" s="825" t="s">
        <v>414</v>
      </c>
      <c r="L28">
        <v>14</v>
      </c>
      <c r="M28" s="889"/>
    </row>
    <row r="29" spans="1:13" x14ac:dyDescent="0.25">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5">
      <c r="A30" s="889"/>
      <c r="B30" s="825" t="s">
        <v>335</v>
      </c>
      <c r="C30" s="825" t="s">
        <v>369</v>
      </c>
      <c r="D30" s="838">
        <f>8+(5*(1/1.6))+(6*0.125)+1</f>
        <v>12.875</v>
      </c>
      <c r="E30">
        <v>16</v>
      </c>
      <c r="F30" s="889"/>
      <c r="I30" s="889"/>
      <c r="J30" s="825" t="s">
        <v>335</v>
      </c>
      <c r="K30" s="825" t="s">
        <v>416</v>
      </c>
      <c r="L30">
        <v>14</v>
      </c>
      <c r="M30" s="889"/>
    </row>
    <row r="31" spans="1:13" x14ac:dyDescent="0.25">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5">
      <c r="A32" s="889"/>
      <c r="B32" s="825" t="s">
        <v>335</v>
      </c>
      <c r="C32" s="825" t="s">
        <v>371</v>
      </c>
      <c r="D32" s="838">
        <f>6+(5*(1/1.6))+4</f>
        <v>13.125</v>
      </c>
      <c r="E32">
        <v>15</v>
      </c>
      <c r="F32" s="889"/>
      <c r="I32" s="889"/>
      <c r="J32" s="825" t="s">
        <v>335</v>
      </c>
      <c r="K32" s="825" t="s">
        <v>417</v>
      </c>
      <c r="L32">
        <v>12</v>
      </c>
      <c r="M32" s="889"/>
    </row>
    <row r="33" spans="1:13" x14ac:dyDescent="0.25">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5">
      <c r="A34" s="889"/>
      <c r="B34" s="825" t="s">
        <v>335</v>
      </c>
      <c r="C34" s="825" t="s">
        <v>373</v>
      </c>
      <c r="D34" s="838">
        <f>2+(4*2)+2</f>
        <v>12</v>
      </c>
      <c r="E34">
        <v>12</v>
      </c>
      <c r="F34" s="889"/>
      <c r="I34" s="889"/>
      <c r="J34" s="825" t="s">
        <v>335</v>
      </c>
      <c r="K34" s="825" t="s">
        <v>420</v>
      </c>
      <c r="L34">
        <v>12</v>
      </c>
      <c r="M34" s="889"/>
    </row>
    <row r="35" spans="1:13" x14ac:dyDescent="0.25">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5">
      <c r="A36" s="889"/>
      <c r="B36" s="825" t="s">
        <v>335</v>
      </c>
      <c r="C36" s="825" t="s">
        <v>375</v>
      </c>
      <c r="D36" s="838">
        <f>3+1+2+1+2+2</f>
        <v>11</v>
      </c>
      <c r="E36">
        <v>11</v>
      </c>
      <c r="F36" s="889"/>
      <c r="I36" s="889"/>
      <c r="J36" s="825" t="s">
        <v>335</v>
      </c>
      <c r="K36" s="825" t="s">
        <v>421</v>
      </c>
      <c r="L36">
        <v>12</v>
      </c>
      <c r="M36" s="889"/>
    </row>
    <row r="37" spans="1:13" x14ac:dyDescent="0.25">
      <c r="A37" s="840"/>
      <c r="B37" s="825"/>
      <c r="D37" s="838"/>
    </row>
    <row r="38" spans="1:13" x14ac:dyDescent="0.25">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8" thickBot="1" x14ac:dyDescent="0.3">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8" thickBot="1" x14ac:dyDescent="0.3">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4" thickTop="1" thickBot="1" x14ac:dyDescent="0.3">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8" thickBot="1" x14ac:dyDescent="0.3">
      <c r="B45" s="934" t="s">
        <v>111</v>
      </c>
      <c r="C45" s="935"/>
      <c r="D45" s="935"/>
      <c r="E45" s="935"/>
      <c r="F45" s="935"/>
      <c r="G45" s="935"/>
      <c r="H45" s="935"/>
      <c r="I45" s="935"/>
      <c r="J45" s="935"/>
      <c r="K45" s="935"/>
      <c r="L45" s="935"/>
      <c r="M45" s="935"/>
      <c r="N45" s="935"/>
      <c r="O45" s="935"/>
      <c r="P45" s="935"/>
      <c r="Q45" s="935"/>
      <c r="R45" s="93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8" thickBot="1" x14ac:dyDescent="0.3">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8" thickBot="1" x14ac:dyDescent="0.3">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4" thickTop="1" thickBot="1" x14ac:dyDescent="0.3">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8" thickBot="1" x14ac:dyDescent="0.3">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8" thickBot="1" x14ac:dyDescent="0.3">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8" thickBot="1" x14ac:dyDescent="0.3">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8" thickBot="1" x14ac:dyDescent="0.3">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8" thickBot="1" x14ac:dyDescent="0.3">
      <c r="B79" s="483"/>
      <c r="M79" s="484"/>
      <c r="N79" s="24"/>
      <c r="O79" s="485"/>
      <c r="P79" s="1020" t="s">
        <v>201</v>
      </c>
      <c r="Q79" s="1021"/>
      <c r="R79" s="486">
        <f>IF(AND($C$2&gt;0,$P$80&gt;0),IF($B$4,$P$80 / ($C$2/100)^2,$P$80 / $C$2^2*703),"")</f>
        <v>18.498158078143003</v>
      </c>
      <c r="T79" s="458"/>
      <c r="U79" s="458"/>
      <c r="V79" s="33"/>
      <c r="W79" s="33"/>
    </row>
    <row r="80" spans="2:28" ht="13.8" thickBot="1" x14ac:dyDescent="0.3">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4" thickTop="1" thickBot="1" x14ac:dyDescent="0.3">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8" thickTop="1" x14ac:dyDescent="0.25">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8" thickBot="1" x14ac:dyDescent="0.3">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5">
        <f>ROUND((-4.6 + 0.182258 * ((P85*IF(R86,1000,1))/Q85/1440*(IF(R86,1,1609.344))) + 0.000104 *((P85*IF(R86,1000,1))/Q85/1440*(IF(R86,1,1609.344)))^2)/R85,1)</f>
        <v>83.3</v>
      </c>
      <c r="Q86" s="1076"/>
      <c r="R86" s="520" t="b">
        <v>0</v>
      </c>
    </row>
    <row r="87" spans="2:23" ht="14.4" thickTop="1" thickBot="1" x14ac:dyDescent="0.3">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8" thickBot="1" x14ac:dyDescent="0.3">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4" thickTop="1" thickBot="1" x14ac:dyDescent="0.3">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8" thickBot="1" x14ac:dyDescent="0.3">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8" thickBot="1" x14ac:dyDescent="0.3">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8" thickBot="1" x14ac:dyDescent="0.3">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4" thickTop="1" thickBot="1" x14ac:dyDescent="0.3">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8" thickBot="1" x14ac:dyDescent="0.3">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4" thickTop="1" thickBot="1" x14ac:dyDescent="0.3">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8" thickBot="1" x14ac:dyDescent="0.3">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5">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8" thickBot="1" x14ac:dyDescent="0.3">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8" thickBot="1" x14ac:dyDescent="0.3">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8" thickBot="1" x14ac:dyDescent="0.3">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4" thickTop="1" thickBot="1" x14ac:dyDescent="0.3">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5">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8" thickBot="1" x14ac:dyDescent="0.3">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8" thickBot="1" x14ac:dyDescent="0.3">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8" thickBot="1" x14ac:dyDescent="0.3">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8" thickBot="1" x14ac:dyDescent="0.3">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4" thickTop="1" thickBot="1" x14ac:dyDescent="0.3">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8" thickBot="1" x14ac:dyDescent="0.3">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8" thickBot="1" x14ac:dyDescent="0.3">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8" thickBot="1" x14ac:dyDescent="0.3">
      <c r="B114" s="673"/>
      <c r="C114" s="674"/>
      <c r="D114" s="674"/>
      <c r="E114" s="674"/>
      <c r="F114" s="674"/>
      <c r="G114" s="674"/>
      <c r="H114" s="674"/>
      <c r="I114" s="674"/>
      <c r="J114" s="674"/>
      <c r="K114" s="674"/>
      <c r="L114" s="675"/>
      <c r="N114" s="625"/>
      <c r="O114" s="625"/>
      <c r="P114" s="1215" t="s">
        <v>257</v>
      </c>
      <c r="Q114" s="1185"/>
      <c r="R114" s="1186"/>
    </row>
    <row r="115" spans="2:34" ht="14.4" thickTop="1" thickBot="1" x14ac:dyDescent="0.3">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8" thickBot="1" x14ac:dyDescent="0.3">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8" thickBot="1" x14ac:dyDescent="0.3">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1229" t="s">
        <v>290</v>
      </c>
      <c r="X131" s="1230"/>
      <c r="Y131" s="1230"/>
      <c r="Z131" s="1230"/>
      <c r="AA131" s="1230"/>
      <c r="AB131" s="1230"/>
      <c r="AC131" s="1230"/>
      <c r="AD131" s="1230"/>
      <c r="AE131" s="1230"/>
      <c r="AF131" s="1230"/>
      <c r="AG131" s="123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1232" t="s">
        <v>291</v>
      </c>
      <c r="AE133" s="1233"/>
      <c r="AF133" s="123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8" thickBot="1" x14ac:dyDescent="0.3">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8" thickBot="1" x14ac:dyDescent="0.3">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8" thickBot="1" x14ac:dyDescent="0.3">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8" thickBot="1" x14ac:dyDescent="0.3">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8" thickBot="1" x14ac:dyDescent="0.3">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1235" t="s">
        <v>310</v>
      </c>
      <c r="AG252" s="1235"/>
    </row>
    <row r="253" spans="23:33" x14ac:dyDescent="0.25">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5">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5">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5">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1235" t="s">
        <v>324</v>
      </c>
      <c r="AG261" s="1235"/>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5">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5">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2025-07-17T04:13:41Z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