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665" yWindow="90" windowWidth="9840" windowHeight="9420"/>
  </bookViews>
  <sheets>
    <sheet name="table10.2" sheetId="1" r:id="rId1"/>
    <sheet name="Sheet1" sheetId="2" r:id="rId2"/>
  </sheets>
  <externalReferences>
    <externalReference r:id="rId3"/>
  </externalReferences>
  <definedNames>
    <definedName name="_xlnm.Print_Area" localSheetId="0">table10.2!$A$1:$AW$152</definedName>
  </definedNames>
  <calcPr calcId="145621"/>
</workbook>
</file>

<file path=xl/calcChain.xml><?xml version="1.0" encoding="utf-8"?>
<calcChain xmlns="http://schemas.openxmlformats.org/spreadsheetml/2006/main">
  <c r="AY13" i="1" l="1"/>
  <c r="AY11" i="1"/>
  <c r="AY12" i="1"/>
  <c r="AY10" i="1"/>
  <c r="BA11" i="1"/>
  <c r="BA12" i="1"/>
  <c r="BA13" i="1"/>
  <c r="BA10" i="1"/>
  <c r="AZ13" i="1"/>
  <c r="AZ11" i="1"/>
  <c r="AZ12" i="1"/>
  <c r="AZ10" i="1"/>
  <c r="AU16" i="1" l="1"/>
  <c r="A105" i="1"/>
  <c r="A54" i="1"/>
  <c r="AS151" i="1"/>
  <c r="AR151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T134" i="1"/>
  <c r="AS134" i="1"/>
  <c r="AR134" i="1" s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7" i="1"/>
  <c r="AR116" i="1"/>
  <c r="AR115" i="1"/>
  <c r="AR114" i="1"/>
  <c r="AR113" i="1"/>
  <c r="AR112" i="1"/>
  <c r="AR111" i="1"/>
  <c r="AR101" i="1"/>
  <c r="AR100" i="1"/>
  <c r="AR99" i="1"/>
  <c r="AR98" i="1"/>
  <c r="AR97" i="1"/>
  <c r="AR96" i="1"/>
  <c r="AR95" i="1"/>
  <c r="AR94" i="1"/>
  <c r="AT91" i="1"/>
  <c r="AR91" i="1" s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T74" i="1"/>
  <c r="AR74" i="1" s="1"/>
  <c r="AS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10" i="1" s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T30" i="1"/>
  <c r="AS30" i="1"/>
  <c r="AR30" i="1" s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T13" i="1"/>
  <c r="AT12" i="1"/>
  <c r="AS12" i="1"/>
  <c r="AR12" i="1" s="1"/>
  <c r="AT11" i="1"/>
  <c r="AS11" i="1"/>
  <c r="AR11" i="1"/>
  <c r="AT10" i="1"/>
  <c r="AS10" i="1"/>
  <c r="AS13" i="1" l="1"/>
  <c r="AR13" i="1" s="1"/>
  <c r="AU151" i="1" l="1"/>
  <c r="AU146" i="1"/>
  <c r="AU138" i="1"/>
  <c r="AU137" i="1"/>
  <c r="AU134" i="1"/>
  <c r="AU129" i="1"/>
  <c r="AU120" i="1"/>
  <c r="AU117" i="1"/>
  <c r="AU111" i="1"/>
  <c r="AU95" i="1"/>
  <c r="AU94" i="1"/>
  <c r="AU91" i="1"/>
  <c r="AU86" i="1"/>
  <c r="AU85" i="1"/>
  <c r="AU78" i="1"/>
  <c r="AU77" i="1"/>
  <c r="AU74" i="1"/>
  <c r="AU69" i="1"/>
  <c r="AU60" i="1"/>
  <c r="AU42" i="1"/>
  <c r="AU41" i="1"/>
  <c r="AU34" i="1"/>
  <c r="AU33" i="1"/>
  <c r="AU30" i="1"/>
  <c r="AW13" i="1"/>
  <c r="AV13" i="1"/>
  <c r="AV12" i="1"/>
  <c r="AW10" i="1"/>
  <c r="AV10" i="1"/>
  <c r="AM151" i="1"/>
  <c r="AL151" i="1"/>
  <c r="AN134" i="1"/>
  <c r="AM134" i="1"/>
  <c r="AL117" i="1"/>
  <c r="AL91" i="1"/>
  <c r="AM91" i="1"/>
  <c r="AN91" i="1"/>
  <c r="AL74" i="1"/>
  <c r="AN74" i="1"/>
  <c r="AM74" i="1"/>
  <c r="AL47" i="1"/>
  <c r="AL30" i="1"/>
  <c r="AM30" i="1"/>
  <c r="AN30" i="1"/>
  <c r="AN13" i="1"/>
  <c r="AQ13" i="1"/>
  <c r="AN68" i="1"/>
  <c r="AL150" i="1"/>
  <c r="AL149" i="1"/>
  <c r="AL148" i="1"/>
  <c r="AL147" i="1"/>
  <c r="AL146" i="1"/>
  <c r="AN145" i="1"/>
  <c r="AM145" i="1"/>
  <c r="AL133" i="1"/>
  <c r="AL132" i="1"/>
  <c r="AL131" i="1"/>
  <c r="AL130" i="1"/>
  <c r="AL129" i="1"/>
  <c r="AN128" i="1"/>
  <c r="AM128" i="1"/>
  <c r="AL116" i="1"/>
  <c r="AL115" i="1"/>
  <c r="AL114" i="1"/>
  <c r="AL113" i="1"/>
  <c r="AL112" i="1"/>
  <c r="AN111" i="1"/>
  <c r="AM111" i="1"/>
  <c r="AL90" i="1"/>
  <c r="AL89" i="1"/>
  <c r="AL88" i="1"/>
  <c r="AL87" i="1"/>
  <c r="AL86" i="1"/>
  <c r="AN85" i="1"/>
  <c r="AM85" i="1"/>
  <c r="AL73" i="1"/>
  <c r="AL72" i="1"/>
  <c r="AL71" i="1"/>
  <c r="AL70" i="1"/>
  <c r="AL69" i="1"/>
  <c r="AM68" i="1"/>
  <c r="AL68" i="1"/>
  <c r="AL46" i="1"/>
  <c r="AL45" i="1"/>
  <c r="AL44" i="1"/>
  <c r="AL43" i="1"/>
  <c r="AL42" i="1"/>
  <c r="AN41" i="1"/>
  <c r="AM41" i="1"/>
  <c r="AL29" i="1"/>
  <c r="AL28" i="1"/>
  <c r="AL27" i="1"/>
  <c r="AL26" i="1"/>
  <c r="AL25" i="1"/>
  <c r="AN24" i="1"/>
  <c r="AM24" i="1"/>
  <c r="AN138" i="1"/>
  <c r="AL144" i="1"/>
  <c r="AL143" i="1"/>
  <c r="AL142" i="1"/>
  <c r="AL141" i="1"/>
  <c r="AL140" i="1"/>
  <c r="AL139" i="1"/>
  <c r="AM138" i="1"/>
  <c r="AL127" i="1"/>
  <c r="AL126" i="1"/>
  <c r="AL125" i="1"/>
  <c r="AL124" i="1"/>
  <c r="AL123" i="1"/>
  <c r="AL122" i="1"/>
  <c r="AN121" i="1"/>
  <c r="AM121" i="1"/>
  <c r="AL101" i="1"/>
  <c r="AL100" i="1"/>
  <c r="AL99" i="1"/>
  <c r="AL98" i="1"/>
  <c r="AL97" i="1"/>
  <c r="AL96" i="1"/>
  <c r="AN95" i="1"/>
  <c r="AM95" i="1"/>
  <c r="AL84" i="1"/>
  <c r="AL83" i="1"/>
  <c r="AL82" i="1"/>
  <c r="AL81" i="1"/>
  <c r="AL80" i="1"/>
  <c r="AL79" i="1"/>
  <c r="AN78" i="1"/>
  <c r="AM78" i="1"/>
  <c r="AL67" i="1"/>
  <c r="AL66" i="1"/>
  <c r="AL65" i="1"/>
  <c r="AL64" i="1"/>
  <c r="AL63" i="1"/>
  <c r="AL62" i="1"/>
  <c r="AN61" i="1"/>
  <c r="AL61" i="1"/>
  <c r="AM61" i="1"/>
  <c r="AM34" i="1"/>
  <c r="AL34" i="1"/>
  <c r="AL40" i="1"/>
  <c r="AL39" i="1"/>
  <c r="AL38" i="1"/>
  <c r="AL37" i="1"/>
  <c r="AL36" i="1"/>
  <c r="AL35" i="1"/>
  <c r="AL23" i="1"/>
  <c r="AL22" i="1"/>
  <c r="AL21" i="1"/>
  <c r="AL20" i="1"/>
  <c r="AL19" i="1"/>
  <c r="AL18" i="1"/>
  <c r="AN17" i="1"/>
  <c r="AM17" i="1"/>
  <c r="AP24" i="1"/>
  <c r="AQ24" i="1"/>
  <c r="AQ41" i="1"/>
  <c r="AP41" i="1"/>
  <c r="AQ68" i="1"/>
  <c r="AP68" i="1"/>
  <c r="AQ85" i="1"/>
  <c r="AO85" i="1"/>
  <c r="AP85" i="1"/>
  <c r="AQ111" i="1"/>
  <c r="AP111" i="1"/>
  <c r="AQ128" i="1"/>
  <c r="AP128" i="1"/>
  <c r="AQ145" i="1"/>
  <c r="AP145" i="1"/>
  <c r="AQ138" i="1"/>
  <c r="AP138" i="1"/>
  <c r="AQ121" i="1"/>
  <c r="AP121" i="1"/>
  <c r="AQ95" i="1"/>
  <c r="AO95" i="1"/>
  <c r="AP95" i="1"/>
  <c r="AQ78" i="1"/>
  <c r="AP78" i="1"/>
  <c r="AQ61" i="1"/>
  <c r="AO61" i="1"/>
  <c r="AP61" i="1"/>
  <c r="AQ34" i="1"/>
  <c r="AP34" i="1"/>
  <c r="AQ17" i="1"/>
  <c r="AO17" i="1"/>
  <c r="AP17" i="1"/>
  <c r="AO101" i="1"/>
  <c r="AO100" i="1"/>
  <c r="AO99" i="1"/>
  <c r="AO98" i="1"/>
  <c r="AO97" i="1"/>
  <c r="AO96" i="1"/>
  <c r="AO94" i="1"/>
  <c r="AO117" i="1"/>
  <c r="AO116" i="1"/>
  <c r="AO115" i="1"/>
  <c r="AO114" i="1"/>
  <c r="AO113" i="1"/>
  <c r="AO112" i="1"/>
  <c r="AO120" i="1"/>
  <c r="AO151" i="1"/>
  <c r="AO150" i="1"/>
  <c r="AO149" i="1"/>
  <c r="AO148" i="1"/>
  <c r="AO147" i="1"/>
  <c r="AO146" i="1"/>
  <c r="AO144" i="1"/>
  <c r="AO143" i="1"/>
  <c r="AO142" i="1"/>
  <c r="AO141" i="1"/>
  <c r="AO140" i="1"/>
  <c r="AO139" i="1"/>
  <c r="AO137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91" i="1"/>
  <c r="AO90" i="1"/>
  <c r="AO89" i="1"/>
  <c r="AO88" i="1"/>
  <c r="AO87" i="1"/>
  <c r="AO86" i="1"/>
  <c r="AO84" i="1"/>
  <c r="AO83" i="1"/>
  <c r="AO82" i="1"/>
  <c r="AO81" i="1"/>
  <c r="AO80" i="1"/>
  <c r="AO79" i="1"/>
  <c r="AO77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0" i="1"/>
  <c r="AO47" i="1"/>
  <c r="AO46" i="1"/>
  <c r="AO45" i="1"/>
  <c r="AO44" i="1"/>
  <c r="AO43" i="1"/>
  <c r="AO42" i="1"/>
  <c r="AO40" i="1"/>
  <c r="AO39" i="1"/>
  <c r="AO38" i="1"/>
  <c r="AO37" i="1"/>
  <c r="AO36" i="1"/>
  <c r="AO35" i="1"/>
  <c r="AO33" i="1"/>
  <c r="AO30" i="1"/>
  <c r="AO29" i="1"/>
  <c r="AO28" i="1"/>
  <c r="AO27" i="1"/>
  <c r="AO26" i="1"/>
  <c r="AO25" i="1"/>
  <c r="AO23" i="1"/>
  <c r="AO22" i="1"/>
  <c r="AO21" i="1"/>
  <c r="AO20" i="1"/>
  <c r="AO19" i="1"/>
  <c r="AO18" i="1"/>
  <c r="AO16" i="1"/>
  <c r="AP13" i="1"/>
  <c r="AQ10" i="1"/>
  <c r="AP10" i="1"/>
  <c r="AF117" i="1"/>
  <c r="AF116" i="1"/>
  <c r="AF115" i="1"/>
  <c r="AF114" i="1"/>
  <c r="AF113" i="1"/>
  <c r="AF111" i="1"/>
  <c r="AI69" i="1"/>
  <c r="AG21" i="1"/>
  <c r="AK12" i="1"/>
  <c r="AK10" i="1"/>
  <c r="AI10" i="1" s="1"/>
  <c r="AL137" i="1"/>
  <c r="AL120" i="1"/>
  <c r="AL94" i="1"/>
  <c r="AL77" i="1"/>
  <c r="AL60" i="1"/>
  <c r="AL33" i="1"/>
  <c r="AL16" i="1"/>
  <c r="AN10" i="1"/>
  <c r="AM10" i="1"/>
  <c r="AH13" i="1"/>
  <c r="AF13" i="1"/>
  <c r="AJ13" i="1"/>
  <c r="AG13" i="1"/>
  <c r="AC117" i="1"/>
  <c r="W30" i="1"/>
  <c r="AK13" i="1"/>
  <c r="AI13" i="1"/>
  <c r="AI30" i="1"/>
  <c r="AH10" i="1"/>
  <c r="AI151" i="1"/>
  <c r="AI134" i="1"/>
  <c r="AI117" i="1"/>
  <c r="AI91" i="1"/>
  <c r="AI74" i="1"/>
  <c r="AI47" i="1"/>
  <c r="AJ150" i="1"/>
  <c r="AI150" i="1" s="1"/>
  <c r="AJ149" i="1"/>
  <c r="AI149" i="1"/>
  <c r="AJ148" i="1"/>
  <c r="AI148" i="1" s="1"/>
  <c r="AJ147" i="1"/>
  <c r="AI147" i="1" s="1"/>
  <c r="AJ144" i="1"/>
  <c r="AJ143" i="1"/>
  <c r="AI143" i="1" s="1"/>
  <c r="AJ142" i="1"/>
  <c r="AJ141" i="1"/>
  <c r="AI141" i="1" s="1"/>
  <c r="AJ140" i="1"/>
  <c r="AJ138" i="1" s="1"/>
  <c r="AI138" i="1" s="1"/>
  <c r="AJ139" i="1"/>
  <c r="AI139" i="1" s="1"/>
  <c r="AJ133" i="1"/>
  <c r="AI133" i="1" s="1"/>
  <c r="AJ132" i="1"/>
  <c r="AI132" i="1" s="1"/>
  <c r="AJ131" i="1"/>
  <c r="AJ130" i="1"/>
  <c r="AJ127" i="1"/>
  <c r="AJ126" i="1"/>
  <c r="AI126" i="1" s="1"/>
  <c r="AJ125" i="1"/>
  <c r="AJ124" i="1"/>
  <c r="AI124" i="1" s="1"/>
  <c r="AJ123" i="1"/>
  <c r="AI123" i="1" s="1"/>
  <c r="AJ122" i="1"/>
  <c r="AI122" i="1" s="1"/>
  <c r="AJ116" i="1"/>
  <c r="AI116" i="1" s="1"/>
  <c r="AJ115" i="1"/>
  <c r="AI115" i="1" s="1"/>
  <c r="AJ114" i="1"/>
  <c r="AJ113" i="1"/>
  <c r="AI113" i="1" s="1"/>
  <c r="AJ101" i="1"/>
  <c r="AI101" i="1" s="1"/>
  <c r="AJ100" i="1"/>
  <c r="AI100" i="1" s="1"/>
  <c r="AJ99" i="1"/>
  <c r="AJ98" i="1"/>
  <c r="AI98" i="1" s="1"/>
  <c r="AJ97" i="1"/>
  <c r="AJ96" i="1"/>
  <c r="AI96" i="1" s="1"/>
  <c r="AJ90" i="1"/>
  <c r="AI90" i="1" s="1"/>
  <c r="AJ89" i="1"/>
  <c r="AI89" i="1" s="1"/>
  <c r="AJ88" i="1"/>
  <c r="AI88" i="1" s="1"/>
  <c r="AJ87" i="1"/>
  <c r="AI87" i="1" s="1"/>
  <c r="AJ84" i="1"/>
  <c r="AJ83" i="1"/>
  <c r="AI83" i="1" s="1"/>
  <c r="AJ82" i="1"/>
  <c r="AJ81" i="1"/>
  <c r="AI81" i="1" s="1"/>
  <c r="AJ80" i="1"/>
  <c r="AI80" i="1" s="1"/>
  <c r="AJ79" i="1"/>
  <c r="AJ73" i="1"/>
  <c r="AI73" i="1" s="1"/>
  <c r="AJ72" i="1"/>
  <c r="AI72" i="1" s="1"/>
  <c r="AJ71" i="1"/>
  <c r="AI71" i="1" s="1"/>
  <c r="AJ70" i="1"/>
  <c r="AI70" i="1" s="1"/>
  <c r="AJ67" i="1"/>
  <c r="AI67" i="1" s="1"/>
  <c r="AJ66" i="1"/>
  <c r="AI66" i="1" s="1"/>
  <c r="AJ65" i="1"/>
  <c r="AI65" i="1" s="1"/>
  <c r="AJ64" i="1"/>
  <c r="AI64" i="1" s="1"/>
  <c r="AJ63" i="1"/>
  <c r="AI63" i="1" s="1"/>
  <c r="AJ62" i="1"/>
  <c r="AI62" i="1" s="1"/>
  <c r="AJ46" i="1"/>
  <c r="AI46" i="1" s="1"/>
  <c r="AJ45" i="1"/>
  <c r="AI45" i="1" s="1"/>
  <c r="AJ44" i="1"/>
  <c r="AI44" i="1" s="1"/>
  <c r="AJ43" i="1"/>
  <c r="AI43" i="1" s="1"/>
  <c r="AJ40" i="1"/>
  <c r="AJ39" i="1"/>
  <c r="AJ38" i="1"/>
  <c r="AJ37" i="1"/>
  <c r="AI37" i="1" s="1"/>
  <c r="AJ36" i="1"/>
  <c r="AJ35" i="1"/>
  <c r="AJ29" i="1"/>
  <c r="AI29" i="1" s="1"/>
  <c r="AJ28" i="1"/>
  <c r="AI28" i="1" s="1"/>
  <c r="AJ27" i="1"/>
  <c r="AI27" i="1" s="1"/>
  <c r="AJ26" i="1"/>
  <c r="AI26" i="1" s="1"/>
  <c r="AJ23" i="1"/>
  <c r="AI23" i="1" s="1"/>
  <c r="AJ22" i="1"/>
  <c r="AI22" i="1" s="1"/>
  <c r="AJ21" i="1"/>
  <c r="AI21" i="1" s="1"/>
  <c r="AJ20" i="1"/>
  <c r="AI20" i="1" s="1"/>
  <c r="AJ19" i="1"/>
  <c r="AI19" i="1" s="1"/>
  <c r="AJ18" i="1"/>
  <c r="AI16" i="1"/>
  <c r="AI144" i="1"/>
  <c r="AI142" i="1"/>
  <c r="AI137" i="1"/>
  <c r="AI131" i="1"/>
  <c r="AI130" i="1"/>
  <c r="AI129" i="1"/>
  <c r="AI127" i="1"/>
  <c r="AI125" i="1"/>
  <c r="AI120" i="1"/>
  <c r="AI99" i="1"/>
  <c r="AI94" i="1"/>
  <c r="AI86" i="1"/>
  <c r="AI84" i="1"/>
  <c r="AI82" i="1"/>
  <c r="AI77" i="1"/>
  <c r="AI60" i="1"/>
  <c r="AI42" i="1"/>
  <c r="AI33" i="1"/>
  <c r="AJ10" i="1"/>
  <c r="AG111" i="1"/>
  <c r="AH121" i="1"/>
  <c r="AG121" i="1"/>
  <c r="AF121" i="1"/>
  <c r="AG128" i="1"/>
  <c r="AF128" i="1"/>
  <c r="AF133" i="1"/>
  <c r="AF132" i="1"/>
  <c r="AF131" i="1"/>
  <c r="AF130" i="1"/>
  <c r="AF129" i="1"/>
  <c r="AF127" i="1"/>
  <c r="AF126" i="1"/>
  <c r="AF125" i="1"/>
  <c r="AF124" i="1"/>
  <c r="AF123" i="1"/>
  <c r="AF122" i="1"/>
  <c r="AF120" i="1"/>
  <c r="AH95" i="1"/>
  <c r="AG95" i="1"/>
  <c r="AF95" i="1"/>
  <c r="AF91" i="1"/>
  <c r="AG85" i="1"/>
  <c r="AF85" i="1"/>
  <c r="AF78" i="1"/>
  <c r="AG68" i="1"/>
  <c r="AF68" i="1"/>
  <c r="AG61" i="1"/>
  <c r="AF61" i="1"/>
  <c r="AF101" i="1"/>
  <c r="AF100" i="1"/>
  <c r="AF99" i="1"/>
  <c r="AF98" i="1"/>
  <c r="AF97" i="1"/>
  <c r="AF96" i="1"/>
  <c r="AF94" i="1"/>
  <c r="AF90" i="1"/>
  <c r="AF89" i="1"/>
  <c r="AF88" i="1"/>
  <c r="AF87" i="1"/>
  <c r="AF86" i="1"/>
  <c r="AF84" i="1"/>
  <c r="AF83" i="1"/>
  <c r="AF82" i="1"/>
  <c r="AF81" i="1"/>
  <c r="AF80" i="1"/>
  <c r="AF79" i="1"/>
  <c r="AF77" i="1"/>
  <c r="AF74" i="1"/>
  <c r="AF73" i="1"/>
  <c r="AF72" i="1"/>
  <c r="AF71" i="1"/>
  <c r="AF70" i="1"/>
  <c r="AF69" i="1"/>
  <c r="AF67" i="1"/>
  <c r="AF66" i="1"/>
  <c r="AF65" i="1"/>
  <c r="AF64" i="1"/>
  <c r="AF63" i="1"/>
  <c r="AF62" i="1"/>
  <c r="AF60" i="1"/>
  <c r="AG34" i="1"/>
  <c r="AF34" i="1"/>
  <c r="AG41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3" i="1"/>
  <c r="AF30" i="1"/>
  <c r="AF29" i="1"/>
  <c r="AF28" i="1"/>
  <c r="AF27" i="1"/>
  <c r="AF26" i="1"/>
  <c r="AG24" i="1"/>
  <c r="AF23" i="1"/>
  <c r="AF22" i="1"/>
  <c r="AF21" i="1"/>
  <c r="AF20" i="1"/>
  <c r="AF19" i="1"/>
  <c r="AF18" i="1"/>
  <c r="AG17" i="1"/>
  <c r="AG11" i="1"/>
  <c r="AF16" i="1"/>
  <c r="AH12" i="1"/>
  <c r="AG145" i="1"/>
  <c r="AG12" i="1"/>
  <c r="AF12" i="1"/>
  <c r="AH138" i="1"/>
  <c r="AG138" i="1"/>
  <c r="AG10" i="1"/>
  <c r="AF137" i="1"/>
  <c r="AF134" i="1"/>
  <c r="AF141" i="1"/>
  <c r="AF142" i="1"/>
  <c r="AF143" i="1"/>
  <c r="AF144" i="1"/>
  <c r="AF145" i="1"/>
  <c r="AF140" i="1"/>
  <c r="AF139" i="1"/>
  <c r="AF150" i="1"/>
  <c r="AF149" i="1"/>
  <c r="AF148" i="1"/>
  <c r="AF147" i="1"/>
  <c r="AF151" i="1"/>
  <c r="Z74" i="1"/>
  <c r="AC151" i="1"/>
  <c r="AC74" i="1"/>
  <c r="AC47" i="1"/>
  <c r="AC30" i="1"/>
  <c r="AD24" i="1"/>
  <c r="AD41" i="1"/>
  <c r="AD68" i="1"/>
  <c r="AD85" i="1"/>
  <c r="AC85" i="1"/>
  <c r="AD111" i="1"/>
  <c r="AD128" i="1"/>
  <c r="AD145" i="1"/>
  <c r="AC145" i="1"/>
  <c r="AD34" i="1"/>
  <c r="AD17" i="1"/>
  <c r="AD11" i="1"/>
  <c r="AE42" i="1"/>
  <c r="AC42" i="1"/>
  <c r="AE25" i="1"/>
  <c r="AE17" i="1"/>
  <c r="AC17" i="1"/>
  <c r="AC150" i="1"/>
  <c r="AC149" i="1"/>
  <c r="AC148" i="1"/>
  <c r="AC147" i="1"/>
  <c r="AC146" i="1"/>
  <c r="AE145" i="1"/>
  <c r="AC144" i="1"/>
  <c r="AC143" i="1"/>
  <c r="AC142" i="1"/>
  <c r="AC141" i="1"/>
  <c r="AC140" i="1"/>
  <c r="AC139" i="1"/>
  <c r="AE138" i="1"/>
  <c r="AD138" i="1"/>
  <c r="AC138" i="1"/>
  <c r="AC137" i="1"/>
  <c r="AE128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E121" i="1"/>
  <c r="AD121" i="1"/>
  <c r="AC120" i="1"/>
  <c r="AC116" i="1"/>
  <c r="AC115" i="1"/>
  <c r="AC114" i="1"/>
  <c r="AC113" i="1"/>
  <c r="AC112" i="1"/>
  <c r="AC111" i="1"/>
  <c r="AE111" i="1"/>
  <c r="AC101" i="1"/>
  <c r="AC100" i="1"/>
  <c r="AC99" i="1"/>
  <c r="AC98" i="1"/>
  <c r="AC97" i="1"/>
  <c r="AC96" i="1"/>
  <c r="AE95" i="1"/>
  <c r="AD95" i="1"/>
  <c r="AC94" i="1"/>
  <c r="AC90" i="1"/>
  <c r="AC89" i="1"/>
  <c r="AC88" i="1"/>
  <c r="AC87" i="1"/>
  <c r="AC86" i="1"/>
  <c r="AE85" i="1"/>
  <c r="AC84" i="1"/>
  <c r="AC83" i="1"/>
  <c r="AC82" i="1"/>
  <c r="AC81" i="1"/>
  <c r="AC80" i="1"/>
  <c r="AC79" i="1"/>
  <c r="AE78" i="1"/>
  <c r="AD78" i="1"/>
  <c r="AC78" i="1"/>
  <c r="AC77" i="1"/>
  <c r="AC73" i="1"/>
  <c r="AC72" i="1"/>
  <c r="AC71" i="1"/>
  <c r="AC70" i="1"/>
  <c r="AC69" i="1"/>
  <c r="AE68" i="1"/>
  <c r="AC68" i="1"/>
  <c r="AC67" i="1"/>
  <c r="AC66" i="1"/>
  <c r="AC65" i="1"/>
  <c r="AC64" i="1"/>
  <c r="AC63" i="1"/>
  <c r="AC62" i="1"/>
  <c r="AE61" i="1"/>
  <c r="AD61" i="1"/>
  <c r="AC61" i="1"/>
  <c r="AC60" i="1"/>
  <c r="AC46" i="1"/>
  <c r="AC45" i="1"/>
  <c r="AC44" i="1"/>
  <c r="AC43" i="1"/>
  <c r="AE41" i="1"/>
  <c r="AC41" i="1"/>
  <c r="AC40" i="1"/>
  <c r="AC39" i="1"/>
  <c r="AC38" i="1"/>
  <c r="AC37" i="1"/>
  <c r="AC36" i="1"/>
  <c r="AC35" i="1"/>
  <c r="AC34" i="1"/>
  <c r="AC33" i="1"/>
  <c r="AC10" i="1"/>
  <c r="AE24" i="1"/>
  <c r="AC29" i="1"/>
  <c r="AC28" i="1"/>
  <c r="AC27" i="1"/>
  <c r="AC26" i="1"/>
  <c r="AC25" i="1"/>
  <c r="AC23" i="1"/>
  <c r="AC22" i="1"/>
  <c r="AC21" i="1"/>
  <c r="AC20" i="1"/>
  <c r="AC19" i="1"/>
  <c r="AC18" i="1"/>
  <c r="AC16" i="1"/>
  <c r="AE13" i="1"/>
  <c r="AD13" i="1"/>
  <c r="AE11" i="1"/>
  <c r="AE10" i="1"/>
  <c r="AD10" i="1"/>
  <c r="G7" i="2"/>
  <c r="D14" i="2"/>
  <c r="D7" i="2"/>
  <c r="F7" i="2"/>
  <c r="C14" i="2"/>
  <c r="C7" i="2"/>
  <c r="E3" i="2"/>
  <c r="E4" i="2"/>
  <c r="E7" i="2"/>
  <c r="E5" i="2"/>
  <c r="E6" i="2"/>
  <c r="B3" i="2"/>
  <c r="B10" i="2"/>
  <c r="B4" i="2"/>
  <c r="B11" i="2"/>
  <c r="B5" i="2"/>
  <c r="B6" i="2"/>
  <c r="B13" i="2"/>
  <c r="D11" i="2"/>
  <c r="D12" i="2"/>
  <c r="D13" i="2"/>
  <c r="C11" i="2"/>
  <c r="C12" i="2"/>
  <c r="C13" i="2"/>
  <c r="B12" i="2"/>
  <c r="D10" i="2"/>
  <c r="C10" i="2"/>
  <c r="Z151" i="1"/>
  <c r="W151" i="1"/>
  <c r="Z134" i="1"/>
  <c r="W134" i="1"/>
  <c r="Z117" i="1"/>
  <c r="W117" i="1"/>
  <c r="Z91" i="1"/>
  <c r="W91" i="1"/>
  <c r="W74" i="1"/>
  <c r="Z47" i="1"/>
  <c r="W47" i="1"/>
  <c r="Z30" i="1"/>
  <c r="AA10" i="1"/>
  <c r="AA145" i="1"/>
  <c r="AA128" i="1"/>
  <c r="AA111" i="1"/>
  <c r="AA85" i="1"/>
  <c r="AA41" i="1"/>
  <c r="Z41" i="1"/>
  <c r="AB24" i="1"/>
  <c r="Z24" i="1"/>
  <c r="AA24" i="1"/>
  <c r="Z16" i="1"/>
  <c r="Z33" i="1"/>
  <c r="Z60" i="1"/>
  <c r="Z77" i="1"/>
  <c r="Z94" i="1"/>
  <c r="Z10" i="1"/>
  <c r="Z120" i="1"/>
  <c r="Z137" i="1"/>
  <c r="Z150" i="1"/>
  <c r="Z149" i="1"/>
  <c r="Z148" i="1"/>
  <c r="Z147" i="1"/>
  <c r="Z146" i="1"/>
  <c r="AB145" i="1"/>
  <c r="Z144" i="1"/>
  <c r="Z143" i="1"/>
  <c r="Z142" i="1"/>
  <c r="Z141" i="1"/>
  <c r="Z140" i="1"/>
  <c r="Z139" i="1"/>
  <c r="AB138" i="1"/>
  <c r="AA138" i="1"/>
  <c r="Z138" i="1"/>
  <c r="Z133" i="1"/>
  <c r="Z132" i="1"/>
  <c r="Z131" i="1"/>
  <c r="Z130" i="1"/>
  <c r="Z129" i="1"/>
  <c r="AB128" i="1"/>
  <c r="Z128" i="1"/>
  <c r="Z127" i="1"/>
  <c r="Z126" i="1"/>
  <c r="Z125" i="1"/>
  <c r="Z124" i="1"/>
  <c r="Z123" i="1"/>
  <c r="Z122" i="1"/>
  <c r="AB121" i="1"/>
  <c r="AA121" i="1"/>
  <c r="Z121" i="1"/>
  <c r="Z116" i="1"/>
  <c r="Z115" i="1"/>
  <c r="Z114" i="1"/>
  <c r="Z111" i="1"/>
  <c r="Z113" i="1"/>
  <c r="Z112" i="1"/>
  <c r="AB111" i="1"/>
  <c r="Z101" i="1"/>
  <c r="Z100" i="1"/>
  <c r="Z99" i="1"/>
  <c r="Z98" i="1"/>
  <c r="Z97" i="1"/>
  <c r="Z96" i="1"/>
  <c r="AB95" i="1"/>
  <c r="AA95" i="1"/>
  <c r="Z95" i="1"/>
  <c r="Z90" i="1"/>
  <c r="Z89" i="1"/>
  <c r="Z88" i="1"/>
  <c r="Z87" i="1"/>
  <c r="Z86" i="1"/>
  <c r="AB85" i="1"/>
  <c r="Z85" i="1"/>
  <c r="Z84" i="1"/>
  <c r="Z83" i="1"/>
  <c r="Z82" i="1"/>
  <c r="Z81" i="1"/>
  <c r="Z80" i="1"/>
  <c r="Z79" i="1"/>
  <c r="AB78" i="1"/>
  <c r="AA78" i="1"/>
  <c r="Z78" i="1"/>
  <c r="Z73" i="1"/>
  <c r="Z72" i="1"/>
  <c r="Z71" i="1"/>
  <c r="Z70" i="1"/>
  <c r="Z69" i="1"/>
  <c r="AB68" i="1"/>
  <c r="AA68" i="1"/>
  <c r="Z68" i="1"/>
  <c r="Z67" i="1"/>
  <c r="Z66" i="1"/>
  <c r="Z65" i="1"/>
  <c r="Z64" i="1"/>
  <c r="Z63" i="1"/>
  <c r="Z62" i="1"/>
  <c r="AB61" i="1"/>
  <c r="AB11" i="1"/>
  <c r="AA61" i="1"/>
  <c r="Z46" i="1"/>
  <c r="Z45" i="1"/>
  <c r="Z44" i="1"/>
  <c r="Z43" i="1"/>
  <c r="Z42" i="1"/>
  <c r="Z40" i="1"/>
  <c r="Z39" i="1"/>
  <c r="Z38" i="1"/>
  <c r="Z37" i="1"/>
  <c r="Z36" i="1"/>
  <c r="Z35" i="1"/>
  <c r="AA34" i="1"/>
  <c r="Z34" i="1"/>
  <c r="Z29" i="1"/>
  <c r="Z28" i="1"/>
  <c r="Z27" i="1"/>
  <c r="Z26" i="1"/>
  <c r="Z25" i="1"/>
  <c r="Z23" i="1"/>
  <c r="Z22" i="1"/>
  <c r="Z21" i="1"/>
  <c r="Z20" i="1"/>
  <c r="Z19" i="1"/>
  <c r="Z18" i="1"/>
  <c r="AB17" i="1"/>
  <c r="AA17" i="1"/>
  <c r="AB13" i="1"/>
  <c r="AA13" i="1"/>
  <c r="AB12" i="1"/>
  <c r="AA11" i="1"/>
  <c r="AB10" i="1"/>
  <c r="Y85" i="1"/>
  <c r="Y24" i="1"/>
  <c r="Y41" i="1"/>
  <c r="Y68" i="1"/>
  <c r="Y111" i="1"/>
  <c r="Y128" i="1"/>
  <c r="Y145" i="1"/>
  <c r="Y138" i="1"/>
  <c r="Y121" i="1"/>
  <c r="Y95" i="1"/>
  <c r="Y78" i="1"/>
  <c r="Y61" i="1"/>
  <c r="Y17" i="1"/>
  <c r="W16" i="1"/>
  <c r="U150" i="1"/>
  <c r="T150" i="1"/>
  <c r="U149" i="1"/>
  <c r="T149" i="1"/>
  <c r="U148" i="1"/>
  <c r="T148" i="1"/>
  <c r="U147" i="1"/>
  <c r="T147" i="1"/>
  <c r="U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U121" i="1"/>
  <c r="T121" i="1"/>
  <c r="U116" i="1"/>
  <c r="T116" i="1"/>
  <c r="U115" i="1"/>
  <c r="T115" i="1"/>
  <c r="U114" i="1"/>
  <c r="T114" i="1"/>
  <c r="U113" i="1"/>
  <c r="T113" i="1"/>
  <c r="U112" i="1"/>
  <c r="U111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U78" i="1"/>
  <c r="T78" i="1"/>
  <c r="T79" i="1"/>
  <c r="U73" i="1"/>
  <c r="T73" i="1"/>
  <c r="U72" i="1"/>
  <c r="T72" i="1"/>
  <c r="U71" i="1"/>
  <c r="T71" i="1"/>
  <c r="U70" i="1"/>
  <c r="T70" i="1"/>
  <c r="U69" i="1"/>
  <c r="U68" i="1"/>
  <c r="T68" i="1"/>
  <c r="T69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U34" i="1"/>
  <c r="T34" i="1"/>
  <c r="T35" i="1"/>
  <c r="U29" i="1"/>
  <c r="T29" i="1"/>
  <c r="U28" i="1"/>
  <c r="T28" i="1"/>
  <c r="U27" i="1"/>
  <c r="T27" i="1"/>
  <c r="U26" i="1"/>
  <c r="T26" i="1"/>
  <c r="U25" i="1"/>
  <c r="T25" i="1"/>
  <c r="U23" i="1"/>
  <c r="T23" i="1"/>
  <c r="U22" i="1"/>
  <c r="T22" i="1"/>
  <c r="U21" i="1"/>
  <c r="T21" i="1"/>
  <c r="U20" i="1"/>
  <c r="T20" i="1"/>
  <c r="U19" i="1"/>
  <c r="T19" i="1"/>
  <c r="U18" i="1"/>
  <c r="U17" i="1"/>
  <c r="T17" i="1"/>
  <c r="T11" i="1"/>
  <c r="T18" i="1"/>
  <c r="U13" i="1"/>
  <c r="V12" i="1"/>
  <c r="V11" i="1"/>
  <c r="V10" i="1"/>
  <c r="U10" i="1"/>
  <c r="T10" i="1"/>
  <c r="X144" i="1"/>
  <c r="W144" i="1"/>
  <c r="X143" i="1"/>
  <c r="W143" i="1"/>
  <c r="W137" i="1"/>
  <c r="W120" i="1"/>
  <c r="W94" i="1"/>
  <c r="W77" i="1"/>
  <c r="X78" i="1"/>
  <c r="W78" i="1"/>
  <c r="W60" i="1"/>
  <c r="W33" i="1"/>
  <c r="X17" i="1"/>
  <c r="W17" i="1"/>
  <c r="W150" i="1"/>
  <c r="W149" i="1"/>
  <c r="W148" i="1"/>
  <c r="W147" i="1"/>
  <c r="W146" i="1"/>
  <c r="X145" i="1"/>
  <c r="W145" i="1"/>
  <c r="W142" i="1"/>
  <c r="W141" i="1"/>
  <c r="W140" i="1"/>
  <c r="W139" i="1"/>
  <c r="X138" i="1"/>
  <c r="W138" i="1"/>
  <c r="W133" i="1"/>
  <c r="W132" i="1"/>
  <c r="W131" i="1"/>
  <c r="W130" i="1"/>
  <c r="W129" i="1"/>
  <c r="X128" i="1"/>
  <c r="W128" i="1"/>
  <c r="W127" i="1"/>
  <c r="W126" i="1"/>
  <c r="W125" i="1"/>
  <c r="W124" i="1"/>
  <c r="W123" i="1"/>
  <c r="W122" i="1"/>
  <c r="X121" i="1"/>
  <c r="W121" i="1"/>
  <c r="W116" i="1"/>
  <c r="W115" i="1"/>
  <c r="W114" i="1"/>
  <c r="W113" i="1"/>
  <c r="W112" i="1"/>
  <c r="W111" i="1"/>
  <c r="X111" i="1"/>
  <c r="W101" i="1"/>
  <c r="W100" i="1"/>
  <c r="W99" i="1"/>
  <c r="W98" i="1"/>
  <c r="W97" i="1"/>
  <c r="W96" i="1"/>
  <c r="X95" i="1"/>
  <c r="W95" i="1"/>
  <c r="W90" i="1"/>
  <c r="W89" i="1"/>
  <c r="W88" i="1"/>
  <c r="W87" i="1"/>
  <c r="W86" i="1"/>
  <c r="X85" i="1"/>
  <c r="W84" i="1"/>
  <c r="W83" i="1"/>
  <c r="W82" i="1"/>
  <c r="W81" i="1"/>
  <c r="W80" i="1"/>
  <c r="W79" i="1"/>
  <c r="W73" i="1"/>
  <c r="W72" i="1"/>
  <c r="W71" i="1"/>
  <c r="W70" i="1"/>
  <c r="W69" i="1"/>
  <c r="X68" i="1"/>
  <c r="W68" i="1"/>
  <c r="W67" i="1"/>
  <c r="W66" i="1"/>
  <c r="W65" i="1"/>
  <c r="W64" i="1"/>
  <c r="W63" i="1"/>
  <c r="W62" i="1"/>
  <c r="X61" i="1"/>
  <c r="W61" i="1"/>
  <c r="W46" i="1"/>
  <c r="W45" i="1"/>
  <c r="W44" i="1"/>
  <c r="W43" i="1"/>
  <c r="W42" i="1"/>
  <c r="X41" i="1"/>
  <c r="W41" i="1"/>
  <c r="W40" i="1"/>
  <c r="W39" i="1"/>
  <c r="W38" i="1"/>
  <c r="W37" i="1"/>
  <c r="W36" i="1"/>
  <c r="W35" i="1"/>
  <c r="X34" i="1"/>
  <c r="W34" i="1"/>
  <c r="W29" i="1"/>
  <c r="W28" i="1"/>
  <c r="W27" i="1"/>
  <c r="W26" i="1"/>
  <c r="W25" i="1"/>
  <c r="X24" i="1"/>
  <c r="W24" i="1"/>
  <c r="W23" i="1"/>
  <c r="W22" i="1"/>
  <c r="W21" i="1"/>
  <c r="W20" i="1"/>
  <c r="W19" i="1"/>
  <c r="W18" i="1"/>
  <c r="Y13" i="1"/>
  <c r="X13" i="1"/>
  <c r="Y11" i="1"/>
  <c r="Y10" i="1"/>
  <c r="X10" i="1"/>
  <c r="W10" i="1"/>
  <c r="S10" i="1"/>
  <c r="S61" i="1"/>
  <c r="S78" i="1"/>
  <c r="S95" i="1"/>
  <c r="S11" i="1"/>
  <c r="S121" i="1"/>
  <c r="S138" i="1"/>
  <c r="S24" i="1"/>
  <c r="S12" i="1"/>
  <c r="S41" i="1"/>
  <c r="Q41" i="1"/>
  <c r="S68" i="1"/>
  <c r="S85" i="1"/>
  <c r="S111" i="1"/>
  <c r="S128" i="1"/>
  <c r="Q128" i="1"/>
  <c r="S145" i="1"/>
  <c r="S30" i="1"/>
  <c r="S74" i="1"/>
  <c r="S91" i="1"/>
  <c r="S134" i="1"/>
  <c r="Q16" i="1"/>
  <c r="Q10" i="1"/>
  <c r="Q33" i="1"/>
  <c r="Q60" i="1"/>
  <c r="Q77" i="1"/>
  <c r="Q94" i="1"/>
  <c r="Q120" i="1"/>
  <c r="Q137" i="1"/>
  <c r="N10" i="1"/>
  <c r="Q17" i="1"/>
  <c r="Q11" i="1"/>
  <c r="Q34" i="1"/>
  <c r="Q61" i="1"/>
  <c r="R78" i="1"/>
  <c r="Q78" i="1"/>
  <c r="R95" i="1"/>
  <c r="Q95" i="1"/>
  <c r="R121" i="1"/>
  <c r="Q121" i="1"/>
  <c r="R138" i="1"/>
  <c r="Q138" i="1"/>
  <c r="N11" i="1"/>
  <c r="R41" i="1"/>
  <c r="R68" i="1"/>
  <c r="R85" i="1"/>
  <c r="R111" i="1"/>
  <c r="R128" i="1"/>
  <c r="R145" i="1"/>
  <c r="Q145" i="1"/>
  <c r="R12" i="1"/>
  <c r="Q12" i="1"/>
  <c r="N12" i="1"/>
  <c r="Q13" i="1"/>
  <c r="N13" i="1"/>
  <c r="N151" i="1"/>
  <c r="N150" i="1"/>
  <c r="N149" i="1"/>
  <c r="N148" i="1"/>
  <c r="N147" i="1"/>
  <c r="N144" i="1"/>
  <c r="N143" i="1"/>
  <c r="N142" i="1"/>
  <c r="N141" i="1"/>
  <c r="N140" i="1"/>
  <c r="N139" i="1"/>
  <c r="N133" i="1"/>
  <c r="N132" i="1"/>
  <c r="N131" i="1"/>
  <c r="N130" i="1"/>
  <c r="N127" i="1"/>
  <c r="N126" i="1"/>
  <c r="N125" i="1"/>
  <c r="N124" i="1"/>
  <c r="N123" i="1"/>
  <c r="N122" i="1"/>
  <c r="N116" i="1"/>
  <c r="N115" i="1"/>
  <c r="N114" i="1"/>
  <c r="N113" i="1"/>
  <c r="N101" i="1"/>
  <c r="N100" i="1"/>
  <c r="N99" i="1"/>
  <c r="N98" i="1"/>
  <c r="N97" i="1"/>
  <c r="N96" i="1"/>
  <c r="N90" i="1"/>
  <c r="N89" i="1"/>
  <c r="N88" i="1"/>
  <c r="N87" i="1"/>
  <c r="N84" i="1"/>
  <c r="N83" i="1"/>
  <c r="N82" i="1"/>
  <c r="N81" i="1"/>
  <c r="N80" i="1"/>
  <c r="N79" i="1"/>
  <c r="N73" i="1"/>
  <c r="N72" i="1"/>
  <c r="N71" i="1"/>
  <c r="N70" i="1"/>
  <c r="N67" i="1"/>
  <c r="N66" i="1"/>
  <c r="N65" i="1"/>
  <c r="N64" i="1"/>
  <c r="N63" i="1"/>
  <c r="N62" i="1"/>
  <c r="N46" i="1"/>
  <c r="N45" i="1"/>
  <c r="N44" i="1"/>
  <c r="N43" i="1"/>
  <c r="N40" i="1"/>
  <c r="N39" i="1"/>
  <c r="N38" i="1"/>
  <c r="N37" i="1"/>
  <c r="N36" i="1"/>
  <c r="N35" i="1"/>
  <c r="N29" i="1"/>
  <c r="N28" i="1"/>
  <c r="N27" i="1"/>
  <c r="N26" i="1"/>
  <c r="N23" i="1"/>
  <c r="N22" i="1"/>
  <c r="N21" i="1"/>
  <c r="N20" i="1"/>
  <c r="N19" i="1"/>
  <c r="N18" i="1"/>
  <c r="R13" i="1"/>
  <c r="R10" i="1"/>
  <c r="Q139" i="1"/>
  <c r="Q140" i="1"/>
  <c r="Q141" i="1"/>
  <c r="Q142" i="1"/>
  <c r="Q143" i="1"/>
  <c r="Q144" i="1"/>
  <c r="Q147" i="1"/>
  <c r="Q148" i="1"/>
  <c r="Q149" i="1"/>
  <c r="Q150" i="1"/>
  <c r="Q130" i="1"/>
  <c r="Q131" i="1"/>
  <c r="Q132" i="1"/>
  <c r="Q133" i="1"/>
  <c r="Q122" i="1"/>
  <c r="Q123" i="1"/>
  <c r="Q124" i="1"/>
  <c r="Q125" i="1"/>
  <c r="Q126" i="1"/>
  <c r="Q127" i="1"/>
  <c r="Q113" i="1"/>
  <c r="Q114" i="1"/>
  <c r="Q115" i="1"/>
  <c r="Q116" i="1"/>
  <c r="Q96" i="1"/>
  <c r="Q97" i="1"/>
  <c r="Q98" i="1"/>
  <c r="Q99" i="1"/>
  <c r="Q100" i="1"/>
  <c r="Q101" i="1"/>
  <c r="Q79" i="1"/>
  <c r="Q80" i="1"/>
  <c r="Q81" i="1"/>
  <c r="Q82" i="1"/>
  <c r="Q83" i="1"/>
  <c r="Q84" i="1"/>
  <c r="Q85" i="1"/>
  <c r="Q87" i="1"/>
  <c r="Q88" i="1"/>
  <c r="Q89" i="1"/>
  <c r="Q90" i="1"/>
  <c r="Q62" i="1"/>
  <c r="Q63" i="1"/>
  <c r="Q64" i="1"/>
  <c r="Q65" i="1"/>
  <c r="Q66" i="1"/>
  <c r="Q67" i="1"/>
  <c r="Q68" i="1"/>
  <c r="Q70" i="1"/>
  <c r="Q71" i="1"/>
  <c r="Q72" i="1"/>
  <c r="Q73" i="1"/>
  <c r="Q35" i="1"/>
  <c r="Q36" i="1"/>
  <c r="Q37" i="1"/>
  <c r="Q38" i="1"/>
  <c r="Q39" i="1"/>
  <c r="Q40" i="1"/>
  <c r="Q43" i="1"/>
  <c r="Q44" i="1"/>
  <c r="Q45" i="1"/>
  <c r="Q46" i="1"/>
  <c r="Q18" i="1"/>
  <c r="Q19" i="1"/>
  <c r="Q20" i="1"/>
  <c r="Q21" i="1"/>
  <c r="Q22" i="1"/>
  <c r="Q23" i="1"/>
  <c r="Q26" i="1"/>
  <c r="Q27" i="1"/>
  <c r="Q28" i="1"/>
  <c r="Q29" i="1"/>
  <c r="N145" i="1"/>
  <c r="N138" i="1"/>
  <c r="N137" i="1"/>
  <c r="P134" i="1"/>
  <c r="N128" i="1"/>
  <c r="N121" i="1"/>
  <c r="N120" i="1"/>
  <c r="N111" i="1"/>
  <c r="K151" i="1"/>
  <c r="K150" i="1"/>
  <c r="K149" i="1"/>
  <c r="K148" i="1"/>
  <c r="K147" i="1"/>
  <c r="K145" i="1"/>
  <c r="K144" i="1"/>
  <c r="K143" i="1"/>
  <c r="K142" i="1"/>
  <c r="K141" i="1"/>
  <c r="K140" i="1"/>
  <c r="K139" i="1"/>
  <c r="K138" i="1"/>
  <c r="K137" i="1"/>
  <c r="K134" i="1"/>
  <c r="K133" i="1"/>
  <c r="K132" i="1"/>
  <c r="K131" i="1"/>
  <c r="K130" i="1"/>
  <c r="K128" i="1"/>
  <c r="K127" i="1"/>
  <c r="K126" i="1"/>
  <c r="K125" i="1"/>
  <c r="K124" i="1"/>
  <c r="K123" i="1"/>
  <c r="K122" i="1"/>
  <c r="K121" i="1"/>
  <c r="K120" i="1"/>
  <c r="K117" i="1"/>
  <c r="K116" i="1"/>
  <c r="K115" i="1"/>
  <c r="K114" i="1"/>
  <c r="K113" i="1"/>
  <c r="K111" i="1"/>
  <c r="H151" i="1"/>
  <c r="E151" i="1"/>
  <c r="H150" i="1"/>
  <c r="H149" i="1"/>
  <c r="E149" i="1"/>
  <c r="H148" i="1"/>
  <c r="H147" i="1"/>
  <c r="E147" i="1"/>
  <c r="H145" i="1"/>
  <c r="E145" i="1"/>
  <c r="H144" i="1"/>
  <c r="E144" i="1"/>
  <c r="H143" i="1"/>
  <c r="H142" i="1"/>
  <c r="E142" i="1"/>
  <c r="H141" i="1"/>
  <c r="H140" i="1"/>
  <c r="E140" i="1"/>
  <c r="H139" i="1"/>
  <c r="H138" i="1"/>
  <c r="E138" i="1"/>
  <c r="H137" i="1"/>
  <c r="E137" i="1"/>
  <c r="H134" i="1"/>
  <c r="E134" i="1"/>
  <c r="H133" i="1"/>
  <c r="H132" i="1"/>
  <c r="E132" i="1"/>
  <c r="H131" i="1"/>
  <c r="H130" i="1"/>
  <c r="E130" i="1"/>
  <c r="H128" i="1"/>
  <c r="H127" i="1"/>
  <c r="E127" i="1"/>
  <c r="H126" i="1"/>
  <c r="E126" i="1"/>
  <c r="H125" i="1"/>
  <c r="E125" i="1"/>
  <c r="H124" i="1"/>
  <c r="H123" i="1"/>
  <c r="E123" i="1"/>
  <c r="H122" i="1"/>
  <c r="H121" i="1"/>
  <c r="E121" i="1"/>
  <c r="H120" i="1"/>
  <c r="H117" i="1"/>
  <c r="E117" i="1"/>
  <c r="H116" i="1"/>
  <c r="E116" i="1"/>
  <c r="H115" i="1"/>
  <c r="E115" i="1"/>
  <c r="H114" i="1"/>
  <c r="H113" i="1"/>
  <c r="E113" i="1"/>
  <c r="H111" i="1"/>
  <c r="N95" i="1"/>
  <c r="N94" i="1"/>
  <c r="P91" i="1"/>
  <c r="N85" i="1"/>
  <c r="N78" i="1"/>
  <c r="N77" i="1"/>
  <c r="P74" i="1"/>
  <c r="N68" i="1"/>
  <c r="N61" i="1"/>
  <c r="N60" i="1"/>
  <c r="K101" i="1"/>
  <c r="K100" i="1"/>
  <c r="K99" i="1"/>
  <c r="K98" i="1"/>
  <c r="K97" i="1"/>
  <c r="K96" i="1"/>
  <c r="K95" i="1"/>
  <c r="K94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H101" i="1"/>
  <c r="E101" i="1"/>
  <c r="H100" i="1"/>
  <c r="E100" i="1"/>
  <c r="H99" i="1"/>
  <c r="E99" i="1"/>
  <c r="H98" i="1"/>
  <c r="H97" i="1"/>
  <c r="E97" i="1"/>
  <c r="H96" i="1"/>
  <c r="H95" i="1"/>
  <c r="E95" i="1"/>
  <c r="H94" i="1"/>
  <c r="H91" i="1"/>
  <c r="E91" i="1"/>
  <c r="H90" i="1"/>
  <c r="E90" i="1"/>
  <c r="H89" i="1"/>
  <c r="E89" i="1"/>
  <c r="H88" i="1"/>
  <c r="H87" i="1"/>
  <c r="E87" i="1"/>
  <c r="H85" i="1"/>
  <c r="H84" i="1"/>
  <c r="E84" i="1"/>
  <c r="H83" i="1"/>
  <c r="E83" i="1"/>
  <c r="H82" i="1"/>
  <c r="E82" i="1"/>
  <c r="H81" i="1"/>
  <c r="E81" i="1"/>
  <c r="H80" i="1"/>
  <c r="E80" i="1"/>
  <c r="H79" i="1"/>
  <c r="H78" i="1"/>
  <c r="E78" i="1"/>
  <c r="H77" i="1"/>
  <c r="H74" i="1"/>
  <c r="E74" i="1"/>
  <c r="H73" i="1"/>
  <c r="E73" i="1"/>
  <c r="H72" i="1"/>
  <c r="E72" i="1"/>
  <c r="H71" i="1"/>
  <c r="E71" i="1"/>
  <c r="H70" i="1"/>
  <c r="E70" i="1"/>
  <c r="H68" i="1"/>
  <c r="H67" i="1"/>
  <c r="E67" i="1"/>
  <c r="H66" i="1"/>
  <c r="H65" i="1"/>
  <c r="H64" i="1"/>
  <c r="E64" i="1"/>
  <c r="H63" i="1"/>
  <c r="H62" i="1"/>
  <c r="H61" i="1"/>
  <c r="E61" i="1"/>
  <c r="H60" i="1"/>
  <c r="P47" i="1"/>
  <c r="N41" i="1"/>
  <c r="N34" i="1"/>
  <c r="N33" i="1"/>
  <c r="N24" i="1"/>
  <c r="N17" i="1"/>
  <c r="N16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3" i="1"/>
  <c r="K12" i="1"/>
  <c r="K11" i="1"/>
  <c r="K10" i="1"/>
  <c r="H47" i="1"/>
  <c r="H46" i="1"/>
  <c r="H45" i="1"/>
  <c r="H44" i="1"/>
  <c r="E44" i="1"/>
  <c r="H43" i="1"/>
  <c r="H41" i="1"/>
  <c r="E41" i="1"/>
  <c r="H40" i="1"/>
  <c r="H39" i="1"/>
  <c r="E39" i="1"/>
  <c r="H38" i="1"/>
  <c r="H37" i="1"/>
  <c r="E37" i="1"/>
  <c r="H36" i="1"/>
  <c r="H35" i="1"/>
  <c r="E35" i="1"/>
  <c r="H34" i="1"/>
  <c r="H33" i="1"/>
  <c r="E33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3" i="1"/>
  <c r="H12" i="1"/>
  <c r="E12" i="1"/>
  <c r="H11" i="1"/>
  <c r="H10" i="1"/>
  <c r="E10" i="1"/>
  <c r="F34" i="1"/>
  <c r="E34" i="1"/>
  <c r="E65" i="1"/>
  <c r="E63" i="1"/>
  <c r="E150" i="1"/>
  <c r="E148" i="1"/>
  <c r="E143" i="1"/>
  <c r="E141" i="1"/>
  <c r="E139" i="1"/>
  <c r="E133" i="1"/>
  <c r="E131" i="1"/>
  <c r="E128" i="1"/>
  <c r="E124" i="1"/>
  <c r="E122" i="1"/>
  <c r="E120" i="1"/>
  <c r="E114" i="1"/>
  <c r="E111" i="1"/>
  <c r="E98" i="1"/>
  <c r="E96" i="1"/>
  <c r="E94" i="1"/>
  <c r="E88" i="1"/>
  <c r="E85" i="1"/>
  <c r="E79" i="1"/>
  <c r="E77" i="1"/>
  <c r="E68" i="1"/>
  <c r="E66" i="1"/>
  <c r="E47" i="1"/>
  <c r="E46" i="1"/>
  <c r="E45" i="1"/>
  <c r="E62" i="1"/>
  <c r="E60" i="1"/>
  <c r="E43" i="1"/>
  <c r="E40" i="1"/>
  <c r="E38" i="1"/>
  <c r="E36" i="1"/>
  <c r="E13" i="1"/>
  <c r="E11" i="1"/>
  <c r="B96" i="1"/>
  <c r="B97" i="1"/>
  <c r="B98" i="1"/>
  <c r="B99" i="1"/>
  <c r="B100" i="1"/>
  <c r="B101" i="1"/>
  <c r="B95" i="1"/>
  <c r="D13" i="1"/>
  <c r="C13" i="1"/>
  <c r="B13" i="1"/>
  <c r="D24" i="1"/>
  <c r="D87" i="1"/>
  <c r="D88" i="1"/>
  <c r="B88" i="1"/>
  <c r="D89" i="1"/>
  <c r="B89" i="1"/>
  <c r="D90" i="1"/>
  <c r="B90" i="1"/>
  <c r="B12" i="1"/>
  <c r="B11" i="1"/>
  <c r="B10" i="1"/>
  <c r="B150" i="1"/>
  <c r="B149" i="1"/>
  <c r="B148" i="1"/>
  <c r="B147" i="1"/>
  <c r="B145" i="1"/>
  <c r="B144" i="1"/>
  <c r="B143" i="1"/>
  <c r="B142" i="1"/>
  <c r="B141" i="1"/>
  <c r="B140" i="1"/>
  <c r="B139" i="1"/>
  <c r="B138" i="1"/>
  <c r="B137" i="1"/>
  <c r="B133" i="1"/>
  <c r="B132" i="1"/>
  <c r="B131" i="1"/>
  <c r="B130" i="1"/>
  <c r="B128" i="1"/>
  <c r="B127" i="1"/>
  <c r="B126" i="1"/>
  <c r="B125" i="1"/>
  <c r="B124" i="1"/>
  <c r="B123" i="1"/>
  <c r="B122" i="1"/>
  <c r="B121" i="1"/>
  <c r="B120" i="1"/>
  <c r="B116" i="1"/>
  <c r="B115" i="1"/>
  <c r="B114" i="1"/>
  <c r="B113" i="1"/>
  <c r="B111" i="1"/>
  <c r="B87" i="1"/>
  <c r="B85" i="1"/>
  <c r="B84" i="1"/>
  <c r="B83" i="1"/>
  <c r="B82" i="1"/>
  <c r="B81" i="1"/>
  <c r="B80" i="1"/>
  <c r="B79" i="1"/>
  <c r="B78" i="1"/>
  <c r="B77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46" i="1"/>
  <c r="B45" i="1"/>
  <c r="B44" i="1"/>
  <c r="B43" i="1"/>
  <c r="B41" i="1"/>
  <c r="B29" i="1"/>
  <c r="B28" i="1"/>
  <c r="B27" i="1"/>
  <c r="B26" i="1"/>
  <c r="B24" i="1"/>
  <c r="B23" i="1"/>
  <c r="B22" i="1"/>
  <c r="B21" i="1"/>
  <c r="B20" i="1"/>
  <c r="B19" i="1"/>
  <c r="B18" i="1"/>
  <c r="B17" i="1"/>
  <c r="B16" i="1"/>
  <c r="N30" i="1"/>
  <c r="AJ145" i="1"/>
  <c r="AI145" i="1" s="1"/>
  <c r="AI18" i="1"/>
  <c r="S13" i="1"/>
  <c r="Q111" i="1"/>
  <c r="AE12" i="1"/>
  <c r="Y12" i="1"/>
  <c r="U24" i="1"/>
  <c r="U12" i="1"/>
  <c r="T12" i="1"/>
  <c r="X11" i="1"/>
  <c r="X12" i="1"/>
  <c r="W12" i="1" s="1"/>
  <c r="W11" i="1"/>
  <c r="W85" i="1"/>
  <c r="AA12" i="1"/>
  <c r="Z12" i="1"/>
  <c r="Z17" i="1"/>
  <c r="Z11" i="1"/>
  <c r="Z61" i="1"/>
  <c r="Z145" i="1"/>
  <c r="AC24" i="1"/>
  <c r="AC95" i="1"/>
  <c r="AC121" i="1"/>
  <c r="AC11" i="1"/>
  <c r="AF138" i="1"/>
  <c r="AH11" i="1"/>
  <c r="AF10" i="1"/>
  <c r="AF24" i="1"/>
  <c r="T24" i="1"/>
  <c r="T30" i="1"/>
  <c r="V13" i="1"/>
  <c r="T13" i="1"/>
  <c r="Z13" i="1"/>
  <c r="AC13" i="1"/>
  <c r="W13" i="1"/>
  <c r="AL10" i="1"/>
  <c r="AL145" i="1"/>
  <c r="AL128" i="1"/>
  <c r="AL111" i="1"/>
  <c r="AL85" i="1"/>
  <c r="AL41" i="1"/>
  <c r="AN12" i="1"/>
  <c r="AM12" i="1"/>
  <c r="AL24" i="1"/>
  <c r="AI40" i="1"/>
  <c r="AK34" i="1"/>
  <c r="AK11" i="1"/>
  <c r="AI36" i="1"/>
  <c r="AL17" i="1"/>
  <c r="AL138" i="1"/>
  <c r="AL121" i="1"/>
  <c r="AN11" i="1"/>
  <c r="AL95" i="1"/>
  <c r="AL78" i="1"/>
  <c r="AI35" i="1"/>
  <c r="AI39" i="1"/>
  <c r="AI38" i="1"/>
  <c r="AM11" i="1"/>
  <c r="AO24" i="1"/>
  <c r="AP11" i="1"/>
  <c r="AO10" i="1"/>
  <c r="AJ24" i="1"/>
  <c r="AI24" i="1" s="1"/>
  <c r="AJ111" i="1"/>
  <c r="AI111" i="1" s="1"/>
  <c r="AJ85" i="1"/>
  <c r="AI85" i="1" s="1"/>
  <c r="U11" i="1"/>
  <c r="B14" i="2"/>
  <c r="Q24" i="1"/>
  <c r="R11" i="1"/>
  <c r="T112" i="1"/>
  <c r="T111" i="1"/>
  <c r="T122" i="1"/>
  <c r="T146" i="1"/>
  <c r="B7" i="2"/>
  <c r="AF17" i="1"/>
  <c r="AF11" i="1"/>
  <c r="AI97" i="1"/>
  <c r="AI114" i="1"/>
  <c r="AD12" i="1"/>
  <c r="AC12" i="1"/>
  <c r="AL12" i="1"/>
  <c r="AL11" i="1"/>
  <c r="AO111" i="1"/>
  <c r="AQ12" i="1"/>
  <c r="AO41" i="1"/>
  <c r="AO138" i="1"/>
  <c r="AO121" i="1"/>
  <c r="AO78" i="1"/>
  <c r="AO34" i="1"/>
  <c r="AP12" i="1"/>
  <c r="AO145" i="1"/>
  <c r="AQ11" i="1"/>
  <c r="AL134" i="1"/>
  <c r="AM13" i="1"/>
  <c r="AL13" i="1"/>
  <c r="AO13" i="1"/>
  <c r="AO12" i="1"/>
  <c r="AO11" i="1"/>
  <c r="AJ68" i="1" l="1"/>
  <c r="AJ34" i="1"/>
  <c r="AI34" i="1" s="1"/>
  <c r="AJ95" i="1"/>
  <c r="AI95" i="1" s="1"/>
  <c r="AJ121" i="1"/>
  <c r="AI121" i="1" s="1"/>
  <c r="AJ128" i="1"/>
  <c r="AI128" i="1" s="1"/>
  <c r="AI140" i="1"/>
  <c r="AJ41" i="1"/>
  <c r="AI41" i="1" s="1"/>
  <c r="AJ61" i="1"/>
  <c r="AI61" i="1" s="1"/>
  <c r="AJ78" i="1"/>
  <c r="AI78" i="1" s="1"/>
  <c r="AU13" i="1"/>
  <c r="AJ17" i="1"/>
  <c r="AI79" i="1"/>
  <c r="AU145" i="1"/>
  <c r="AU128" i="1"/>
  <c r="AW12" i="1"/>
  <c r="AU68" i="1"/>
  <c r="AW11" i="1"/>
  <c r="AU121" i="1"/>
  <c r="AU61" i="1"/>
  <c r="AV11" i="1"/>
  <c r="AU24" i="1"/>
  <c r="AU10" i="1"/>
  <c r="AI17" i="1"/>
  <c r="AU17" i="1"/>
  <c r="AY74" i="1" l="1"/>
  <c r="AU12" i="1"/>
  <c r="AJ12" i="1"/>
  <c r="AI12" i="1" s="1"/>
  <c r="AJ11" i="1"/>
  <c r="AI11" i="1" s="1"/>
  <c r="AI68" i="1"/>
  <c r="AU11" i="1"/>
</calcChain>
</file>

<file path=xl/sharedStrings.xml><?xml version="1.0" encoding="utf-8"?>
<sst xmlns="http://schemas.openxmlformats.org/spreadsheetml/2006/main" count="966" uniqueCount="71">
  <si>
    <t>Table 10.2</t>
  </si>
  <si>
    <t>Table 10.2 Continued</t>
  </si>
  <si>
    <t>Province/City</t>
  </si>
  <si>
    <t>SY 1998-1999</t>
  </si>
  <si>
    <t>SY 1999-2000</t>
  </si>
  <si>
    <t>SY 2000-2001</t>
  </si>
  <si>
    <t>Level of Education</t>
  </si>
  <si>
    <t>Total</t>
  </si>
  <si>
    <t xml:space="preserve">Public </t>
  </si>
  <si>
    <t>Private</t>
  </si>
  <si>
    <t>Public</t>
  </si>
  <si>
    <t xml:space="preserve">Total </t>
  </si>
  <si>
    <t xml:space="preserve">    Pre-School</t>
  </si>
  <si>
    <t>…</t>
  </si>
  <si>
    <t xml:space="preserve">    Elementary</t>
  </si>
  <si>
    <t xml:space="preserve">    Secondary</t>
  </si>
  <si>
    <t>CAR</t>
  </si>
  <si>
    <t xml:space="preserve">    Tertiary</t>
  </si>
  <si>
    <t>Abra</t>
  </si>
  <si>
    <t xml:space="preserve">          Grade I</t>
  </si>
  <si>
    <t xml:space="preserve">          Grade 2</t>
  </si>
  <si>
    <t xml:space="preserve">          Grade 3</t>
  </si>
  <si>
    <t xml:space="preserve">          Grade 4</t>
  </si>
  <si>
    <t xml:space="preserve">          Grade 5</t>
  </si>
  <si>
    <t xml:space="preserve">          Grade 6</t>
  </si>
  <si>
    <t xml:space="preserve">          First Year</t>
  </si>
  <si>
    <t xml:space="preserve">          Second Year</t>
  </si>
  <si>
    <t xml:space="preserve">          Third Year</t>
  </si>
  <si>
    <t xml:space="preserve">          Fourth Year</t>
  </si>
  <si>
    <t>Apayao</t>
  </si>
  <si>
    <t>-</t>
  </si>
  <si>
    <t>Baguio City</t>
  </si>
  <si>
    <t>Benguet</t>
  </si>
  <si>
    <t>Ifugao</t>
  </si>
  <si>
    <t>Kalinga</t>
  </si>
  <si>
    <t xml:space="preserve"> -</t>
  </si>
  <si>
    <t>Secondary</t>
  </si>
  <si>
    <t>Mountain Province</t>
  </si>
  <si>
    <t xml:space="preserve">     Tertiary </t>
  </si>
  <si>
    <t>SY 2001-2002</t>
  </si>
  <si>
    <t>SY 2002-2003</t>
  </si>
  <si>
    <t>ENROLMENT IN GOVERNMENT AND PRIVATE SCHOOLS BY LEVEL OF EDUCATION</t>
  </si>
  <si>
    <t>Note: There are no private elementary schools in Apayao and Ifugao</t>
  </si>
  <si>
    <t>BY PROVINCE/CITY</t>
  </si>
  <si>
    <t>INCREASE</t>
  </si>
  <si>
    <t>GRAND TOTAL</t>
  </si>
  <si>
    <t>SY 2003-2004</t>
  </si>
  <si>
    <t>Sources:  1) Commission on Higher Education</t>
  </si>
  <si>
    <t>SY 2004-2005</t>
  </si>
  <si>
    <t xml:space="preserve">  Bridge</t>
  </si>
  <si>
    <t xml:space="preserve">          FIrst Year</t>
  </si>
  <si>
    <t>..</t>
  </si>
  <si>
    <t>SY 2005-2006</t>
  </si>
  <si>
    <t>ENROLMENT IN GOVERNMENT AND PRIVATE SCHOOLS BY LEVEL OF EDUCATION AND</t>
  </si>
  <si>
    <t>SY 2006-2007</t>
  </si>
  <si>
    <r>
      <t xml:space="preserve">Ifugao </t>
    </r>
    <r>
      <rPr>
        <sz val="9"/>
        <rFont val="Arial"/>
        <family val="2"/>
      </rPr>
      <t>(Continued)</t>
    </r>
  </si>
  <si>
    <t>AND PROVINCE/CITY</t>
  </si>
  <si>
    <t>SY 2007-2008</t>
  </si>
  <si>
    <t>SY 2008-2009</t>
  </si>
  <si>
    <t xml:space="preserve"> Tertiary</t>
  </si>
  <si>
    <t>SY 2009-2010</t>
  </si>
  <si>
    <t>SY 2010-2011</t>
  </si>
  <si>
    <t>Pre</t>
  </si>
  <si>
    <t>Elem</t>
  </si>
  <si>
    <t>HS</t>
  </si>
  <si>
    <t>College</t>
  </si>
  <si>
    <t>SY 2011-2012</t>
  </si>
  <si>
    <t>SY 2012-2013</t>
  </si>
  <si>
    <t xml:space="preserve">                2) Department of Education</t>
  </si>
  <si>
    <t>SY 2007-2008 TO SY 2013-2014</t>
  </si>
  <si>
    <t>SY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</si>
</sst>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_);_(* \(#,##0\);_(* &quot;-&quot;??_);_(@_)"/>
    <numFmt numFmtId="166" formatCode="0.0"/>
  </numFmts>
  <fonts count="11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5" fillId="0" borderId="1" xfId="0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wrapText="1"/>
    </xf>
    <xf numFmtId="164" fontId="5" fillId="0" borderId="6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41" fontId="6" fillId="0" borderId="0" xfId="0" applyNumberFormat="1" applyFont="1" applyBorder="1"/>
    <xf numFmtId="41" fontId="6" fillId="0" borderId="0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4" xfId="0" applyFont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1" fontId="6" fillId="0" borderId="0" xfId="1" applyNumberFormat="1" applyFont="1" applyBorder="1"/>
    <xf numFmtId="41" fontId="6" fillId="0" borderId="0" xfId="0" applyNumberFormat="1" applyFont="1" applyFill="1" applyBorder="1"/>
    <xf numFmtId="0" fontId="5" fillId="0" borderId="2" xfId="0" applyFont="1" applyBorder="1"/>
    <xf numFmtId="0" fontId="6" fillId="0" borderId="3" xfId="0" applyFont="1" applyBorder="1"/>
    <xf numFmtId="41" fontId="6" fillId="0" borderId="0" xfId="0" applyNumberFormat="1" applyFont="1"/>
    <xf numFmtId="41" fontId="6" fillId="0" borderId="0" xfId="0" applyNumberFormat="1" applyFont="1" applyAlignment="1">
      <alignment horizontal="right"/>
    </xf>
    <xf numFmtId="166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6" xfId="0" applyFont="1" applyFill="1" applyBorder="1" applyAlignment="1">
      <alignment horizontal="center"/>
    </xf>
    <xf numFmtId="10" fontId="3" fillId="0" borderId="0" xfId="0" applyNumberFormat="1" applyFont="1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41" fontId="6" fillId="0" borderId="0" xfId="0" applyNumberFormat="1" applyFont="1" applyFill="1"/>
    <xf numFmtId="41" fontId="6" fillId="0" borderId="0" xfId="0" applyNumberFormat="1" applyFont="1" applyFill="1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left"/>
    </xf>
    <xf numFmtId="41" fontId="6" fillId="0" borderId="0" xfId="0" applyNumberFormat="1" applyFont="1" applyFill="1" applyBorder="1" applyAlignment="1">
      <alignment horizontal="right"/>
    </xf>
    <xf numFmtId="41" fontId="6" fillId="0" borderId="0" xfId="1" applyNumberFormat="1" applyFont="1" applyFill="1" applyBorder="1"/>
    <xf numFmtId="0" fontId="6" fillId="0" borderId="0" xfId="0" applyFont="1" applyFill="1" applyBorder="1" applyAlignment="1">
      <alignment horizontal="left" indent="2"/>
    </xf>
    <xf numFmtId="41" fontId="6" fillId="0" borderId="0" xfId="1" applyNumberFormat="1" applyFont="1" applyFill="1" applyBorder="1" applyAlignment="1">
      <alignment horizontal="right"/>
    </xf>
    <xf numFmtId="41" fontId="6" fillId="0" borderId="7" xfId="0" applyNumberFormat="1" applyFont="1" applyFill="1" applyBorder="1" applyAlignment="1">
      <alignment horizontal="right"/>
    </xf>
    <xf numFmtId="41" fontId="6" fillId="0" borderId="7" xfId="0" applyNumberFormat="1" applyFont="1" applyFill="1" applyBorder="1"/>
    <xf numFmtId="41" fontId="6" fillId="0" borderId="7" xfId="1" applyNumberFormat="1" applyFont="1" applyFill="1" applyBorder="1"/>
    <xf numFmtId="0" fontId="6" fillId="0" borderId="0" xfId="0" applyFont="1" applyFill="1" applyAlignment="1">
      <alignment horizontal="center"/>
    </xf>
    <xf numFmtId="165" fontId="6" fillId="0" borderId="0" xfId="1" applyNumberFormat="1" applyFont="1" applyFill="1"/>
    <xf numFmtId="165" fontId="6" fillId="0" borderId="0" xfId="1" applyNumberFormat="1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5" fontId="5" fillId="0" borderId="6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right"/>
    </xf>
    <xf numFmtId="41" fontId="6" fillId="0" borderId="0" xfId="1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5" fillId="0" borderId="0" xfId="0" applyFont="1" applyFill="1"/>
    <xf numFmtId="3" fontId="6" fillId="0" borderId="0" xfId="0" applyNumberFormat="1" applyFont="1" applyFill="1" applyBorder="1"/>
    <xf numFmtId="165" fontId="5" fillId="0" borderId="5" xfId="1" applyNumberFormat="1" applyFont="1" applyFill="1" applyBorder="1" applyAlignment="1">
      <alignment horizontal="center"/>
    </xf>
    <xf numFmtId="0" fontId="5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right"/>
    </xf>
    <xf numFmtId="41" fontId="5" fillId="0" borderId="0" xfId="1" applyNumberFormat="1" applyFont="1" applyFill="1" applyBorder="1"/>
    <xf numFmtId="41" fontId="5" fillId="0" borderId="0" xfId="0" applyNumberFormat="1" applyFont="1" applyFill="1" applyBorder="1" applyAlignment="1">
      <alignment horizontal="right"/>
    </xf>
    <xf numFmtId="41" fontId="5" fillId="0" borderId="0" xfId="0" applyNumberFormat="1" applyFont="1" applyFill="1" applyBorder="1"/>
    <xf numFmtId="0" fontId="4" fillId="0" borderId="0" xfId="0" applyFont="1" applyFill="1"/>
    <xf numFmtId="41" fontId="5" fillId="0" borderId="0" xfId="1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left" indent="1"/>
    </xf>
    <xf numFmtId="41" fontId="5" fillId="0" borderId="7" xfId="0" applyNumberFormat="1" applyFont="1" applyFill="1" applyBorder="1" applyAlignment="1">
      <alignment horizontal="right"/>
    </xf>
    <xf numFmtId="41" fontId="5" fillId="0" borderId="7" xfId="0" applyNumberFormat="1" applyFont="1" applyFill="1" applyBorder="1"/>
    <xf numFmtId="41" fontId="5" fillId="0" borderId="7" xfId="1" applyNumberFormat="1" applyFont="1" applyFill="1" applyBorder="1"/>
    <xf numFmtId="41" fontId="5" fillId="0" borderId="7" xfId="1" applyNumberFormat="1" applyFont="1" applyFill="1" applyBorder="1" applyAlignment="1">
      <alignment horizontal="right"/>
    </xf>
    <xf numFmtId="0" fontId="4" fillId="0" borderId="0" xfId="0" applyFont="1" applyFill="1" applyBorder="1"/>
    <xf numFmtId="0" fontId="5" fillId="0" borderId="7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165" fontId="6" fillId="0" borderId="0" xfId="1" applyNumberFormat="1" applyFont="1" applyFill="1" applyAlignment="1">
      <alignment horizontal="center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5" fillId="0" borderId="7" xfId="1" applyNumberFormat="1" applyFont="1" applyFill="1" applyBorder="1"/>
    <xf numFmtId="165" fontId="5" fillId="0" borderId="7" xfId="1" applyNumberFormat="1" applyFont="1" applyFill="1" applyBorder="1" applyAlignment="1">
      <alignment horizontal="right"/>
    </xf>
    <xf numFmtId="165" fontId="6" fillId="0" borderId="7" xfId="1" applyNumberFormat="1" applyFont="1" applyFill="1" applyBorder="1" applyAlignment="1">
      <alignment horizontal="right"/>
    </xf>
    <xf numFmtId="165" fontId="6" fillId="0" borderId="0" xfId="1" applyNumberFormat="1" applyFont="1" applyFill="1" applyBorder="1"/>
    <xf numFmtId="165" fontId="6" fillId="0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165" fontId="6" fillId="0" borderId="7" xfId="1" applyNumberFormat="1" applyFont="1" applyFill="1" applyBorder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Alignment="1">
      <alignment horizontal="right"/>
    </xf>
    <xf numFmtId="0" fontId="9" fillId="0" borderId="0" xfId="0" applyFont="1" applyFill="1"/>
    <xf numFmtId="166" fontId="9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Alignment="1">
      <alignment horizontal="right"/>
    </xf>
    <xf numFmtId="165" fontId="10" fillId="0" borderId="0" xfId="0" applyNumberFormat="1" applyFont="1" applyFill="1"/>
    <xf numFmtId="41" fontId="6" fillId="0" borderId="0" xfId="1" applyNumberFormat="1" applyFont="1" applyFill="1" applyAlignment="1">
      <alignment horizontal="right"/>
    </xf>
    <xf numFmtId="41" fontId="6" fillId="0" borderId="0" xfId="1" applyNumberFormat="1" applyFont="1" applyFill="1"/>
    <xf numFmtId="41" fontId="5" fillId="0" borderId="0" xfId="1" applyNumberFormat="1" applyFont="1" applyFill="1" applyAlignment="1">
      <alignment horizontal="right"/>
    </xf>
    <xf numFmtId="41" fontId="5" fillId="0" borderId="0" xfId="1" applyNumberFormat="1" applyFont="1" applyFill="1"/>
    <xf numFmtId="41" fontId="6" fillId="0" borderId="7" xfId="1" applyNumberFormat="1" applyFont="1" applyFill="1" applyBorder="1" applyAlignment="1">
      <alignment horizontal="right"/>
    </xf>
    <xf numFmtId="41" fontId="5" fillId="0" borderId="6" xfId="1" applyNumberFormat="1" applyFont="1" applyFill="1" applyBorder="1" applyAlignment="1">
      <alignment horizontal="center"/>
    </xf>
    <xf numFmtId="41" fontId="5" fillId="0" borderId="0" xfId="1" applyNumberFormat="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center"/>
    </xf>
    <xf numFmtId="41" fontId="6" fillId="0" borderId="0" xfId="1" applyNumberFormat="1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1" fontId="5" fillId="0" borderId="4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3" xfId="0" applyNumberFormat="1" applyFont="1" applyFill="1" applyBorder="1" applyAlignment="1">
      <alignment horizontal="center"/>
    </xf>
    <xf numFmtId="41" fontId="5" fillId="0" borderId="4" xfId="1" applyNumberFormat="1" applyFont="1" applyFill="1" applyBorder="1" applyAlignment="1">
      <alignment horizontal="center"/>
    </xf>
    <xf numFmtId="41" fontId="5" fillId="0" borderId="2" xfId="1" applyNumberFormat="1" applyFont="1" applyFill="1" applyBorder="1" applyAlignment="1">
      <alignment horizontal="center"/>
    </xf>
    <xf numFmtId="41" fontId="5" fillId="0" borderId="3" xfId="1" applyNumberFormat="1" applyFont="1" applyFill="1" applyBorder="1" applyAlignment="1">
      <alignment horizontal="center"/>
    </xf>
    <xf numFmtId="165" fontId="5" fillId="0" borderId="4" xfId="1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n/Documents/NSCB%20Documents/Publications/RSET/2010%20RSET/Data%20submissions/DepEd/DEPED-SY%202009-2010%20Data%20-%20Public%20Preschool,%20Elementary%20&amp;%20Second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chool"/>
      <sheetName val="Elem"/>
      <sheetName val="Sec"/>
      <sheetName val="PI"/>
    </sheetNames>
    <sheetDataSet>
      <sheetData sheetId="0" refreshError="1"/>
      <sheetData sheetId="1" refreshError="1">
        <row r="10">
          <cell r="C10">
            <v>3425</v>
          </cell>
          <cell r="D10">
            <v>2982</v>
          </cell>
          <cell r="E10">
            <v>2883</v>
          </cell>
          <cell r="F10">
            <v>2667</v>
          </cell>
          <cell r="G10">
            <v>2722</v>
          </cell>
          <cell r="H10">
            <v>2434</v>
          </cell>
          <cell r="I10">
            <v>2741</v>
          </cell>
          <cell r="J10">
            <v>2408</v>
          </cell>
          <cell r="K10">
            <v>2428</v>
          </cell>
          <cell r="L10">
            <v>2253</v>
          </cell>
          <cell r="M10">
            <v>2384</v>
          </cell>
          <cell r="N10">
            <v>2174</v>
          </cell>
        </row>
        <row r="11">
          <cell r="C11">
            <v>2453</v>
          </cell>
          <cell r="D11">
            <v>1956</v>
          </cell>
          <cell r="E11">
            <v>1779</v>
          </cell>
          <cell r="F11">
            <v>1510</v>
          </cell>
          <cell r="G11">
            <v>1503</v>
          </cell>
          <cell r="H11">
            <v>1502</v>
          </cell>
          <cell r="I11">
            <v>1400</v>
          </cell>
          <cell r="J11">
            <v>1372</v>
          </cell>
          <cell r="K11">
            <v>1380</v>
          </cell>
          <cell r="L11">
            <v>1353</v>
          </cell>
          <cell r="M11">
            <v>1225</v>
          </cell>
          <cell r="N11">
            <v>1199</v>
          </cell>
        </row>
        <row r="12">
          <cell r="C12">
            <v>3245</v>
          </cell>
          <cell r="D12">
            <v>2821</v>
          </cell>
          <cell r="E12">
            <v>2886</v>
          </cell>
          <cell r="F12">
            <v>2679</v>
          </cell>
          <cell r="G12">
            <v>2886</v>
          </cell>
          <cell r="H12">
            <v>2656</v>
          </cell>
          <cell r="I12">
            <v>2639</v>
          </cell>
          <cell r="J12">
            <v>2575</v>
          </cell>
          <cell r="K12">
            <v>2661</v>
          </cell>
          <cell r="L12">
            <v>2394</v>
          </cell>
          <cell r="M12">
            <v>2386</v>
          </cell>
          <cell r="N12">
            <v>2239</v>
          </cell>
        </row>
        <row r="13">
          <cell r="C13">
            <v>5321</v>
          </cell>
          <cell r="D13">
            <v>4439</v>
          </cell>
          <cell r="E13">
            <v>4511</v>
          </cell>
          <cell r="F13">
            <v>3933</v>
          </cell>
          <cell r="G13">
            <v>4263</v>
          </cell>
          <cell r="H13">
            <v>3897</v>
          </cell>
          <cell r="I13">
            <v>4065</v>
          </cell>
          <cell r="J13">
            <v>3745</v>
          </cell>
          <cell r="K13">
            <v>3865</v>
          </cell>
          <cell r="L13">
            <v>3636</v>
          </cell>
          <cell r="M13">
            <v>3444</v>
          </cell>
          <cell r="N13">
            <v>3422</v>
          </cell>
        </row>
        <row r="14">
          <cell r="C14">
            <v>3262</v>
          </cell>
          <cell r="D14">
            <v>2656</v>
          </cell>
          <cell r="E14">
            <v>2814</v>
          </cell>
          <cell r="F14">
            <v>2406</v>
          </cell>
          <cell r="G14">
            <v>2458</v>
          </cell>
          <cell r="H14">
            <v>2174</v>
          </cell>
          <cell r="I14">
            <v>2292</v>
          </cell>
          <cell r="J14">
            <v>2137</v>
          </cell>
          <cell r="K14">
            <v>2174</v>
          </cell>
          <cell r="L14">
            <v>2093</v>
          </cell>
          <cell r="M14">
            <v>1847</v>
          </cell>
          <cell r="N14">
            <v>2058</v>
          </cell>
        </row>
        <row r="15">
          <cell r="C15">
            <v>4167</v>
          </cell>
          <cell r="D15">
            <v>3593</v>
          </cell>
          <cell r="E15">
            <v>3188</v>
          </cell>
          <cell r="F15">
            <v>2727</v>
          </cell>
          <cell r="G15">
            <v>2774</v>
          </cell>
          <cell r="H15">
            <v>2537</v>
          </cell>
          <cell r="I15">
            <v>2585</v>
          </cell>
          <cell r="J15">
            <v>2406</v>
          </cell>
          <cell r="K15">
            <v>2435</v>
          </cell>
          <cell r="L15">
            <v>2383</v>
          </cell>
          <cell r="M15">
            <v>2282</v>
          </cell>
          <cell r="N15">
            <v>2269</v>
          </cell>
        </row>
        <row r="16">
          <cell r="C16">
            <v>2596</v>
          </cell>
          <cell r="D16">
            <v>2131</v>
          </cell>
          <cell r="E16">
            <v>2240</v>
          </cell>
          <cell r="F16">
            <v>1930</v>
          </cell>
          <cell r="G16">
            <v>2063</v>
          </cell>
          <cell r="H16">
            <v>1865</v>
          </cell>
          <cell r="I16">
            <v>1945</v>
          </cell>
          <cell r="J16">
            <v>1746</v>
          </cell>
          <cell r="K16">
            <v>1791</v>
          </cell>
          <cell r="L16">
            <v>1651</v>
          </cell>
          <cell r="M16">
            <v>1610</v>
          </cell>
          <cell r="N16">
            <v>1621</v>
          </cell>
        </row>
      </sheetData>
      <sheetData sheetId="2" refreshError="1">
        <row r="10">
          <cell r="C10">
            <v>1577</v>
          </cell>
          <cell r="D10">
            <v>1495</v>
          </cell>
          <cell r="E10">
            <v>1469</v>
          </cell>
          <cell r="F10">
            <v>1326</v>
          </cell>
          <cell r="G10">
            <v>1415</v>
          </cell>
          <cell r="H10">
            <v>1376</v>
          </cell>
          <cell r="I10">
            <v>1269</v>
          </cell>
          <cell r="J10">
            <v>1290</v>
          </cell>
        </row>
        <row r="11">
          <cell r="C11">
            <v>1003</v>
          </cell>
          <cell r="D11">
            <v>947</v>
          </cell>
          <cell r="E11">
            <v>830</v>
          </cell>
          <cell r="F11">
            <v>797</v>
          </cell>
          <cell r="G11">
            <v>748</v>
          </cell>
          <cell r="H11">
            <v>724</v>
          </cell>
          <cell r="I11">
            <v>540</v>
          </cell>
          <cell r="J11">
            <v>652</v>
          </cell>
        </row>
        <row r="12">
          <cell r="C12">
            <v>2735</v>
          </cell>
          <cell r="D12">
            <v>2561</v>
          </cell>
          <cell r="E12">
            <v>2495</v>
          </cell>
          <cell r="F12">
            <v>2452</v>
          </cell>
          <cell r="G12">
            <v>2137</v>
          </cell>
          <cell r="H12">
            <v>2373</v>
          </cell>
          <cell r="I12">
            <v>1961</v>
          </cell>
          <cell r="J12">
            <v>2321</v>
          </cell>
        </row>
        <row r="13">
          <cell r="C13">
            <v>2603</v>
          </cell>
          <cell r="D13">
            <v>2419</v>
          </cell>
          <cell r="E13">
            <v>2223</v>
          </cell>
          <cell r="F13">
            <v>2413</v>
          </cell>
          <cell r="G13">
            <v>2051</v>
          </cell>
          <cell r="H13">
            <v>2348</v>
          </cell>
          <cell r="I13">
            <v>1795</v>
          </cell>
          <cell r="J13">
            <v>2254</v>
          </cell>
        </row>
        <row r="14">
          <cell r="C14">
            <v>1288</v>
          </cell>
          <cell r="D14">
            <v>1405</v>
          </cell>
          <cell r="E14">
            <v>1033</v>
          </cell>
          <cell r="F14">
            <v>1374</v>
          </cell>
          <cell r="G14">
            <v>901</v>
          </cell>
          <cell r="H14">
            <v>1294</v>
          </cell>
          <cell r="I14">
            <v>777</v>
          </cell>
          <cell r="J14">
            <v>1231</v>
          </cell>
        </row>
        <row r="15">
          <cell r="C15">
            <v>1875</v>
          </cell>
          <cell r="D15">
            <v>1723</v>
          </cell>
          <cell r="E15">
            <v>1640</v>
          </cell>
          <cell r="F15">
            <v>1730</v>
          </cell>
          <cell r="G15">
            <v>1420</v>
          </cell>
          <cell r="H15">
            <v>1574</v>
          </cell>
          <cell r="I15">
            <v>1183</v>
          </cell>
          <cell r="J15">
            <v>1591</v>
          </cell>
        </row>
        <row r="16">
          <cell r="C16">
            <v>1531</v>
          </cell>
          <cell r="D16">
            <v>1258</v>
          </cell>
          <cell r="E16">
            <v>1384</v>
          </cell>
          <cell r="F16">
            <v>1253</v>
          </cell>
          <cell r="G16">
            <v>1122</v>
          </cell>
          <cell r="H16">
            <v>1339</v>
          </cell>
          <cell r="I16">
            <v>1022</v>
          </cell>
          <cell r="J16">
            <v>1164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3"/>
  <sheetViews>
    <sheetView tabSelected="1" view="pageBreakPreview" zoomScale="110" zoomScaleNormal="75" zoomScaleSheetLayoutView="110" workbookViewId="0">
      <pane xSplit="19" ySplit="13" topLeftCell="AS14" activePane="bottomRight" state="frozen"/>
      <selection pane="topRight" activeCell="T1" sqref="T1"/>
      <selection pane="bottomLeft" activeCell="A14" sqref="A14"/>
      <selection pane="bottomRight" activeCell="A49" sqref="A49"/>
    </sheetView>
  </sheetViews>
  <sheetFormatPr defaultRowHeight="12.75" x14ac:dyDescent="0.2"/>
  <cols>
    <col min="1" max="1" width="16.28515625" style="30" customWidth="1"/>
    <col min="2" max="4" width="8.7109375" style="31" hidden="1" customWidth="1"/>
    <col min="5" max="6" width="8.7109375" style="32" hidden="1" customWidth="1"/>
    <col min="7" max="7" width="8.7109375" style="31" hidden="1" customWidth="1"/>
    <col min="8" max="10" width="8.7109375" style="32" hidden="1" customWidth="1"/>
    <col min="11" max="12" width="8.28515625" style="32" hidden="1" customWidth="1"/>
    <col min="13" max="13" width="8.140625" style="32" hidden="1" customWidth="1"/>
    <col min="14" max="14" width="8.28515625" style="32" hidden="1" customWidth="1"/>
    <col min="15" max="15" width="8.28515625" style="31" hidden="1" customWidth="1"/>
    <col min="16" max="16" width="8.140625" style="31" hidden="1" customWidth="1"/>
    <col min="17" max="18" width="8.28515625" style="34" hidden="1" customWidth="1"/>
    <col min="19" max="19" width="7.42578125" style="34" hidden="1" customWidth="1"/>
    <col min="20" max="20" width="8.28515625" style="35" hidden="1" customWidth="1"/>
    <col min="21" max="21" width="8.5703125" style="35" hidden="1" customWidth="1"/>
    <col min="22" max="22" width="7.28515625" style="35" hidden="1" customWidth="1"/>
    <col min="23" max="28" width="8.28515625" style="35" hidden="1" customWidth="1"/>
    <col min="29" max="29" width="8.140625" style="35" customWidth="1"/>
    <col min="30" max="30" width="8.140625" style="34" customWidth="1"/>
    <col min="31" max="31" width="7.28515625" style="31" customWidth="1"/>
    <col min="32" max="33" width="8.140625" style="31" customWidth="1"/>
    <col min="34" max="34" width="7.28515625" style="31" customWidth="1"/>
    <col min="35" max="36" width="8.140625" style="31" customWidth="1"/>
    <col min="37" max="37" width="7.28515625" style="31" customWidth="1"/>
    <col min="38" max="38" width="8.140625" style="31" customWidth="1"/>
    <col min="39" max="39" width="8.28515625" style="31" customWidth="1"/>
    <col min="40" max="40" width="7.28515625" style="31" customWidth="1"/>
    <col min="41" max="42" width="8.28515625" style="31" customWidth="1"/>
    <col min="43" max="43" width="7.28515625" style="31" customWidth="1"/>
    <col min="44" max="45" width="8.28515625" style="31" customWidth="1"/>
    <col min="46" max="46" width="7.28515625" style="31" customWidth="1"/>
    <col min="47" max="48" width="8.28515625" style="31" customWidth="1"/>
    <col min="49" max="49" width="7.28515625" style="31" customWidth="1"/>
    <col min="50" max="50" width="9.140625" style="101"/>
    <col min="51" max="51" width="9.140625" style="106"/>
    <col min="52" max="53" width="9.140625" style="101"/>
    <col min="54" max="16384" width="9.140625" style="31"/>
  </cols>
  <sheetData>
    <row r="1" spans="1:53" x14ac:dyDescent="0.2">
      <c r="A1" s="30" t="s">
        <v>0</v>
      </c>
      <c r="F1" s="30"/>
      <c r="H1" s="30"/>
      <c r="I1" s="30"/>
      <c r="J1" s="30"/>
      <c r="K1" s="31"/>
      <c r="AF1" s="33"/>
      <c r="AL1" s="33" t="s">
        <v>1</v>
      </c>
    </row>
    <row r="2" spans="1:53" x14ac:dyDescent="0.2">
      <c r="A2" s="36" t="s">
        <v>53</v>
      </c>
      <c r="C2" s="37"/>
      <c r="D2" s="37"/>
      <c r="E2" s="38"/>
      <c r="F2" s="38"/>
      <c r="G2" s="39"/>
      <c r="H2" s="38"/>
      <c r="I2" s="38"/>
      <c r="J2" s="38"/>
      <c r="K2" s="36"/>
      <c r="L2" s="31"/>
      <c r="M2" s="37"/>
      <c r="N2" s="37"/>
    </row>
    <row r="3" spans="1:53" x14ac:dyDescent="0.2">
      <c r="A3" s="36" t="s">
        <v>56</v>
      </c>
      <c r="C3" s="37"/>
      <c r="D3" s="37"/>
      <c r="E3" s="38"/>
      <c r="F3" s="38"/>
      <c r="G3" s="39"/>
      <c r="H3" s="38"/>
      <c r="I3" s="38"/>
      <c r="J3" s="38"/>
      <c r="K3" s="36"/>
      <c r="L3" s="31"/>
      <c r="M3" s="37"/>
      <c r="N3" s="37"/>
    </row>
    <row r="4" spans="1:53" x14ac:dyDescent="0.2">
      <c r="A4" s="36" t="s">
        <v>69</v>
      </c>
      <c r="B4" s="37"/>
      <c r="C4" s="37"/>
      <c r="D4" s="37"/>
      <c r="E4" s="40"/>
      <c r="F4" s="38"/>
      <c r="G4" s="39"/>
      <c r="H4" s="38"/>
      <c r="I4" s="38"/>
      <c r="J4" s="38"/>
      <c r="K4" s="36"/>
      <c r="L4" s="37"/>
      <c r="M4" s="37"/>
      <c r="N4" s="37"/>
    </row>
    <row r="5" spans="1:53" ht="15" customHeight="1" x14ac:dyDescent="0.2">
      <c r="A5" s="36"/>
      <c r="B5" s="37"/>
      <c r="C5" s="37"/>
      <c r="D5" s="37"/>
      <c r="E5" s="38"/>
      <c r="F5" s="38"/>
      <c r="G5" s="39"/>
      <c r="H5" s="38"/>
      <c r="I5" s="38"/>
      <c r="J5" s="38"/>
      <c r="K5" s="41"/>
      <c r="L5" s="41"/>
      <c r="M5" s="41"/>
    </row>
    <row r="6" spans="1:53" x14ac:dyDescent="0.2">
      <c r="A6" s="1" t="s">
        <v>2</v>
      </c>
      <c r="B6" s="135" t="s">
        <v>3</v>
      </c>
      <c r="C6" s="136"/>
      <c r="D6" s="137"/>
      <c r="E6" s="135" t="s">
        <v>4</v>
      </c>
      <c r="F6" s="136"/>
      <c r="G6" s="137"/>
      <c r="H6" s="139" t="s">
        <v>5</v>
      </c>
      <c r="I6" s="140"/>
      <c r="J6" s="141"/>
      <c r="K6" s="139" t="s">
        <v>39</v>
      </c>
      <c r="L6" s="140"/>
      <c r="M6" s="141"/>
      <c r="N6" s="123" t="s">
        <v>40</v>
      </c>
      <c r="O6" s="124"/>
      <c r="P6" s="125"/>
      <c r="Q6" s="123" t="s">
        <v>46</v>
      </c>
      <c r="R6" s="124"/>
      <c r="S6" s="125"/>
      <c r="T6" s="123" t="s">
        <v>48</v>
      </c>
      <c r="U6" s="124"/>
      <c r="V6" s="125"/>
      <c r="W6" s="123" t="s">
        <v>52</v>
      </c>
      <c r="X6" s="124"/>
      <c r="Y6" s="125"/>
      <c r="Z6" s="123" t="s">
        <v>54</v>
      </c>
      <c r="AA6" s="124"/>
      <c r="AB6" s="125"/>
      <c r="AC6" s="123" t="s">
        <v>57</v>
      </c>
      <c r="AD6" s="124"/>
      <c r="AE6" s="125"/>
      <c r="AF6" s="123" t="s">
        <v>58</v>
      </c>
      <c r="AG6" s="124"/>
      <c r="AH6" s="125"/>
      <c r="AI6" s="123" t="s">
        <v>60</v>
      </c>
      <c r="AJ6" s="124"/>
      <c r="AK6" s="125"/>
      <c r="AL6" s="123" t="s">
        <v>61</v>
      </c>
      <c r="AM6" s="124"/>
      <c r="AN6" s="125"/>
      <c r="AO6" s="123" t="s">
        <v>66</v>
      </c>
      <c r="AP6" s="124"/>
      <c r="AQ6" s="125"/>
      <c r="AR6" s="123" t="s">
        <v>67</v>
      </c>
      <c r="AS6" s="124"/>
      <c r="AT6" s="125"/>
      <c r="AU6" s="123" t="s">
        <v>70</v>
      </c>
      <c r="AV6" s="124"/>
      <c r="AW6" s="125"/>
    </row>
    <row r="7" spans="1:53" ht="16.5" customHeight="1" x14ac:dyDescent="0.2">
      <c r="A7" s="6" t="s">
        <v>6</v>
      </c>
      <c r="B7" s="7" t="s">
        <v>7</v>
      </c>
      <c r="C7" s="8" t="s">
        <v>10</v>
      </c>
      <c r="D7" s="7" t="s">
        <v>9</v>
      </c>
      <c r="E7" s="7" t="s">
        <v>7</v>
      </c>
      <c r="F7" s="7" t="s">
        <v>10</v>
      </c>
      <c r="G7" s="7" t="s">
        <v>9</v>
      </c>
      <c r="H7" s="7" t="s">
        <v>7</v>
      </c>
      <c r="I7" s="3" t="s">
        <v>8</v>
      </c>
      <c r="J7" s="7" t="s">
        <v>9</v>
      </c>
      <c r="K7" s="42" t="s">
        <v>7</v>
      </c>
      <c r="L7" s="42" t="s">
        <v>10</v>
      </c>
      <c r="M7" s="42" t="s">
        <v>9</v>
      </c>
      <c r="N7" s="42" t="s">
        <v>11</v>
      </c>
      <c r="O7" s="42" t="s">
        <v>10</v>
      </c>
      <c r="P7" s="42" t="s">
        <v>9</v>
      </c>
      <c r="Q7" s="42" t="s">
        <v>11</v>
      </c>
      <c r="R7" s="42" t="s">
        <v>10</v>
      </c>
      <c r="S7" s="42" t="s">
        <v>9</v>
      </c>
      <c r="T7" s="42" t="s">
        <v>11</v>
      </c>
      <c r="U7" s="42" t="s">
        <v>10</v>
      </c>
      <c r="V7" s="42" t="s">
        <v>9</v>
      </c>
      <c r="W7" s="42" t="s">
        <v>11</v>
      </c>
      <c r="X7" s="42" t="s">
        <v>10</v>
      </c>
      <c r="Y7" s="42" t="s">
        <v>9</v>
      </c>
      <c r="Z7" s="42" t="s">
        <v>11</v>
      </c>
      <c r="AA7" s="42" t="s">
        <v>10</v>
      </c>
      <c r="AB7" s="42" t="s">
        <v>9</v>
      </c>
      <c r="AC7" s="42" t="s">
        <v>11</v>
      </c>
      <c r="AD7" s="42" t="s">
        <v>10</v>
      </c>
      <c r="AE7" s="42" t="s">
        <v>9</v>
      </c>
      <c r="AF7" s="42" t="s">
        <v>11</v>
      </c>
      <c r="AG7" s="42" t="s">
        <v>10</v>
      </c>
      <c r="AH7" s="42" t="s">
        <v>9</v>
      </c>
      <c r="AI7" s="42" t="s">
        <v>11</v>
      </c>
      <c r="AJ7" s="42" t="s">
        <v>10</v>
      </c>
      <c r="AK7" s="42" t="s">
        <v>9</v>
      </c>
      <c r="AL7" s="42" t="s">
        <v>11</v>
      </c>
      <c r="AM7" s="42" t="s">
        <v>10</v>
      </c>
      <c r="AN7" s="42" t="s">
        <v>9</v>
      </c>
      <c r="AO7" s="42" t="s">
        <v>11</v>
      </c>
      <c r="AP7" s="42" t="s">
        <v>10</v>
      </c>
      <c r="AQ7" s="42" t="s">
        <v>9</v>
      </c>
      <c r="AR7" s="42" t="s">
        <v>11</v>
      </c>
      <c r="AS7" s="42" t="s">
        <v>10</v>
      </c>
      <c r="AT7" s="42" t="s">
        <v>9</v>
      </c>
      <c r="AU7" s="42" t="s">
        <v>11</v>
      </c>
      <c r="AV7" s="42" t="s">
        <v>10</v>
      </c>
      <c r="AW7" s="42" t="s">
        <v>9</v>
      </c>
    </row>
    <row r="8" spans="1:53" ht="12.6" customHeight="1" x14ac:dyDescent="0.2">
      <c r="A8" s="10"/>
      <c r="B8" s="11"/>
      <c r="C8" s="11"/>
      <c r="D8" s="11"/>
      <c r="E8" s="11"/>
      <c r="F8" s="11"/>
      <c r="G8" s="11"/>
      <c r="H8" s="11"/>
      <c r="I8" s="11"/>
      <c r="J8" s="11"/>
      <c r="K8" s="44"/>
      <c r="L8" s="44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F8" s="29"/>
      <c r="AG8" s="43"/>
      <c r="AH8" s="29"/>
      <c r="AI8" s="29"/>
      <c r="AJ8" s="43"/>
      <c r="AK8" s="29"/>
      <c r="AL8" s="29"/>
      <c r="AM8" s="43"/>
      <c r="AN8" s="29"/>
      <c r="AO8" s="29"/>
      <c r="AP8" s="29"/>
      <c r="AQ8" s="29"/>
      <c r="AR8" s="29"/>
      <c r="AS8" s="29"/>
      <c r="AT8" s="29"/>
      <c r="AU8" s="29"/>
      <c r="AV8" s="29"/>
      <c r="AW8" s="29"/>
      <c r="AY8" s="106" t="s">
        <v>44</v>
      </c>
    </row>
    <row r="9" spans="1:53" ht="13.5" customHeight="1" x14ac:dyDescent="0.2">
      <c r="A9" s="10" t="s">
        <v>16</v>
      </c>
      <c r="B9" s="14"/>
      <c r="C9" s="14"/>
      <c r="D9" s="14"/>
      <c r="E9" s="22"/>
      <c r="F9" s="22"/>
      <c r="G9" s="22"/>
      <c r="H9" s="22"/>
      <c r="I9" s="22"/>
      <c r="J9" s="22"/>
      <c r="K9" s="22"/>
      <c r="L9" s="22"/>
      <c r="M9" s="22"/>
      <c r="N9" s="46"/>
      <c r="O9" s="46"/>
      <c r="P9" s="46"/>
      <c r="S9" s="46"/>
      <c r="V9" s="47"/>
      <c r="Y9" s="47"/>
      <c r="AB9" s="47"/>
      <c r="AC9" s="47"/>
      <c r="AD9" s="46"/>
      <c r="AG9" s="43"/>
      <c r="AH9" s="29"/>
      <c r="AJ9" s="43"/>
      <c r="AK9" s="29"/>
      <c r="AM9" s="43"/>
      <c r="AN9" s="29"/>
      <c r="AO9" s="29"/>
      <c r="AP9" s="29"/>
      <c r="AQ9" s="29"/>
      <c r="AR9" s="29"/>
      <c r="AS9" s="29"/>
      <c r="AT9" s="29"/>
      <c r="AU9" s="29"/>
      <c r="AV9" s="29"/>
      <c r="AW9" s="29"/>
      <c r="AY9" s="122" t="s">
        <v>11</v>
      </c>
      <c r="AZ9" s="111" t="s">
        <v>10</v>
      </c>
      <c r="BA9" s="111" t="s">
        <v>9</v>
      </c>
    </row>
    <row r="10" spans="1:53" x14ac:dyDescent="0.2">
      <c r="A10" s="49" t="s">
        <v>12</v>
      </c>
      <c r="B10" s="50">
        <f>C10+D10</f>
        <v>13571</v>
      </c>
      <c r="C10" s="50">
        <v>7147</v>
      </c>
      <c r="D10" s="50">
        <v>6424</v>
      </c>
      <c r="E10" s="22">
        <f>SUM(F10:H10)</f>
        <v>17277</v>
      </c>
      <c r="F10" s="22">
        <v>1318</v>
      </c>
      <c r="G10" s="22">
        <v>3877</v>
      </c>
      <c r="H10" s="22">
        <f>SUM(I10:J10)</f>
        <v>12082</v>
      </c>
      <c r="I10" s="22">
        <v>6879</v>
      </c>
      <c r="J10" s="22">
        <v>5203</v>
      </c>
      <c r="K10" s="22">
        <f>SUM(L10:M10)</f>
        <v>10876</v>
      </c>
      <c r="L10" s="51">
        <v>4526</v>
      </c>
      <c r="M10" s="51">
        <v>6350</v>
      </c>
      <c r="N10" s="58">
        <f>SUM(O10:P10)</f>
        <v>11668</v>
      </c>
      <c r="O10" s="58">
        <v>5981</v>
      </c>
      <c r="P10" s="58">
        <v>5687</v>
      </c>
      <c r="Q10" s="58">
        <f t="shared" ref="Q10:AH10" si="0">SUM(Q16,Q33,Q60,Q77,Q94,Q120,Q137)</f>
        <v>13898</v>
      </c>
      <c r="R10" s="58">
        <f t="shared" si="0"/>
        <v>6758</v>
      </c>
      <c r="S10" s="58">
        <f t="shared" si="0"/>
        <v>7140</v>
      </c>
      <c r="T10" s="113">
        <f t="shared" si="0"/>
        <v>0</v>
      </c>
      <c r="U10" s="113">
        <f t="shared" si="0"/>
        <v>0</v>
      </c>
      <c r="V10" s="113">
        <f t="shared" si="0"/>
        <v>0</v>
      </c>
      <c r="W10" s="113">
        <f t="shared" si="0"/>
        <v>14615</v>
      </c>
      <c r="X10" s="113">
        <f t="shared" si="0"/>
        <v>6400</v>
      </c>
      <c r="Y10" s="113">
        <f t="shared" si="0"/>
        <v>8215</v>
      </c>
      <c r="Z10" s="113">
        <f t="shared" si="0"/>
        <v>16427</v>
      </c>
      <c r="AA10" s="113">
        <f t="shared" si="0"/>
        <v>8822</v>
      </c>
      <c r="AB10" s="113">
        <f t="shared" si="0"/>
        <v>7605</v>
      </c>
      <c r="AC10" s="113">
        <f t="shared" si="0"/>
        <v>18236</v>
      </c>
      <c r="AD10" s="113">
        <f t="shared" si="0"/>
        <v>9411</v>
      </c>
      <c r="AE10" s="113">
        <f t="shared" si="0"/>
        <v>8825</v>
      </c>
      <c r="AF10" s="113">
        <f t="shared" si="0"/>
        <v>20348</v>
      </c>
      <c r="AG10" s="113">
        <f t="shared" si="0"/>
        <v>12114</v>
      </c>
      <c r="AH10" s="113">
        <f t="shared" si="0"/>
        <v>8234</v>
      </c>
      <c r="AI10" s="113">
        <f>SUM(AJ10,AK10)</f>
        <v>24922</v>
      </c>
      <c r="AJ10" s="113">
        <f t="shared" ref="AJ10:AT11" si="1">SUM(AJ16,AJ33,AJ60,AJ77,AJ94,AJ120,AJ137)</f>
        <v>16697</v>
      </c>
      <c r="AK10" s="113">
        <f t="shared" si="1"/>
        <v>8225</v>
      </c>
      <c r="AL10" s="113">
        <f t="shared" si="1"/>
        <v>23716</v>
      </c>
      <c r="AM10" s="113">
        <f t="shared" si="1"/>
        <v>19794</v>
      </c>
      <c r="AN10" s="113">
        <f t="shared" si="1"/>
        <v>3922</v>
      </c>
      <c r="AO10" s="113">
        <f t="shared" si="1"/>
        <v>38851</v>
      </c>
      <c r="AP10" s="113">
        <f t="shared" si="1"/>
        <v>31245</v>
      </c>
      <c r="AQ10" s="113">
        <f t="shared" si="1"/>
        <v>7606</v>
      </c>
      <c r="AR10" s="113">
        <f t="shared" si="1"/>
        <v>39734</v>
      </c>
      <c r="AS10" s="113">
        <f t="shared" si="1"/>
        <v>31395</v>
      </c>
      <c r="AT10" s="113">
        <f t="shared" si="1"/>
        <v>8339</v>
      </c>
      <c r="AU10" s="113">
        <f t="shared" ref="AU10:AW10" si="2">SUM(AU16,AU33,AU60,AU77,AU94,AU120,AU137)</f>
        <v>40393</v>
      </c>
      <c r="AV10" s="113">
        <f t="shared" si="2"/>
        <v>32708</v>
      </c>
      <c r="AW10" s="113">
        <f t="shared" si="2"/>
        <v>7685</v>
      </c>
      <c r="AX10" s="111" t="s">
        <v>62</v>
      </c>
      <c r="AY10" s="107">
        <f>((AU10/AR10)-1)*100</f>
        <v>1.6585292193084022</v>
      </c>
      <c r="AZ10" s="107">
        <f>((AV10/AS10)-1)*100</f>
        <v>4.1821946169772195</v>
      </c>
      <c r="BA10" s="107">
        <f>((AW10/AT10)-1)*100</f>
        <v>-7.8426669864492098</v>
      </c>
    </row>
    <row r="11" spans="1:53" x14ac:dyDescent="0.2">
      <c r="A11" s="49" t="s">
        <v>14</v>
      </c>
      <c r="B11" s="50">
        <f>C11+D11</f>
        <v>240288</v>
      </c>
      <c r="C11" s="50">
        <v>221462</v>
      </c>
      <c r="D11" s="50">
        <v>18826</v>
      </c>
      <c r="E11" s="22">
        <f>SUM(F11:H11)</f>
        <v>472135</v>
      </c>
      <c r="F11" s="22">
        <v>222450</v>
      </c>
      <c r="G11" s="22">
        <v>8346</v>
      </c>
      <c r="H11" s="22">
        <f>SUM(I11:J11)</f>
        <v>241339</v>
      </c>
      <c r="I11" s="22">
        <v>222851</v>
      </c>
      <c r="J11" s="22">
        <v>18488</v>
      </c>
      <c r="K11" s="22">
        <f>SUM(L11:M11)</f>
        <v>237551</v>
      </c>
      <c r="L11" s="51">
        <v>219602</v>
      </c>
      <c r="M11" s="51">
        <v>17949</v>
      </c>
      <c r="N11" s="58">
        <f>SUM(O11:P11)</f>
        <v>236019</v>
      </c>
      <c r="O11" s="58">
        <v>218686</v>
      </c>
      <c r="P11" s="58">
        <v>17333</v>
      </c>
      <c r="Q11" s="58">
        <f t="shared" ref="Q11:AH11" si="3">SUM(Q17,Q34,Q61,Q78,Q95,Q121,Q138)</f>
        <v>236325</v>
      </c>
      <c r="R11" s="58">
        <f t="shared" si="3"/>
        <v>217313</v>
      </c>
      <c r="S11" s="58">
        <f t="shared" si="3"/>
        <v>19012</v>
      </c>
      <c r="T11" s="113">
        <f t="shared" si="3"/>
        <v>214521</v>
      </c>
      <c r="U11" s="113">
        <f t="shared" si="3"/>
        <v>214521</v>
      </c>
      <c r="V11" s="113">
        <f t="shared" si="3"/>
        <v>0</v>
      </c>
      <c r="W11" s="113">
        <f t="shared" si="3"/>
        <v>229653</v>
      </c>
      <c r="X11" s="113">
        <f t="shared" si="3"/>
        <v>209520</v>
      </c>
      <c r="Y11" s="113">
        <f t="shared" si="3"/>
        <v>20133</v>
      </c>
      <c r="Z11" s="113">
        <f t="shared" si="3"/>
        <v>230529</v>
      </c>
      <c r="AA11" s="113">
        <f t="shared" si="3"/>
        <v>210508</v>
      </c>
      <c r="AB11" s="113">
        <f t="shared" si="3"/>
        <v>20021</v>
      </c>
      <c r="AC11" s="113">
        <f t="shared" si="3"/>
        <v>231501</v>
      </c>
      <c r="AD11" s="113">
        <f t="shared" si="3"/>
        <v>210482</v>
      </c>
      <c r="AE11" s="113">
        <f t="shared" si="3"/>
        <v>21019</v>
      </c>
      <c r="AF11" s="113">
        <f t="shared" si="3"/>
        <v>235354</v>
      </c>
      <c r="AG11" s="113">
        <f t="shared" si="3"/>
        <v>212531</v>
      </c>
      <c r="AH11" s="113">
        <f t="shared" si="3"/>
        <v>22823</v>
      </c>
      <c r="AI11" s="113">
        <f>SUM(AJ11,AK11)</f>
        <v>239431</v>
      </c>
      <c r="AJ11" s="113">
        <f t="shared" si="1"/>
        <v>215647</v>
      </c>
      <c r="AK11" s="113">
        <f>SUM(AK17,AK34,AK61,AK78,AK95,AK121,AK138)</f>
        <v>23784</v>
      </c>
      <c r="AL11" s="113">
        <f t="shared" si="1"/>
        <v>240396</v>
      </c>
      <c r="AM11" s="113">
        <f t="shared" si="1"/>
        <v>217286</v>
      </c>
      <c r="AN11" s="113">
        <f t="shared" si="1"/>
        <v>23110</v>
      </c>
      <c r="AO11" s="113">
        <f t="shared" si="1"/>
        <v>240148</v>
      </c>
      <c r="AP11" s="113">
        <f t="shared" si="1"/>
        <v>216495</v>
      </c>
      <c r="AQ11" s="113">
        <f t="shared" si="1"/>
        <v>23653</v>
      </c>
      <c r="AR11" s="113">
        <f t="shared" si="1"/>
        <v>241595</v>
      </c>
      <c r="AS11" s="113">
        <f t="shared" si="1"/>
        <v>215480</v>
      </c>
      <c r="AT11" s="113">
        <f t="shared" si="1"/>
        <v>26115</v>
      </c>
      <c r="AU11" s="113">
        <f t="shared" ref="AU11:AW11" si="4">SUM(AU17,AU34,AU61,AU78,AU95,AU121,AU138)</f>
        <v>239516</v>
      </c>
      <c r="AV11" s="113">
        <f t="shared" si="4"/>
        <v>215366</v>
      </c>
      <c r="AW11" s="113">
        <f t="shared" si="4"/>
        <v>24150</v>
      </c>
      <c r="AX11" s="111" t="s">
        <v>63</v>
      </c>
      <c r="AY11" s="107">
        <f t="shared" ref="AY11:AY12" si="5">((AU11/AR11)-1)*100</f>
        <v>-0.86053105403671726</v>
      </c>
      <c r="AZ11" s="107">
        <f t="shared" ref="AZ11:AZ12" si="6">((AV11/AS11)-1)*100</f>
        <v>-5.290514200854135E-2</v>
      </c>
      <c r="BA11" s="107">
        <f t="shared" ref="BA11:BA13" si="7">((AW11/AT11)-1)*100</f>
        <v>-7.5244112578977562</v>
      </c>
    </row>
    <row r="12" spans="1:53" x14ac:dyDescent="0.2">
      <c r="A12" s="49" t="s">
        <v>15</v>
      </c>
      <c r="B12" s="50">
        <f>C12+D12</f>
        <v>106646</v>
      </c>
      <c r="C12" s="50">
        <v>72989</v>
      </c>
      <c r="D12" s="50">
        <v>33657</v>
      </c>
      <c r="E12" s="22">
        <f>SUM(F12:H12)</f>
        <v>216679</v>
      </c>
      <c r="F12" s="22">
        <v>74870</v>
      </c>
      <c r="G12" s="22">
        <v>31719</v>
      </c>
      <c r="H12" s="22">
        <f>SUM(I12:J12)</f>
        <v>110090</v>
      </c>
      <c r="I12" s="22">
        <v>78869</v>
      </c>
      <c r="J12" s="22">
        <v>31221</v>
      </c>
      <c r="K12" s="22">
        <f>SUM(L12:M12)</f>
        <v>115432</v>
      </c>
      <c r="L12" s="51">
        <v>82292</v>
      </c>
      <c r="M12" s="51">
        <v>33140</v>
      </c>
      <c r="N12" s="58">
        <f>SUM(O12:P12)</f>
        <v>119662</v>
      </c>
      <c r="O12" s="58">
        <v>87770</v>
      </c>
      <c r="P12" s="58">
        <v>31892</v>
      </c>
      <c r="Q12" s="58">
        <f>SUM(R12,S12)</f>
        <v>122590</v>
      </c>
      <c r="R12" s="58">
        <f>SUM(R24,R41,R68,R85,R111,R128,R145)</f>
        <v>92881</v>
      </c>
      <c r="S12" s="58">
        <f>SUM(S24,S41,S68,S85,S111,S128,S145)</f>
        <v>29709</v>
      </c>
      <c r="T12" s="113">
        <f>SUM(U12,V12)</f>
        <v>90752</v>
      </c>
      <c r="U12" s="113">
        <f>SUM(U24,U41,U68,U85,U111,U128,U145)</f>
        <v>90752</v>
      </c>
      <c r="V12" s="113">
        <f>SUM(V24,V41,V68,V85,V111,V128,V145)</f>
        <v>0</v>
      </c>
      <c r="W12" s="113">
        <f>SUM(X12,Y12)</f>
        <v>121073</v>
      </c>
      <c r="X12" s="113">
        <f>SUM(X24,X41,X68,X85,X111,X128,X145)</f>
        <v>87352</v>
      </c>
      <c r="Y12" s="113">
        <f>SUM(Y24,Y41,Y68,Y85,Y111,Y128,Y145)</f>
        <v>33721</v>
      </c>
      <c r="Z12" s="113">
        <f>SUM(AA12,AB12)</f>
        <v>112128</v>
      </c>
      <c r="AA12" s="113">
        <f>SUM(AA24,AA41,AA68,AA85,AA111,AA128,AA145)</f>
        <v>80431</v>
      </c>
      <c r="AB12" s="113">
        <f>SUM(AB24,AB41,AB68,AB85,AB111,AB128,AB145)</f>
        <v>31697</v>
      </c>
      <c r="AC12" s="113">
        <f>SUM(AD12,AE12)</f>
        <v>119979</v>
      </c>
      <c r="AD12" s="113">
        <f>SUM(AD24,AD41,AD68,AD85,AD111,AD128,AD145)</f>
        <v>87005</v>
      </c>
      <c r="AE12" s="113">
        <f>SUM(AE24,AE41,AE68,AE85,AE111,AE128,AE145)</f>
        <v>32974</v>
      </c>
      <c r="AF12" s="113">
        <f>SUM(AG12,AH12)</f>
        <v>124503</v>
      </c>
      <c r="AG12" s="113">
        <f>SUM(AG24,AG41,AG68,AG85,AG111,AG128,AG145)</f>
        <v>89337</v>
      </c>
      <c r="AH12" s="113">
        <f>SUM(AH24,AH41,AH68,AH85,AH111,AH128,AH145)</f>
        <v>35166</v>
      </c>
      <c r="AI12" s="113">
        <f>SUM(AJ12,AK12)</f>
        <v>121742</v>
      </c>
      <c r="AJ12" s="113">
        <f>SUM(AJ24,AJ41,AJ68,AJ85,AJ111,AJ128,AJ145)</f>
        <v>86711</v>
      </c>
      <c r="AK12" s="113">
        <f>SUM(AK24,AK41,AK68,AK85,AK111,AK128,AK145)</f>
        <v>35031</v>
      </c>
      <c r="AL12" s="113">
        <f>SUM(AM12,AN12)</f>
        <v>120419</v>
      </c>
      <c r="AM12" s="113">
        <f>SUM(AM24,AM41,AM68,AM85,AM111,AM128,AM145)</f>
        <v>86817</v>
      </c>
      <c r="AN12" s="113">
        <f>SUM(AN24,AN41,AN68,AN85,AN111,AN128,AN145)</f>
        <v>33602</v>
      </c>
      <c r="AO12" s="113">
        <f>SUM(AP12,AQ12)</f>
        <v>119957</v>
      </c>
      <c r="AP12" s="113">
        <f>SUM(AP24,AP41,AP68,AP85,AP111,AP128,AP145)</f>
        <v>85952</v>
      </c>
      <c r="AQ12" s="113">
        <f>SUM(AQ24,AQ41,AQ68,AQ85,AQ111,AQ128,AQ145)</f>
        <v>34005</v>
      </c>
      <c r="AR12" s="113">
        <f>SUM(AS12,AT12)</f>
        <v>122304</v>
      </c>
      <c r="AS12" s="113">
        <f>SUM(AS24,AS41,AS68,AS85,AS111,AS128,AS145)</f>
        <v>88433</v>
      </c>
      <c r="AT12" s="113">
        <f>SUM(AT24,AT41,AT68,AT85,AT111,AT128,AT145)</f>
        <v>33871</v>
      </c>
      <c r="AU12" s="113">
        <f>SUM(AV12,AW12)</f>
        <v>125736</v>
      </c>
      <c r="AV12" s="113">
        <f>SUM(AV24,AV41,AV68,AV85,AV111,AV128,AV145)</f>
        <v>90794</v>
      </c>
      <c r="AW12" s="113">
        <f>SUM(AW24,AW41,AW68,AW85,AW111,AW128,AW145)</f>
        <v>34942</v>
      </c>
      <c r="AX12" s="111" t="s">
        <v>64</v>
      </c>
      <c r="AY12" s="107">
        <f t="shared" si="5"/>
        <v>2.8061224489795977</v>
      </c>
      <c r="AZ12" s="107">
        <f t="shared" si="6"/>
        <v>2.6698178281863161</v>
      </c>
      <c r="BA12" s="107">
        <f t="shared" si="7"/>
        <v>3.1619969885742893</v>
      </c>
    </row>
    <row r="13" spans="1:53" x14ac:dyDescent="0.2">
      <c r="A13" s="49" t="s">
        <v>17</v>
      </c>
      <c r="B13" s="50">
        <f>B30+B47+B74+B91+B117+B134+B151</f>
        <v>83755</v>
      </c>
      <c r="C13" s="50">
        <f>C30+C47+C74+C91+C117+C134+C151</f>
        <v>18923</v>
      </c>
      <c r="D13" s="50">
        <f>D30+D74+D91+D134</f>
        <v>64832</v>
      </c>
      <c r="E13" s="22">
        <f>SUM(F13:H13)</f>
        <v>176307</v>
      </c>
      <c r="F13" s="22">
        <v>65791</v>
      </c>
      <c r="G13" s="22">
        <v>21241</v>
      </c>
      <c r="H13" s="22">
        <f>SUM(I13:J13)</f>
        <v>89275</v>
      </c>
      <c r="I13" s="22">
        <v>22234</v>
      </c>
      <c r="J13" s="22">
        <v>67041</v>
      </c>
      <c r="K13" s="22">
        <f>SUM(L13:M13)</f>
        <v>84745</v>
      </c>
      <c r="L13" s="51">
        <v>20671</v>
      </c>
      <c r="M13" s="51">
        <v>64074</v>
      </c>
      <c r="N13" s="58">
        <f>SUM(O13:P13)</f>
        <v>85856</v>
      </c>
      <c r="O13" s="59">
        <v>21624</v>
      </c>
      <c r="P13" s="59">
        <v>64232</v>
      </c>
      <c r="Q13" s="58">
        <f>SUM(Q30,Q47,Q74,Q91,Q117,Q134,Q151)</f>
        <v>90792</v>
      </c>
      <c r="R13" s="58">
        <f>SUM(R30,R47,R74,R91,R117,R134,R151)</f>
        <v>24097</v>
      </c>
      <c r="S13" s="58">
        <f>SUM(S30,S47,S74,S91,S117,S134,S151)</f>
        <v>66695</v>
      </c>
      <c r="T13" s="113">
        <f>U13+V13</f>
        <v>91903</v>
      </c>
      <c r="U13" s="113">
        <f>SUM(U30,U47,U74,U91,U117,U134,U151)</f>
        <v>24239</v>
      </c>
      <c r="V13" s="113">
        <f>SUM(V30,V47,V74,V91,V117,V134,V151)</f>
        <v>67664</v>
      </c>
      <c r="W13" s="113">
        <f>X13+Y13</f>
        <v>94916</v>
      </c>
      <c r="X13" s="113">
        <f>SUM(X30,X47,X74,X91,X117,X134,X151)</f>
        <v>24704</v>
      </c>
      <c r="Y13" s="113">
        <f>SUM(Y30,Y47,Y74,Y91,Y117,Y134,Y151)</f>
        <v>70212</v>
      </c>
      <c r="Z13" s="113">
        <f>AA13+AB13</f>
        <v>95772</v>
      </c>
      <c r="AA13" s="113">
        <f>SUM(AA30,AA47,AA74,AA91,AA117,AA134,AA151)</f>
        <v>24622</v>
      </c>
      <c r="AB13" s="113">
        <f>SUM(AB30,AB47,AB74,AB91,AB117,AB134,AB151)</f>
        <v>71150</v>
      </c>
      <c r="AC13" s="113">
        <f>AD13+AE13</f>
        <v>98115</v>
      </c>
      <c r="AD13" s="113">
        <f>SUM(AD30,AD47,AD74,AD91,AD117,AD134,AD151)</f>
        <v>25929</v>
      </c>
      <c r="AE13" s="113">
        <f>SUM(AE30,AE47,AE74,AE91,AE117,AE134,AE151)</f>
        <v>72186</v>
      </c>
      <c r="AF13" s="113">
        <f>AG13+AH13</f>
        <v>94843</v>
      </c>
      <c r="AG13" s="113">
        <f>SUM(AG30,AG47,AG74,AG91,AG117,AG134,AG151)</f>
        <v>24287</v>
      </c>
      <c r="AH13" s="113">
        <f>SUM(AH30,AH47,AH74,AH91,AH117,AH134,AH1051)</f>
        <v>70556</v>
      </c>
      <c r="AI13" s="113">
        <f>SUM(AJ13,AK13)</f>
        <v>96733</v>
      </c>
      <c r="AJ13" s="113">
        <f>SUM(AJ30,AJ47,AJ74,AJ91,AJ117,AJ134,AJ151)</f>
        <v>24782</v>
      </c>
      <c r="AK13" s="113">
        <f>SUM(AK30,AK47,AK74,AK91,AK117,AK134,AK151)</f>
        <v>71951</v>
      </c>
      <c r="AL13" s="113">
        <f>SUM(AM13,AN13)</f>
        <v>104855</v>
      </c>
      <c r="AM13" s="113">
        <f>SUM(AM30,AM47,AM74,AM91,AM117,AM134,AM151)</f>
        <v>30366</v>
      </c>
      <c r="AN13" s="113">
        <f>SUM(AN30,AN47,AN74,AN91,AN117,AN134,AN151)</f>
        <v>74489</v>
      </c>
      <c r="AO13" s="113">
        <f>AP13+AQ13</f>
        <v>103577</v>
      </c>
      <c r="AP13" s="113">
        <f>SUM(AP30,AP47,AP74,AP91,AP117,AP134,AP151)</f>
        <v>31091</v>
      </c>
      <c r="AQ13" s="113">
        <f>SUM(AQ30,AQ47,AQ74,AQ91,AQ117,AQ134,AQ1051,AQ151)</f>
        <v>72486</v>
      </c>
      <c r="AR13" s="113">
        <f>AS13+AT13</f>
        <v>102060</v>
      </c>
      <c r="AS13" s="113">
        <f>SUM(AS30,AS47,AS74,AS91,AS117,AS134,AS151)</f>
        <v>31942</v>
      </c>
      <c r="AT13" s="113">
        <f>SUM(AT30,AT47,AT74,AT91,AT117,AT134,AT1051,AT151)</f>
        <v>70118</v>
      </c>
      <c r="AU13" s="113">
        <f>AV13+AW13</f>
        <v>110288</v>
      </c>
      <c r="AV13" s="113">
        <f>SUM(AV30,AV47,AV74,AV91,AV117,AV134,AV151)</f>
        <v>36839</v>
      </c>
      <c r="AW13" s="113">
        <f>SUM(AW30,AW47,AW74,AW91,AW117,AW134,AW1051,AW151)</f>
        <v>73449</v>
      </c>
      <c r="AX13" s="111" t="s">
        <v>65</v>
      </c>
      <c r="AY13" s="107">
        <f>((AU13/AR13)-1)*100</f>
        <v>8.0619243582206614</v>
      </c>
      <c r="AZ13" s="107">
        <f>((AV13/AS13)-1)*100</f>
        <v>15.330912278504783</v>
      </c>
      <c r="BA13" s="107">
        <f t="shared" si="7"/>
        <v>4.7505633360905852</v>
      </c>
    </row>
    <row r="14" spans="1:53" x14ac:dyDescent="0.2">
      <c r="A14" s="49"/>
      <c r="B14" s="50"/>
      <c r="C14" s="50"/>
      <c r="D14" s="50"/>
      <c r="E14" s="22"/>
      <c r="F14" s="22"/>
      <c r="G14" s="22"/>
      <c r="H14" s="22"/>
      <c r="I14" s="22"/>
      <c r="J14" s="22"/>
      <c r="K14" s="22"/>
      <c r="L14" s="51"/>
      <c r="M14" s="51"/>
      <c r="N14" s="58"/>
      <c r="O14" s="58"/>
      <c r="P14" s="58"/>
      <c r="Q14" s="58"/>
      <c r="R14" s="58"/>
      <c r="S14" s="58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4"/>
      <c r="AE14" s="114"/>
      <c r="AF14" s="121"/>
      <c r="AG14" s="114"/>
      <c r="AH14" s="121"/>
      <c r="AI14" s="121"/>
      <c r="AJ14" s="114"/>
      <c r="AK14" s="121"/>
      <c r="AL14" s="121"/>
      <c r="AM14" s="114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53" x14ac:dyDescent="0.2">
      <c r="A15" s="10" t="s">
        <v>18</v>
      </c>
      <c r="B15" s="50"/>
      <c r="C15" s="50"/>
      <c r="D15" s="50"/>
      <c r="E15" s="22"/>
      <c r="F15" s="22"/>
      <c r="G15" s="22"/>
      <c r="H15" s="22"/>
      <c r="I15" s="22"/>
      <c r="J15" s="22"/>
      <c r="K15" s="22"/>
      <c r="L15" s="51"/>
      <c r="M15" s="51"/>
      <c r="N15" s="58"/>
      <c r="O15" s="58"/>
      <c r="P15" s="58"/>
      <c r="Q15" s="58"/>
      <c r="R15" s="58"/>
      <c r="S15" s="58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4"/>
      <c r="AE15" s="114"/>
      <c r="AF15" s="121"/>
      <c r="AG15" s="114"/>
      <c r="AH15" s="121"/>
      <c r="AI15" s="121"/>
      <c r="AJ15" s="114"/>
      <c r="AK15" s="121"/>
      <c r="AL15" s="121"/>
      <c r="AM15" s="114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53" x14ac:dyDescent="0.2">
      <c r="A16" s="49" t="s">
        <v>12</v>
      </c>
      <c r="B16" s="50">
        <f t="shared" ref="B16:B29" si="8">C16+D16</f>
        <v>1585</v>
      </c>
      <c r="C16" s="50">
        <v>1202</v>
      </c>
      <c r="D16" s="50">
        <v>383</v>
      </c>
      <c r="E16" s="22">
        <v>1299</v>
      </c>
      <c r="F16" s="22">
        <v>866</v>
      </c>
      <c r="G16" s="22">
        <v>433</v>
      </c>
      <c r="H16" s="22">
        <f t="shared" ref="H16:H30" si="9">SUM(I16:J16)</f>
        <v>1987</v>
      </c>
      <c r="I16" s="22">
        <v>1354</v>
      </c>
      <c r="J16" s="22">
        <v>633</v>
      </c>
      <c r="K16" s="22">
        <f t="shared" ref="K16:K30" si="10">SUM(L16:M16)</f>
        <v>1667</v>
      </c>
      <c r="L16" s="51">
        <v>1031</v>
      </c>
      <c r="M16" s="51">
        <v>636</v>
      </c>
      <c r="N16" s="58">
        <f t="shared" ref="N16:N30" si="11">SUM(O16:P16)</f>
        <v>1444</v>
      </c>
      <c r="O16" s="58">
        <v>902</v>
      </c>
      <c r="P16" s="58">
        <v>542</v>
      </c>
      <c r="Q16" s="58">
        <f>SUM(R16:S16)</f>
        <v>1692</v>
      </c>
      <c r="R16" s="58">
        <v>1107</v>
      </c>
      <c r="S16" s="58">
        <v>585</v>
      </c>
      <c r="T16" s="113" t="s">
        <v>13</v>
      </c>
      <c r="U16" s="113" t="s">
        <v>13</v>
      </c>
      <c r="V16" s="113" t="s">
        <v>13</v>
      </c>
      <c r="W16" s="113">
        <f>SUM(X16:Y16)</f>
        <v>2069</v>
      </c>
      <c r="X16" s="113">
        <v>1470</v>
      </c>
      <c r="Y16" s="113">
        <v>599</v>
      </c>
      <c r="Z16" s="113">
        <f>SUM(AA16:AB16)</f>
        <v>2081</v>
      </c>
      <c r="AA16" s="113">
        <v>1725</v>
      </c>
      <c r="AB16" s="113">
        <v>356</v>
      </c>
      <c r="AC16" s="113">
        <f>SUM(AD16:AE16)</f>
        <v>2106</v>
      </c>
      <c r="AD16" s="113">
        <v>1515</v>
      </c>
      <c r="AE16" s="114">
        <v>591</v>
      </c>
      <c r="AF16" s="113">
        <f>SUM(AG16:AH16)</f>
        <v>2159</v>
      </c>
      <c r="AG16" s="113">
        <v>1678</v>
      </c>
      <c r="AH16" s="114">
        <v>481</v>
      </c>
      <c r="AI16" s="113">
        <f>SUM(AJ16:AK16)</f>
        <v>1592</v>
      </c>
      <c r="AJ16" s="113">
        <v>1073</v>
      </c>
      <c r="AK16" s="113">
        <v>519</v>
      </c>
      <c r="AL16" s="113">
        <f>SUM(AM16:AN16)</f>
        <v>2402</v>
      </c>
      <c r="AM16" s="113">
        <v>1879</v>
      </c>
      <c r="AN16" s="113">
        <v>523</v>
      </c>
      <c r="AO16" s="113">
        <f>SUM(AP16:AQ16)</f>
        <v>5242</v>
      </c>
      <c r="AP16" s="113">
        <v>4691</v>
      </c>
      <c r="AQ16" s="113">
        <v>551</v>
      </c>
      <c r="AR16" s="113">
        <f>SUM(AS16:AT16)</f>
        <v>5226</v>
      </c>
      <c r="AS16" s="113">
        <v>4643</v>
      </c>
      <c r="AT16" s="113">
        <v>583</v>
      </c>
      <c r="AU16" s="113">
        <f>SUM(AV16:AW16)</f>
        <v>5431</v>
      </c>
      <c r="AV16" s="113">
        <v>4873</v>
      </c>
      <c r="AW16" s="113">
        <v>558</v>
      </c>
    </row>
    <row r="17" spans="1:53" s="80" customFormat="1" x14ac:dyDescent="0.2">
      <c r="A17" s="10" t="s">
        <v>14</v>
      </c>
      <c r="B17" s="78">
        <f t="shared" si="8"/>
        <v>34652</v>
      </c>
      <c r="C17" s="78">
        <v>33273</v>
      </c>
      <c r="D17" s="78">
        <v>1379</v>
      </c>
      <c r="E17" s="79">
        <v>35121</v>
      </c>
      <c r="F17" s="79">
        <v>33671</v>
      </c>
      <c r="G17" s="79">
        <v>1450</v>
      </c>
      <c r="H17" s="79">
        <f t="shared" si="9"/>
        <v>35086</v>
      </c>
      <c r="I17" s="79">
        <v>33549</v>
      </c>
      <c r="J17" s="79">
        <v>1537</v>
      </c>
      <c r="K17" s="79">
        <f t="shared" si="10"/>
        <v>34414</v>
      </c>
      <c r="L17" s="77">
        <v>32813</v>
      </c>
      <c r="M17" s="77">
        <v>1601</v>
      </c>
      <c r="N17" s="91">
        <f t="shared" si="11"/>
        <v>33499</v>
      </c>
      <c r="O17" s="91">
        <v>31844</v>
      </c>
      <c r="P17" s="91">
        <v>1655</v>
      </c>
      <c r="Q17" s="91">
        <f>SUM(R17:S17)</f>
        <v>33262</v>
      </c>
      <c r="R17" s="91">
        <v>31550</v>
      </c>
      <c r="S17" s="91">
        <v>1712</v>
      </c>
      <c r="T17" s="115">
        <f>SUM(U17:V17)</f>
        <v>31085</v>
      </c>
      <c r="U17" s="115">
        <f>SUM(U18:U23)</f>
        <v>31085</v>
      </c>
      <c r="V17" s="115" t="s">
        <v>13</v>
      </c>
      <c r="W17" s="115">
        <f>SUM(X17:Y17)</f>
        <v>31765</v>
      </c>
      <c r="X17" s="115">
        <f>SUM(X18:X23)</f>
        <v>30073</v>
      </c>
      <c r="Y17" s="115">
        <f>SUM(Y18:Y23)</f>
        <v>1692</v>
      </c>
      <c r="Z17" s="115">
        <f>SUM(AA17:AB17)</f>
        <v>31809</v>
      </c>
      <c r="AA17" s="115">
        <f>SUM(AA18:AA23)</f>
        <v>30008</v>
      </c>
      <c r="AB17" s="115">
        <f>SUM(AB18:AB23)</f>
        <v>1801</v>
      </c>
      <c r="AC17" s="115">
        <f>SUM(AD17:AE17)</f>
        <v>32072</v>
      </c>
      <c r="AD17" s="115">
        <f>SUM(AD18:AD23)</f>
        <v>30218</v>
      </c>
      <c r="AE17" s="115">
        <f>SUM(AE18:AE23)</f>
        <v>1854</v>
      </c>
      <c r="AF17" s="115">
        <f>SUM(AG17:AH17)</f>
        <v>32668</v>
      </c>
      <c r="AG17" s="115">
        <f>SUM(AG18:AG23)</f>
        <v>30737</v>
      </c>
      <c r="AH17" s="115">
        <v>1931</v>
      </c>
      <c r="AI17" s="115">
        <f>SUM(AJ17:AK17)</f>
        <v>34306</v>
      </c>
      <c r="AJ17" s="115">
        <f>SUM(AJ18:AJ23)</f>
        <v>31501</v>
      </c>
      <c r="AK17" s="115">
        <v>2805</v>
      </c>
      <c r="AL17" s="115">
        <f>SUM(AM17:AN17)</f>
        <v>33956</v>
      </c>
      <c r="AM17" s="115">
        <f>SUM(AM18:AM23)</f>
        <v>31915</v>
      </c>
      <c r="AN17" s="115">
        <f>SUM(AN18:AN23)</f>
        <v>2041</v>
      </c>
      <c r="AO17" s="115">
        <f>SUM(AP17:AQ17)</f>
        <v>33972</v>
      </c>
      <c r="AP17" s="115">
        <f>SUM(AP18:AP23)</f>
        <v>31926</v>
      </c>
      <c r="AQ17" s="115">
        <f>SUM(AQ18:AQ23)</f>
        <v>2046</v>
      </c>
      <c r="AR17" s="115">
        <f>SUM(AS17:AT17)</f>
        <v>33663</v>
      </c>
      <c r="AS17" s="115">
        <v>31696</v>
      </c>
      <c r="AT17" s="115">
        <v>1967</v>
      </c>
      <c r="AU17" s="115">
        <f>SUM(AV17:AW17)</f>
        <v>33063</v>
      </c>
      <c r="AV17" s="115">
        <v>31091</v>
      </c>
      <c r="AW17" s="115">
        <v>1972</v>
      </c>
      <c r="AX17" s="102"/>
      <c r="AY17" s="112"/>
      <c r="AZ17" s="102"/>
      <c r="BA17" s="102"/>
    </row>
    <row r="18" spans="1:53" x14ac:dyDescent="0.2">
      <c r="A18" s="49" t="s">
        <v>19</v>
      </c>
      <c r="B18" s="50">
        <f t="shared" si="8"/>
        <v>6749</v>
      </c>
      <c r="C18" s="50">
        <v>6503</v>
      </c>
      <c r="D18" s="50">
        <v>246</v>
      </c>
      <c r="E18" s="22">
        <v>6793</v>
      </c>
      <c r="F18" s="22">
        <v>6534</v>
      </c>
      <c r="G18" s="22">
        <v>259</v>
      </c>
      <c r="H18" s="22">
        <f t="shared" si="9"/>
        <v>6559</v>
      </c>
      <c r="I18" s="22">
        <v>6284</v>
      </c>
      <c r="J18" s="22">
        <v>275</v>
      </c>
      <c r="K18" s="22">
        <f t="shared" si="10"/>
        <v>6450</v>
      </c>
      <c r="L18" s="51">
        <v>6144</v>
      </c>
      <c r="M18" s="51">
        <v>306</v>
      </c>
      <c r="N18" s="59">
        <f t="shared" si="11"/>
        <v>6134</v>
      </c>
      <c r="O18" s="59">
        <v>5809</v>
      </c>
      <c r="P18" s="59">
        <v>325</v>
      </c>
      <c r="Q18" s="58">
        <f t="shared" ref="Q18:Q29" si="12">SUM(R18:S18)</f>
        <v>6255</v>
      </c>
      <c r="R18" s="59">
        <v>5942</v>
      </c>
      <c r="S18" s="59">
        <v>313</v>
      </c>
      <c r="T18" s="113">
        <f t="shared" ref="T18:T29" si="13">SUM(U18:V18)</f>
        <v>5736</v>
      </c>
      <c r="U18" s="113">
        <f>3139+2597</f>
        <v>5736</v>
      </c>
      <c r="V18" s="113" t="s">
        <v>13</v>
      </c>
      <c r="W18" s="113">
        <f t="shared" ref="W18:W29" si="14">SUM(X18:Y18)</f>
        <v>5993</v>
      </c>
      <c r="X18" s="113">
        <v>5662</v>
      </c>
      <c r="Y18" s="113">
        <v>331</v>
      </c>
      <c r="Z18" s="113">
        <f t="shared" ref="Z18:Z29" si="15">SUM(AA18:AB18)</f>
        <v>6281</v>
      </c>
      <c r="AA18" s="113">
        <v>5910</v>
      </c>
      <c r="AB18" s="113">
        <v>371</v>
      </c>
      <c r="AC18" s="113">
        <f t="shared" ref="AC18:AC23" si="16">SUM(AD18:AE18)</f>
        <v>6425</v>
      </c>
      <c r="AD18" s="114">
        <v>6054</v>
      </c>
      <c r="AE18" s="114">
        <v>371</v>
      </c>
      <c r="AF18" s="113">
        <f t="shared" ref="AF18:AF23" si="17">SUM(AG18:AH18)</f>
        <v>6098</v>
      </c>
      <c r="AG18" s="114">
        <v>6098</v>
      </c>
      <c r="AH18" s="113" t="s">
        <v>13</v>
      </c>
      <c r="AI18" s="113">
        <f t="shared" ref="AI18:AI23" si="18">SUM(AJ18:AK18)</f>
        <v>6407</v>
      </c>
      <c r="AJ18" s="114">
        <f>[1]Elem!$C$10+[1]Elem!$D$10</f>
        <v>6407</v>
      </c>
      <c r="AK18" s="113" t="s">
        <v>13</v>
      </c>
      <c r="AL18" s="113">
        <f t="shared" ref="AL18:AL23" si="19">SUM(AM18:AN18)</f>
        <v>6878</v>
      </c>
      <c r="AM18" s="113">
        <v>6476</v>
      </c>
      <c r="AN18" s="113">
        <v>402</v>
      </c>
      <c r="AO18" s="113">
        <f t="shared" ref="AO18:AO23" si="20">SUM(AP18:AQ18)</f>
        <v>6247</v>
      </c>
      <c r="AP18" s="113">
        <v>5851</v>
      </c>
      <c r="AQ18" s="113">
        <v>396</v>
      </c>
      <c r="AR18" s="113">
        <f t="shared" ref="AR18:AR29" si="21">SUM(AS18:AT18)</f>
        <v>5776</v>
      </c>
      <c r="AS18" s="113">
        <v>5492</v>
      </c>
      <c r="AT18" s="113">
        <v>284</v>
      </c>
      <c r="AU18" s="113" t="s">
        <v>13</v>
      </c>
      <c r="AV18" s="113" t="s">
        <v>13</v>
      </c>
      <c r="AW18" s="113" t="s">
        <v>13</v>
      </c>
    </row>
    <row r="19" spans="1:53" x14ac:dyDescent="0.2">
      <c r="A19" s="49" t="s">
        <v>20</v>
      </c>
      <c r="B19" s="50">
        <f t="shared" si="8"/>
        <v>5798</v>
      </c>
      <c r="C19" s="50">
        <v>5580</v>
      </c>
      <c r="D19" s="50">
        <v>218</v>
      </c>
      <c r="E19" s="22">
        <v>5939</v>
      </c>
      <c r="F19" s="22">
        <v>5665</v>
      </c>
      <c r="G19" s="22">
        <v>274</v>
      </c>
      <c r="H19" s="22">
        <f t="shared" si="9"/>
        <v>6154</v>
      </c>
      <c r="I19" s="22">
        <v>5898</v>
      </c>
      <c r="J19" s="22">
        <v>256</v>
      </c>
      <c r="K19" s="22">
        <f t="shared" si="10"/>
        <v>5951</v>
      </c>
      <c r="L19" s="51">
        <v>5680</v>
      </c>
      <c r="M19" s="51">
        <v>271</v>
      </c>
      <c r="N19" s="59">
        <f t="shared" si="11"/>
        <v>5716</v>
      </c>
      <c r="O19" s="59">
        <v>5423</v>
      </c>
      <c r="P19" s="59">
        <v>293</v>
      </c>
      <c r="Q19" s="58">
        <f t="shared" si="12"/>
        <v>5554</v>
      </c>
      <c r="R19" s="59">
        <v>5251</v>
      </c>
      <c r="S19" s="59">
        <v>303</v>
      </c>
      <c r="T19" s="113">
        <f t="shared" si="13"/>
        <v>5375</v>
      </c>
      <c r="U19" s="113">
        <f>2798+2577</f>
        <v>5375</v>
      </c>
      <c r="V19" s="113" t="s">
        <v>13</v>
      </c>
      <c r="W19" s="113">
        <f t="shared" si="14"/>
        <v>5417</v>
      </c>
      <c r="X19" s="113">
        <v>5106</v>
      </c>
      <c r="Y19" s="113">
        <v>311</v>
      </c>
      <c r="Z19" s="113">
        <f t="shared" si="15"/>
        <v>5384</v>
      </c>
      <c r="AA19" s="113">
        <v>5068</v>
      </c>
      <c r="AB19" s="113">
        <v>316</v>
      </c>
      <c r="AC19" s="113">
        <f t="shared" si="16"/>
        <v>5737</v>
      </c>
      <c r="AD19" s="114">
        <v>5390</v>
      </c>
      <c r="AE19" s="114">
        <v>347</v>
      </c>
      <c r="AF19" s="113">
        <f t="shared" si="17"/>
        <v>5397</v>
      </c>
      <c r="AG19" s="114">
        <v>5397</v>
      </c>
      <c r="AH19" s="113" t="s">
        <v>13</v>
      </c>
      <c r="AI19" s="113">
        <f t="shared" si="18"/>
        <v>5550</v>
      </c>
      <c r="AJ19" s="114">
        <f>[1]Elem!$E$10+[1]Elem!$F$10</f>
        <v>5550</v>
      </c>
      <c r="AK19" s="113" t="s">
        <v>13</v>
      </c>
      <c r="AL19" s="113">
        <f t="shared" si="19"/>
        <v>6104</v>
      </c>
      <c r="AM19" s="113">
        <v>5728</v>
      </c>
      <c r="AN19" s="113">
        <v>376</v>
      </c>
      <c r="AO19" s="113">
        <f t="shared" si="20"/>
        <v>6168</v>
      </c>
      <c r="AP19" s="113">
        <v>5807</v>
      </c>
      <c r="AQ19" s="113">
        <v>361</v>
      </c>
      <c r="AR19" s="113">
        <f t="shared" si="21"/>
        <v>5834</v>
      </c>
      <c r="AS19" s="113">
        <v>5462</v>
      </c>
      <c r="AT19" s="113">
        <v>372</v>
      </c>
      <c r="AU19" s="113" t="s">
        <v>13</v>
      </c>
      <c r="AV19" s="113" t="s">
        <v>13</v>
      </c>
      <c r="AW19" s="113" t="s">
        <v>13</v>
      </c>
    </row>
    <row r="20" spans="1:53" x14ac:dyDescent="0.2">
      <c r="A20" s="49" t="s">
        <v>21</v>
      </c>
      <c r="B20" s="50">
        <f t="shared" si="8"/>
        <v>5824</v>
      </c>
      <c r="C20" s="50">
        <v>5585</v>
      </c>
      <c r="D20" s="50">
        <v>239</v>
      </c>
      <c r="E20" s="22">
        <v>5693</v>
      </c>
      <c r="F20" s="22">
        <v>5399</v>
      </c>
      <c r="G20" s="22">
        <v>240</v>
      </c>
      <c r="H20" s="22">
        <f t="shared" si="9"/>
        <v>5750</v>
      </c>
      <c r="I20" s="22">
        <v>5473</v>
      </c>
      <c r="J20" s="22">
        <v>277</v>
      </c>
      <c r="K20" s="22">
        <f t="shared" si="10"/>
        <v>5894</v>
      </c>
      <c r="L20" s="51">
        <v>5624</v>
      </c>
      <c r="M20" s="51">
        <v>270</v>
      </c>
      <c r="N20" s="59">
        <f t="shared" si="11"/>
        <v>5592</v>
      </c>
      <c r="O20" s="59">
        <v>5334</v>
      </c>
      <c r="P20" s="59">
        <v>258</v>
      </c>
      <c r="Q20" s="58">
        <f t="shared" si="12"/>
        <v>5372</v>
      </c>
      <c r="R20" s="59">
        <v>5094</v>
      </c>
      <c r="S20" s="59">
        <v>278</v>
      </c>
      <c r="T20" s="113">
        <f t="shared" si="13"/>
        <v>5024</v>
      </c>
      <c r="U20" s="113">
        <f>2665+2359</f>
        <v>5024</v>
      </c>
      <c r="V20" s="113" t="s">
        <v>13</v>
      </c>
      <c r="W20" s="113">
        <f t="shared" si="14"/>
        <v>5313</v>
      </c>
      <c r="X20" s="113">
        <v>5041</v>
      </c>
      <c r="Y20" s="113">
        <v>272</v>
      </c>
      <c r="Z20" s="113">
        <f t="shared" si="15"/>
        <v>5218</v>
      </c>
      <c r="AA20" s="113">
        <v>4909</v>
      </c>
      <c r="AB20" s="113">
        <v>309</v>
      </c>
      <c r="AC20" s="113">
        <f t="shared" si="16"/>
        <v>5174</v>
      </c>
      <c r="AD20" s="114">
        <v>4859</v>
      </c>
      <c r="AE20" s="114">
        <v>315</v>
      </c>
      <c r="AF20" s="113">
        <f t="shared" si="17"/>
        <v>5193</v>
      </c>
      <c r="AG20" s="114">
        <v>5193</v>
      </c>
      <c r="AH20" s="113" t="s">
        <v>13</v>
      </c>
      <c r="AI20" s="113">
        <f t="shared" si="18"/>
        <v>5156</v>
      </c>
      <c r="AJ20" s="114">
        <f>[1]Elem!$G$10+[1]Elem!$H$10</f>
        <v>5156</v>
      </c>
      <c r="AK20" s="113" t="s">
        <v>13</v>
      </c>
      <c r="AL20" s="113">
        <f t="shared" si="19"/>
        <v>5567</v>
      </c>
      <c r="AM20" s="113">
        <v>5285</v>
      </c>
      <c r="AN20" s="113">
        <v>282</v>
      </c>
      <c r="AO20" s="113">
        <f t="shared" si="20"/>
        <v>5802</v>
      </c>
      <c r="AP20" s="113">
        <v>5446</v>
      </c>
      <c r="AQ20" s="113">
        <v>356</v>
      </c>
      <c r="AR20" s="113">
        <f t="shared" si="21"/>
        <v>5935</v>
      </c>
      <c r="AS20" s="113">
        <v>5573</v>
      </c>
      <c r="AT20" s="113">
        <v>362</v>
      </c>
      <c r="AU20" s="113" t="s">
        <v>13</v>
      </c>
      <c r="AV20" s="113" t="s">
        <v>13</v>
      </c>
      <c r="AW20" s="113" t="s">
        <v>13</v>
      </c>
    </row>
    <row r="21" spans="1:53" x14ac:dyDescent="0.2">
      <c r="A21" s="49" t="s">
        <v>22</v>
      </c>
      <c r="B21" s="50">
        <f t="shared" si="8"/>
        <v>6150</v>
      </c>
      <c r="C21" s="50">
        <v>5930</v>
      </c>
      <c r="D21" s="50">
        <v>220</v>
      </c>
      <c r="E21" s="22">
        <v>5662</v>
      </c>
      <c r="F21" s="22">
        <v>5434</v>
      </c>
      <c r="G21" s="22">
        <v>228</v>
      </c>
      <c r="H21" s="22">
        <f t="shared" si="9"/>
        <v>5460</v>
      </c>
      <c r="I21" s="22">
        <v>5210</v>
      </c>
      <c r="J21" s="22">
        <v>250</v>
      </c>
      <c r="K21" s="22">
        <f t="shared" si="10"/>
        <v>5614</v>
      </c>
      <c r="L21" s="51">
        <v>5331</v>
      </c>
      <c r="M21" s="51">
        <v>283</v>
      </c>
      <c r="N21" s="59">
        <f t="shared" si="11"/>
        <v>5708</v>
      </c>
      <c r="O21" s="59">
        <v>5442</v>
      </c>
      <c r="P21" s="59">
        <v>266</v>
      </c>
      <c r="Q21" s="58">
        <f t="shared" si="12"/>
        <v>5441</v>
      </c>
      <c r="R21" s="59">
        <v>5167</v>
      </c>
      <c r="S21" s="59">
        <v>274</v>
      </c>
      <c r="T21" s="113">
        <f t="shared" si="13"/>
        <v>5021</v>
      </c>
      <c r="U21" s="113">
        <f>2600+2421</f>
        <v>5021</v>
      </c>
      <c r="V21" s="113" t="s">
        <v>13</v>
      </c>
      <c r="W21" s="113">
        <f t="shared" si="14"/>
        <v>5082</v>
      </c>
      <c r="X21" s="113">
        <v>4816</v>
      </c>
      <c r="Y21" s="113">
        <v>266</v>
      </c>
      <c r="Z21" s="113">
        <f t="shared" si="15"/>
        <v>5148</v>
      </c>
      <c r="AA21" s="113">
        <v>4861</v>
      </c>
      <c r="AB21" s="113">
        <v>287</v>
      </c>
      <c r="AC21" s="113">
        <f t="shared" si="16"/>
        <v>5073</v>
      </c>
      <c r="AD21" s="114">
        <v>4772</v>
      </c>
      <c r="AE21" s="114">
        <v>301</v>
      </c>
      <c r="AF21" s="113">
        <f t="shared" si="17"/>
        <v>4808</v>
      </c>
      <c r="AG21" s="114">
        <f>4798+10</f>
        <v>4808</v>
      </c>
      <c r="AH21" s="113" t="s">
        <v>13</v>
      </c>
      <c r="AI21" s="113">
        <f t="shared" si="18"/>
        <v>5149</v>
      </c>
      <c r="AJ21" s="114">
        <f>[1]Elem!$I$10+[1]Elem!$J$10</f>
        <v>5149</v>
      </c>
      <c r="AK21" s="113" t="s">
        <v>13</v>
      </c>
      <c r="AL21" s="113">
        <f t="shared" si="19"/>
        <v>5380</v>
      </c>
      <c r="AM21" s="113">
        <v>5035</v>
      </c>
      <c r="AN21" s="113">
        <v>345</v>
      </c>
      <c r="AO21" s="113">
        <f t="shared" si="20"/>
        <v>5425</v>
      </c>
      <c r="AP21" s="113">
        <v>5143</v>
      </c>
      <c r="AQ21" s="113">
        <v>282</v>
      </c>
      <c r="AR21" s="113">
        <f t="shared" si="21"/>
        <v>5724</v>
      </c>
      <c r="AS21" s="113">
        <v>5384</v>
      </c>
      <c r="AT21" s="113">
        <v>340</v>
      </c>
      <c r="AU21" s="113" t="s">
        <v>13</v>
      </c>
      <c r="AV21" s="113" t="s">
        <v>13</v>
      </c>
      <c r="AW21" s="113" t="s">
        <v>13</v>
      </c>
    </row>
    <row r="22" spans="1:53" x14ac:dyDescent="0.2">
      <c r="A22" s="49" t="s">
        <v>23</v>
      </c>
      <c r="B22" s="50">
        <f t="shared" si="8"/>
        <v>5394</v>
      </c>
      <c r="C22" s="50">
        <v>5165</v>
      </c>
      <c r="D22" s="50">
        <v>229</v>
      </c>
      <c r="E22" s="22">
        <v>5951</v>
      </c>
      <c r="F22" s="22">
        <v>5721</v>
      </c>
      <c r="G22" s="22">
        <v>230</v>
      </c>
      <c r="H22" s="22">
        <f t="shared" si="9"/>
        <v>5514</v>
      </c>
      <c r="I22" s="22">
        <v>5217</v>
      </c>
      <c r="J22" s="22">
        <v>297</v>
      </c>
      <c r="K22" s="22">
        <f t="shared" si="10"/>
        <v>5284</v>
      </c>
      <c r="L22" s="51">
        <v>5037</v>
      </c>
      <c r="M22" s="51">
        <v>247</v>
      </c>
      <c r="N22" s="59">
        <f t="shared" si="11"/>
        <v>5390</v>
      </c>
      <c r="O22" s="59">
        <v>5118</v>
      </c>
      <c r="P22" s="59">
        <v>272</v>
      </c>
      <c r="Q22" s="58">
        <f t="shared" si="12"/>
        <v>5520</v>
      </c>
      <c r="R22" s="59">
        <v>5253</v>
      </c>
      <c r="S22" s="59">
        <v>267</v>
      </c>
      <c r="T22" s="113">
        <f t="shared" si="13"/>
        <v>4984</v>
      </c>
      <c r="U22" s="113">
        <f>2617+2367</f>
        <v>4984</v>
      </c>
      <c r="V22" s="113" t="s">
        <v>13</v>
      </c>
      <c r="W22" s="113">
        <f t="shared" si="14"/>
        <v>5082</v>
      </c>
      <c r="X22" s="113">
        <v>4820</v>
      </c>
      <c r="Y22" s="113">
        <v>262</v>
      </c>
      <c r="Z22" s="113">
        <f t="shared" si="15"/>
        <v>4915</v>
      </c>
      <c r="AA22" s="113">
        <v>4665</v>
      </c>
      <c r="AB22" s="113">
        <v>250</v>
      </c>
      <c r="AC22" s="113">
        <f t="shared" si="16"/>
        <v>4956</v>
      </c>
      <c r="AD22" s="114">
        <v>4674</v>
      </c>
      <c r="AE22" s="114">
        <v>282</v>
      </c>
      <c r="AF22" s="113">
        <f t="shared" si="17"/>
        <v>4690</v>
      </c>
      <c r="AG22" s="114">
        <v>4690</v>
      </c>
      <c r="AH22" s="113" t="s">
        <v>13</v>
      </c>
      <c r="AI22" s="113">
        <f t="shared" si="18"/>
        <v>4681</v>
      </c>
      <c r="AJ22" s="114">
        <f>[1]Elem!$K$10+[1]Elem!$L$10</f>
        <v>4681</v>
      </c>
      <c r="AK22" s="113" t="s">
        <v>13</v>
      </c>
      <c r="AL22" s="113">
        <f t="shared" si="19"/>
        <v>5299</v>
      </c>
      <c r="AM22" s="113">
        <v>4965</v>
      </c>
      <c r="AN22" s="113">
        <v>334</v>
      </c>
      <c r="AO22" s="113">
        <f t="shared" si="20"/>
        <v>5232</v>
      </c>
      <c r="AP22" s="113">
        <v>4909</v>
      </c>
      <c r="AQ22" s="113">
        <v>323</v>
      </c>
      <c r="AR22" s="113">
        <f t="shared" si="21"/>
        <v>5283</v>
      </c>
      <c r="AS22" s="113">
        <v>4992</v>
      </c>
      <c r="AT22" s="113">
        <v>291</v>
      </c>
      <c r="AU22" s="113" t="s">
        <v>13</v>
      </c>
      <c r="AV22" s="113" t="s">
        <v>13</v>
      </c>
      <c r="AW22" s="113" t="s">
        <v>13</v>
      </c>
    </row>
    <row r="23" spans="1:53" x14ac:dyDescent="0.2">
      <c r="A23" s="49" t="s">
        <v>24</v>
      </c>
      <c r="B23" s="50">
        <f t="shared" si="8"/>
        <v>4737</v>
      </c>
      <c r="C23" s="50">
        <v>4510</v>
      </c>
      <c r="D23" s="50">
        <v>227</v>
      </c>
      <c r="E23" s="22">
        <v>5137</v>
      </c>
      <c r="F23" s="22">
        <v>4918</v>
      </c>
      <c r="G23" s="22">
        <v>219</v>
      </c>
      <c r="H23" s="22">
        <f t="shared" si="9"/>
        <v>5649</v>
      </c>
      <c r="I23" s="22">
        <v>5467</v>
      </c>
      <c r="J23" s="22">
        <v>182</v>
      </c>
      <c r="K23" s="22">
        <f t="shared" si="10"/>
        <v>5221</v>
      </c>
      <c r="L23" s="51">
        <v>4997</v>
      </c>
      <c r="M23" s="51">
        <v>224</v>
      </c>
      <c r="N23" s="59">
        <f t="shared" si="11"/>
        <v>4959</v>
      </c>
      <c r="O23" s="59">
        <v>4718</v>
      </c>
      <c r="P23" s="59">
        <v>241</v>
      </c>
      <c r="Q23" s="58">
        <f t="shared" si="12"/>
        <v>5120</v>
      </c>
      <c r="R23" s="59">
        <v>4843</v>
      </c>
      <c r="S23" s="59">
        <v>277</v>
      </c>
      <c r="T23" s="113">
        <f t="shared" si="13"/>
        <v>4945</v>
      </c>
      <c r="U23" s="113">
        <f>2440+2505</f>
        <v>4945</v>
      </c>
      <c r="V23" s="113" t="s">
        <v>13</v>
      </c>
      <c r="W23" s="113">
        <f t="shared" si="14"/>
        <v>4878</v>
      </c>
      <c r="X23" s="113">
        <v>4628</v>
      </c>
      <c r="Y23" s="113">
        <v>250</v>
      </c>
      <c r="Z23" s="113">
        <f t="shared" si="15"/>
        <v>4863</v>
      </c>
      <c r="AA23" s="113">
        <v>4595</v>
      </c>
      <c r="AB23" s="113">
        <v>268</v>
      </c>
      <c r="AC23" s="113">
        <f t="shared" si="16"/>
        <v>4707</v>
      </c>
      <c r="AD23" s="114">
        <v>4469</v>
      </c>
      <c r="AE23" s="114">
        <v>238</v>
      </c>
      <c r="AF23" s="113">
        <f t="shared" si="17"/>
        <v>4551</v>
      </c>
      <c r="AG23" s="114">
        <v>4551</v>
      </c>
      <c r="AH23" s="113" t="s">
        <v>13</v>
      </c>
      <c r="AI23" s="113">
        <f t="shared" si="18"/>
        <v>4558</v>
      </c>
      <c r="AJ23" s="114">
        <f>[1]Elem!$M$10+[1]Elem!$N$10</f>
        <v>4558</v>
      </c>
      <c r="AK23" s="113" t="s">
        <v>13</v>
      </c>
      <c r="AL23" s="113">
        <f t="shared" si="19"/>
        <v>4728</v>
      </c>
      <c r="AM23" s="113">
        <v>4426</v>
      </c>
      <c r="AN23" s="113">
        <v>302</v>
      </c>
      <c r="AO23" s="113">
        <f t="shared" si="20"/>
        <v>5098</v>
      </c>
      <c r="AP23" s="113">
        <v>4770</v>
      </c>
      <c r="AQ23" s="113">
        <v>328</v>
      </c>
      <c r="AR23" s="113">
        <f t="shared" si="21"/>
        <v>5111</v>
      </c>
      <c r="AS23" s="113">
        <v>4793</v>
      </c>
      <c r="AT23" s="113">
        <v>318</v>
      </c>
      <c r="AU23" s="113" t="s">
        <v>13</v>
      </c>
      <c r="AV23" s="113" t="s">
        <v>13</v>
      </c>
      <c r="AW23" s="113" t="s">
        <v>13</v>
      </c>
    </row>
    <row r="24" spans="1:53" s="80" customFormat="1" x14ac:dyDescent="0.2">
      <c r="A24" s="10" t="s">
        <v>15</v>
      </c>
      <c r="B24" s="78">
        <f t="shared" si="8"/>
        <v>16715</v>
      </c>
      <c r="C24" s="78">
        <v>11052</v>
      </c>
      <c r="D24" s="78">
        <f>D26+D27+D28+D29</f>
        <v>5663</v>
      </c>
      <c r="E24" s="79">
        <v>16031</v>
      </c>
      <c r="F24" s="79">
        <v>10438</v>
      </c>
      <c r="G24" s="79">
        <v>5593</v>
      </c>
      <c r="H24" s="79">
        <f t="shared" si="9"/>
        <v>16590</v>
      </c>
      <c r="I24" s="79">
        <v>10933</v>
      </c>
      <c r="J24" s="79">
        <v>5657</v>
      </c>
      <c r="K24" s="79">
        <f t="shared" si="10"/>
        <v>17323</v>
      </c>
      <c r="L24" s="77">
        <v>11281</v>
      </c>
      <c r="M24" s="77">
        <v>6042</v>
      </c>
      <c r="N24" s="91">
        <f t="shared" si="11"/>
        <v>18024</v>
      </c>
      <c r="O24" s="91">
        <v>11853</v>
      </c>
      <c r="P24" s="91">
        <v>6171</v>
      </c>
      <c r="Q24" s="91">
        <f t="shared" si="12"/>
        <v>18080</v>
      </c>
      <c r="R24" s="91">
        <v>12115</v>
      </c>
      <c r="S24" s="91">
        <f>SUM(S26:S29)</f>
        <v>5965</v>
      </c>
      <c r="T24" s="115">
        <f t="shared" si="13"/>
        <v>11790</v>
      </c>
      <c r="U24" s="115">
        <f>SUM(U25:U29)</f>
        <v>11790</v>
      </c>
      <c r="V24" s="115" t="s">
        <v>13</v>
      </c>
      <c r="W24" s="115">
        <f t="shared" si="14"/>
        <v>17499</v>
      </c>
      <c r="X24" s="115">
        <f>SUM(X25:X29)</f>
        <v>11481</v>
      </c>
      <c r="Y24" s="115">
        <f>SUM(Y25:Y29)</f>
        <v>6018</v>
      </c>
      <c r="Z24" s="115">
        <f>SUM(AA24:AB24)</f>
        <v>16936</v>
      </c>
      <c r="AA24" s="115">
        <f>SUM(AA25:AA29)</f>
        <v>10818</v>
      </c>
      <c r="AB24" s="115">
        <f>SUM(AB25:AB29)</f>
        <v>6118</v>
      </c>
      <c r="AC24" s="115">
        <f t="shared" ref="AC24:AC29" si="22">SUM(AD24:AE24)</f>
        <v>14893</v>
      </c>
      <c r="AD24" s="116">
        <f>SUM(AD25:AD29)</f>
        <v>11321</v>
      </c>
      <c r="AE24" s="116">
        <f>SUM(AE25:AE29)</f>
        <v>3572</v>
      </c>
      <c r="AF24" s="115">
        <f>SUM(AG24:AH24)</f>
        <v>17625</v>
      </c>
      <c r="AG24" s="116">
        <f>SUM(AG25:AG29)</f>
        <v>11701</v>
      </c>
      <c r="AH24" s="115">
        <v>5924</v>
      </c>
      <c r="AI24" s="115">
        <f>SUM(AJ24:AK24)</f>
        <v>17048</v>
      </c>
      <c r="AJ24" s="116">
        <f>SUM(AJ25:AJ29)</f>
        <v>11217</v>
      </c>
      <c r="AK24" s="115">
        <v>5831</v>
      </c>
      <c r="AL24" s="115">
        <f t="shared" ref="AL24:AL29" si="23">SUM(AM24:AN24)</f>
        <v>16777</v>
      </c>
      <c r="AM24" s="115">
        <f>SUM(AM25:AM29)</f>
        <v>11087</v>
      </c>
      <c r="AN24" s="115">
        <f>SUM(AN25:AN29)</f>
        <v>5690</v>
      </c>
      <c r="AO24" s="115">
        <f t="shared" ref="AO24:AO29" si="24">SUM(AP24:AQ24)</f>
        <v>16578</v>
      </c>
      <c r="AP24" s="115">
        <f>SUM(AP25:AP29)</f>
        <v>11054</v>
      </c>
      <c r="AQ24" s="115">
        <f>SUM(AQ25:AQ29)</f>
        <v>5524</v>
      </c>
      <c r="AR24" s="115">
        <f t="shared" si="21"/>
        <v>17014</v>
      </c>
      <c r="AS24" s="115">
        <v>11329</v>
      </c>
      <c r="AT24" s="115">
        <v>5685</v>
      </c>
      <c r="AU24" s="115">
        <f t="shared" ref="AU24" si="25">SUM(AV24:AW24)</f>
        <v>17451</v>
      </c>
      <c r="AV24" s="115">
        <v>11639</v>
      </c>
      <c r="AW24" s="115">
        <v>5812</v>
      </c>
      <c r="AX24" s="102"/>
      <c r="AY24" s="108"/>
      <c r="AZ24" s="102"/>
      <c r="BA24" s="102"/>
    </row>
    <row r="25" spans="1:53" x14ac:dyDescent="0.2">
      <c r="A25" s="52" t="s">
        <v>49</v>
      </c>
      <c r="B25" s="50" t="s">
        <v>51</v>
      </c>
      <c r="C25" s="50" t="s">
        <v>51</v>
      </c>
      <c r="D25" s="50" t="s">
        <v>51</v>
      </c>
      <c r="E25" s="50" t="s">
        <v>51</v>
      </c>
      <c r="F25" s="50" t="s">
        <v>51</v>
      </c>
      <c r="G25" s="50" t="s">
        <v>51</v>
      </c>
      <c r="H25" s="50" t="s">
        <v>51</v>
      </c>
      <c r="I25" s="50" t="s">
        <v>51</v>
      </c>
      <c r="J25" s="50" t="s">
        <v>51</v>
      </c>
      <c r="K25" s="50" t="s">
        <v>51</v>
      </c>
      <c r="L25" s="50" t="s">
        <v>51</v>
      </c>
      <c r="M25" s="50" t="s">
        <v>51</v>
      </c>
      <c r="N25" s="93" t="s">
        <v>51</v>
      </c>
      <c r="O25" s="93" t="s">
        <v>51</v>
      </c>
      <c r="P25" s="93" t="s">
        <v>51</v>
      </c>
      <c r="Q25" s="93" t="s">
        <v>51</v>
      </c>
      <c r="R25" s="93" t="s">
        <v>51</v>
      </c>
      <c r="S25" s="93" t="s">
        <v>51</v>
      </c>
      <c r="T25" s="113">
        <f t="shared" si="13"/>
        <v>570</v>
      </c>
      <c r="U25" s="113">
        <f>337+233</f>
        <v>570</v>
      </c>
      <c r="V25" s="113"/>
      <c r="W25" s="113">
        <f t="shared" si="14"/>
        <v>0</v>
      </c>
      <c r="X25" s="113">
        <v>0</v>
      </c>
      <c r="Y25" s="113">
        <v>0</v>
      </c>
      <c r="Z25" s="113">
        <f t="shared" si="15"/>
        <v>0</v>
      </c>
      <c r="AA25" s="113">
        <v>0</v>
      </c>
      <c r="AB25" s="113">
        <v>0</v>
      </c>
      <c r="AC25" s="113">
        <f t="shared" si="22"/>
        <v>0</v>
      </c>
      <c r="AD25" s="114">
        <v>0</v>
      </c>
      <c r="AE25" s="113">
        <f>SUM(AF25:AG25)</f>
        <v>0</v>
      </c>
      <c r="AF25" s="113">
        <v>0</v>
      </c>
      <c r="AG25" s="114">
        <v>0</v>
      </c>
      <c r="AH25" s="113" t="s">
        <v>13</v>
      </c>
      <c r="AI25" s="113">
        <v>0</v>
      </c>
      <c r="AJ25" s="114">
        <v>0</v>
      </c>
      <c r="AK25" s="113" t="s">
        <v>13</v>
      </c>
      <c r="AL25" s="113">
        <f t="shared" si="23"/>
        <v>0</v>
      </c>
      <c r="AM25" s="113"/>
      <c r="AN25" s="113"/>
      <c r="AO25" s="113">
        <f t="shared" si="24"/>
        <v>0</v>
      </c>
      <c r="AP25" s="113"/>
      <c r="AQ25" s="113"/>
      <c r="AR25" s="113">
        <f t="shared" si="21"/>
        <v>0</v>
      </c>
      <c r="AS25" s="113"/>
      <c r="AT25" s="113"/>
      <c r="AU25" s="113"/>
      <c r="AV25" s="113"/>
      <c r="AW25" s="113"/>
    </row>
    <row r="26" spans="1:53" x14ac:dyDescent="0.2">
      <c r="A26" s="49" t="s">
        <v>25</v>
      </c>
      <c r="B26" s="50">
        <f t="shared" si="8"/>
        <v>4707</v>
      </c>
      <c r="C26" s="50">
        <v>3169</v>
      </c>
      <c r="D26" s="50">
        <v>1538</v>
      </c>
      <c r="E26" s="22">
        <v>4395</v>
      </c>
      <c r="F26" s="22">
        <v>2897</v>
      </c>
      <c r="G26" s="22">
        <v>1498</v>
      </c>
      <c r="H26" s="22">
        <f t="shared" si="9"/>
        <v>4904</v>
      </c>
      <c r="I26" s="22">
        <v>3341</v>
      </c>
      <c r="J26" s="22">
        <v>1563</v>
      </c>
      <c r="K26" s="22">
        <f t="shared" si="10"/>
        <v>5560</v>
      </c>
      <c r="L26" s="51">
        <v>3669</v>
      </c>
      <c r="M26" s="51">
        <v>1891</v>
      </c>
      <c r="N26" s="59">
        <f t="shared" si="11"/>
        <v>5077</v>
      </c>
      <c r="O26" s="59">
        <v>3502</v>
      </c>
      <c r="P26" s="59">
        <v>1575</v>
      </c>
      <c r="Q26" s="58">
        <f t="shared" si="12"/>
        <v>4880</v>
      </c>
      <c r="R26" s="59">
        <v>3428</v>
      </c>
      <c r="S26" s="59">
        <v>1452</v>
      </c>
      <c r="T26" s="113">
        <f t="shared" si="13"/>
        <v>2379</v>
      </c>
      <c r="U26" s="113">
        <f>1195+1184</f>
        <v>2379</v>
      </c>
      <c r="V26" s="113" t="s">
        <v>13</v>
      </c>
      <c r="W26" s="113">
        <f t="shared" si="14"/>
        <v>5341</v>
      </c>
      <c r="X26" s="113">
        <v>3652</v>
      </c>
      <c r="Y26" s="113">
        <v>1689</v>
      </c>
      <c r="Z26" s="113">
        <f t="shared" si="15"/>
        <v>4614</v>
      </c>
      <c r="AA26" s="114">
        <v>2982</v>
      </c>
      <c r="AB26" s="113">
        <v>1632</v>
      </c>
      <c r="AC26" s="113">
        <f t="shared" si="22"/>
        <v>4117</v>
      </c>
      <c r="AD26" s="114">
        <v>3221</v>
      </c>
      <c r="AE26" s="114">
        <v>896</v>
      </c>
      <c r="AF26" s="113">
        <f>SUM(AG26:AH26)</f>
        <v>3064</v>
      </c>
      <c r="AG26" s="114">
        <v>3064</v>
      </c>
      <c r="AH26" s="113" t="s">
        <v>13</v>
      </c>
      <c r="AI26" s="113">
        <f>SUM(AJ26:AK26)</f>
        <v>3072</v>
      </c>
      <c r="AJ26" s="114">
        <f>[1]Sec!$C$10+[1]Sec!$D$10</f>
        <v>3072</v>
      </c>
      <c r="AK26" s="113" t="s">
        <v>13</v>
      </c>
      <c r="AL26" s="113">
        <f t="shared" si="23"/>
        <v>4595</v>
      </c>
      <c r="AM26" s="113">
        <v>3045</v>
      </c>
      <c r="AN26" s="113">
        <v>1550</v>
      </c>
      <c r="AO26" s="113">
        <f t="shared" si="24"/>
        <v>4542</v>
      </c>
      <c r="AP26" s="113">
        <v>3043</v>
      </c>
      <c r="AQ26" s="113">
        <v>1499</v>
      </c>
      <c r="AR26" s="113">
        <f t="shared" si="21"/>
        <v>4921</v>
      </c>
      <c r="AS26" s="113">
        <v>3304</v>
      </c>
      <c r="AT26" s="113">
        <v>1617</v>
      </c>
      <c r="AU26" s="113" t="s">
        <v>13</v>
      </c>
      <c r="AV26" s="113" t="s">
        <v>13</v>
      </c>
      <c r="AW26" s="113" t="s">
        <v>13</v>
      </c>
    </row>
    <row r="27" spans="1:53" x14ac:dyDescent="0.2">
      <c r="A27" s="49" t="s">
        <v>26</v>
      </c>
      <c r="B27" s="50">
        <f t="shared" si="8"/>
        <v>4343</v>
      </c>
      <c r="C27" s="50">
        <v>2989</v>
      </c>
      <c r="D27" s="50">
        <v>1354</v>
      </c>
      <c r="E27" s="22">
        <v>4230</v>
      </c>
      <c r="F27" s="22">
        <v>2785</v>
      </c>
      <c r="G27" s="22">
        <v>1445</v>
      </c>
      <c r="H27" s="22">
        <f t="shared" si="9"/>
        <v>4181</v>
      </c>
      <c r="I27" s="22">
        <v>2739</v>
      </c>
      <c r="J27" s="22">
        <v>1442</v>
      </c>
      <c r="K27" s="22">
        <f t="shared" si="10"/>
        <v>4491</v>
      </c>
      <c r="L27" s="51">
        <v>2952</v>
      </c>
      <c r="M27" s="51">
        <v>1539</v>
      </c>
      <c r="N27" s="59">
        <f t="shared" si="11"/>
        <v>5200</v>
      </c>
      <c r="O27" s="59">
        <v>3392</v>
      </c>
      <c r="P27" s="59">
        <v>1808</v>
      </c>
      <c r="Q27" s="58">
        <f t="shared" si="12"/>
        <v>4601</v>
      </c>
      <c r="R27" s="59">
        <v>3142</v>
      </c>
      <c r="S27" s="59">
        <v>1459</v>
      </c>
      <c r="T27" s="113">
        <f t="shared" si="13"/>
        <v>3046</v>
      </c>
      <c r="U27" s="113">
        <f>1578+1468</f>
        <v>3046</v>
      </c>
      <c r="V27" s="113" t="s">
        <v>13</v>
      </c>
      <c r="W27" s="113">
        <f t="shared" si="14"/>
        <v>3971</v>
      </c>
      <c r="X27" s="113">
        <v>2352</v>
      </c>
      <c r="Y27" s="113">
        <v>1619</v>
      </c>
      <c r="Z27" s="113">
        <f t="shared" si="15"/>
        <v>4779</v>
      </c>
      <c r="AA27" s="114">
        <v>3159</v>
      </c>
      <c r="AB27" s="113">
        <v>1620</v>
      </c>
      <c r="AC27" s="113">
        <f t="shared" si="22"/>
        <v>3816</v>
      </c>
      <c r="AD27" s="114">
        <v>2909</v>
      </c>
      <c r="AE27" s="114">
        <v>907</v>
      </c>
      <c r="AF27" s="113">
        <f>SUM(AG27:AH27)</f>
        <v>3019</v>
      </c>
      <c r="AG27" s="114">
        <v>3019</v>
      </c>
      <c r="AH27" s="113" t="s">
        <v>13</v>
      </c>
      <c r="AI27" s="113">
        <f>SUM(AJ27:AK27)</f>
        <v>2795</v>
      </c>
      <c r="AJ27" s="114">
        <f>[1]Sec!$E$10+[1]Sec!$F$10</f>
        <v>2795</v>
      </c>
      <c r="AK27" s="113" t="s">
        <v>13</v>
      </c>
      <c r="AL27" s="113">
        <f t="shared" si="23"/>
        <v>4340</v>
      </c>
      <c r="AM27" s="113">
        <v>2891</v>
      </c>
      <c r="AN27" s="113">
        <v>1449</v>
      </c>
      <c r="AO27" s="113">
        <f t="shared" si="24"/>
        <v>4300</v>
      </c>
      <c r="AP27" s="113">
        <v>2831</v>
      </c>
      <c r="AQ27" s="113">
        <v>1469</v>
      </c>
      <c r="AR27" s="113">
        <f t="shared" si="21"/>
        <v>4289</v>
      </c>
      <c r="AS27" s="113">
        <v>2872</v>
      </c>
      <c r="AT27" s="113">
        <v>1417</v>
      </c>
      <c r="AU27" s="113" t="s">
        <v>13</v>
      </c>
      <c r="AV27" s="113" t="s">
        <v>13</v>
      </c>
      <c r="AW27" s="113" t="s">
        <v>13</v>
      </c>
    </row>
    <row r="28" spans="1:53" x14ac:dyDescent="0.2">
      <c r="A28" s="49" t="s">
        <v>27</v>
      </c>
      <c r="B28" s="50">
        <f t="shared" si="8"/>
        <v>4106</v>
      </c>
      <c r="C28" s="50">
        <v>2681</v>
      </c>
      <c r="D28" s="50">
        <v>1425</v>
      </c>
      <c r="E28" s="22">
        <v>4013</v>
      </c>
      <c r="F28" s="22">
        <v>2606</v>
      </c>
      <c r="G28" s="22">
        <v>1407</v>
      </c>
      <c r="H28" s="22">
        <f t="shared" si="9"/>
        <v>3911</v>
      </c>
      <c r="I28" s="22">
        <v>2522</v>
      </c>
      <c r="J28" s="22">
        <v>1389</v>
      </c>
      <c r="K28" s="22">
        <f t="shared" si="10"/>
        <v>3828</v>
      </c>
      <c r="L28" s="51">
        <v>2483</v>
      </c>
      <c r="M28" s="51">
        <v>1345</v>
      </c>
      <c r="N28" s="59">
        <f t="shared" si="11"/>
        <v>4207</v>
      </c>
      <c r="O28" s="59">
        <v>2728</v>
      </c>
      <c r="P28" s="59">
        <v>1479</v>
      </c>
      <c r="Q28" s="58">
        <f t="shared" si="12"/>
        <v>4773</v>
      </c>
      <c r="R28" s="59">
        <v>3081</v>
      </c>
      <c r="S28" s="59">
        <v>1692</v>
      </c>
      <c r="T28" s="113">
        <f t="shared" si="13"/>
        <v>2947</v>
      </c>
      <c r="U28" s="113">
        <f>1416+1531</f>
        <v>2947</v>
      </c>
      <c r="V28" s="113" t="s">
        <v>13</v>
      </c>
      <c r="W28" s="113">
        <f t="shared" si="14"/>
        <v>4187</v>
      </c>
      <c r="X28" s="113">
        <v>2811</v>
      </c>
      <c r="Y28" s="113">
        <v>1376</v>
      </c>
      <c r="Z28" s="113">
        <f t="shared" si="15"/>
        <v>3752</v>
      </c>
      <c r="AA28" s="114">
        <v>2203</v>
      </c>
      <c r="AB28" s="113">
        <v>1549</v>
      </c>
      <c r="AC28" s="113">
        <f t="shared" si="22"/>
        <v>4003</v>
      </c>
      <c r="AD28" s="114">
        <v>3106</v>
      </c>
      <c r="AE28" s="114">
        <v>897</v>
      </c>
      <c r="AF28" s="113">
        <f>SUM(AG28:AH28)</f>
        <v>2771</v>
      </c>
      <c r="AG28" s="114">
        <v>2771</v>
      </c>
      <c r="AH28" s="113" t="s">
        <v>13</v>
      </c>
      <c r="AI28" s="113">
        <f>SUM(AJ28:AK28)</f>
        <v>2791</v>
      </c>
      <c r="AJ28" s="114">
        <f>[1]Sec!$G$10+[1]Sec!$H$10</f>
        <v>2791</v>
      </c>
      <c r="AK28" s="113" t="s">
        <v>13</v>
      </c>
      <c r="AL28" s="113">
        <f t="shared" si="23"/>
        <v>3951</v>
      </c>
      <c r="AM28" s="113">
        <v>2647</v>
      </c>
      <c r="AN28" s="113">
        <v>1304</v>
      </c>
      <c r="AO28" s="113">
        <f t="shared" si="24"/>
        <v>4076</v>
      </c>
      <c r="AP28" s="113">
        <v>2715</v>
      </c>
      <c r="AQ28" s="113">
        <v>1361</v>
      </c>
      <c r="AR28" s="113">
        <f t="shared" si="21"/>
        <v>3992</v>
      </c>
      <c r="AS28" s="113">
        <v>2623</v>
      </c>
      <c r="AT28" s="113">
        <v>1369</v>
      </c>
      <c r="AU28" s="113" t="s">
        <v>13</v>
      </c>
      <c r="AV28" s="113" t="s">
        <v>13</v>
      </c>
      <c r="AW28" s="113" t="s">
        <v>13</v>
      </c>
    </row>
    <row r="29" spans="1:53" ht="14.25" customHeight="1" x14ac:dyDescent="0.2">
      <c r="A29" s="49" t="s">
        <v>28</v>
      </c>
      <c r="B29" s="50">
        <f t="shared" si="8"/>
        <v>3559</v>
      </c>
      <c r="C29" s="50">
        <v>2213</v>
      </c>
      <c r="D29" s="50">
        <v>1346</v>
      </c>
      <c r="E29" s="22">
        <v>3393</v>
      </c>
      <c r="F29" s="22">
        <v>2150</v>
      </c>
      <c r="G29" s="22">
        <v>1243</v>
      </c>
      <c r="H29" s="22">
        <f t="shared" si="9"/>
        <v>3594</v>
      </c>
      <c r="I29" s="22">
        <v>2331</v>
      </c>
      <c r="J29" s="22">
        <v>1263</v>
      </c>
      <c r="K29" s="22">
        <f t="shared" si="10"/>
        <v>3444</v>
      </c>
      <c r="L29" s="51">
        <v>2177</v>
      </c>
      <c r="M29" s="51">
        <v>1267</v>
      </c>
      <c r="N29" s="59">
        <f t="shared" si="11"/>
        <v>3540</v>
      </c>
      <c r="O29" s="59">
        <v>2231</v>
      </c>
      <c r="P29" s="59">
        <v>1309</v>
      </c>
      <c r="Q29" s="58">
        <f t="shared" si="12"/>
        <v>3826</v>
      </c>
      <c r="R29" s="59">
        <v>2464</v>
      </c>
      <c r="S29" s="59">
        <v>1362</v>
      </c>
      <c r="T29" s="113">
        <f t="shared" si="13"/>
        <v>2848</v>
      </c>
      <c r="U29" s="113">
        <f>1387+1461</f>
        <v>2848</v>
      </c>
      <c r="V29" s="113" t="s">
        <v>13</v>
      </c>
      <c r="W29" s="113">
        <f t="shared" si="14"/>
        <v>4000</v>
      </c>
      <c r="X29" s="113">
        <v>2666</v>
      </c>
      <c r="Y29" s="113">
        <v>1334</v>
      </c>
      <c r="Z29" s="113">
        <f t="shared" si="15"/>
        <v>3791</v>
      </c>
      <c r="AA29" s="114">
        <v>2474</v>
      </c>
      <c r="AB29" s="113">
        <v>1317</v>
      </c>
      <c r="AC29" s="113">
        <f t="shared" si="22"/>
        <v>2957</v>
      </c>
      <c r="AD29" s="114">
        <v>2085</v>
      </c>
      <c r="AE29" s="114">
        <v>872</v>
      </c>
      <c r="AF29" s="113">
        <f>SUM(AG29:AH29)</f>
        <v>2847</v>
      </c>
      <c r="AG29" s="114">
        <v>2847</v>
      </c>
      <c r="AH29" s="113" t="s">
        <v>13</v>
      </c>
      <c r="AI29" s="113">
        <f>SUM(AJ29:AK29)</f>
        <v>2559</v>
      </c>
      <c r="AJ29" s="114">
        <f>[1]Sec!$I$10+[1]Sec!$J$10</f>
        <v>2559</v>
      </c>
      <c r="AK29" s="113" t="s">
        <v>13</v>
      </c>
      <c r="AL29" s="113">
        <f t="shared" si="23"/>
        <v>3891</v>
      </c>
      <c r="AM29" s="113">
        <v>2504</v>
      </c>
      <c r="AN29" s="113">
        <v>1387</v>
      </c>
      <c r="AO29" s="113">
        <f t="shared" si="24"/>
        <v>3660</v>
      </c>
      <c r="AP29" s="113">
        <v>2465</v>
      </c>
      <c r="AQ29" s="113">
        <v>1195</v>
      </c>
      <c r="AR29" s="113">
        <f t="shared" si="21"/>
        <v>3812</v>
      </c>
      <c r="AS29" s="113">
        <v>2530</v>
      </c>
      <c r="AT29" s="113">
        <v>1282</v>
      </c>
      <c r="AU29" s="113" t="s">
        <v>13</v>
      </c>
      <c r="AV29" s="113" t="s">
        <v>13</v>
      </c>
      <c r="AW29" s="113" t="s">
        <v>13</v>
      </c>
    </row>
    <row r="30" spans="1:53" s="80" customFormat="1" x14ac:dyDescent="0.2">
      <c r="A30" s="10" t="s">
        <v>38</v>
      </c>
      <c r="B30" s="78">
        <v>4924</v>
      </c>
      <c r="C30" s="78">
        <v>2195</v>
      </c>
      <c r="D30" s="78">
        <v>2729</v>
      </c>
      <c r="E30" s="79">
        <v>5342</v>
      </c>
      <c r="F30" s="79">
        <v>2318</v>
      </c>
      <c r="G30" s="79">
        <v>3024</v>
      </c>
      <c r="H30" s="79">
        <f t="shared" si="9"/>
        <v>5839</v>
      </c>
      <c r="I30" s="79">
        <v>2295</v>
      </c>
      <c r="J30" s="79">
        <v>3544</v>
      </c>
      <c r="K30" s="79">
        <f t="shared" si="10"/>
        <v>5870</v>
      </c>
      <c r="L30" s="77">
        <v>2129</v>
      </c>
      <c r="M30" s="77">
        <v>3741</v>
      </c>
      <c r="N30" s="91">
        <f t="shared" si="11"/>
        <v>5819</v>
      </c>
      <c r="O30" s="92">
        <v>2181</v>
      </c>
      <c r="P30" s="92">
        <v>3638</v>
      </c>
      <c r="Q30" s="92">
        <v>5712</v>
      </c>
      <c r="R30" s="92">
        <v>2096</v>
      </c>
      <c r="S30" s="92">
        <f>Q30-R30</f>
        <v>3616</v>
      </c>
      <c r="T30" s="115">
        <f>SUM(U30:V30)</f>
        <v>5604</v>
      </c>
      <c r="U30" s="115">
        <v>2105</v>
      </c>
      <c r="V30" s="115">
        <v>3499</v>
      </c>
      <c r="W30" s="115">
        <f>SUM(X30:Y30)</f>
        <v>5876</v>
      </c>
      <c r="X30" s="115">
        <v>2226</v>
      </c>
      <c r="Y30" s="115">
        <v>3650</v>
      </c>
      <c r="Z30" s="115">
        <f>AA30+AB30</f>
        <v>5309</v>
      </c>
      <c r="AA30" s="115">
        <v>2022</v>
      </c>
      <c r="AB30" s="115">
        <v>3287</v>
      </c>
      <c r="AC30" s="116">
        <f>SUM(AD30:AE30)</f>
        <v>4819</v>
      </c>
      <c r="AD30" s="116">
        <v>1674</v>
      </c>
      <c r="AE30" s="116">
        <v>3145</v>
      </c>
      <c r="AF30" s="116">
        <f>SUM(AG30:AH30)</f>
        <v>1679</v>
      </c>
      <c r="AG30" s="116">
        <v>1679</v>
      </c>
      <c r="AH30" s="113" t="s">
        <v>13</v>
      </c>
      <c r="AI30" s="115">
        <f>SUM(AJ30:AK30)</f>
        <v>4932</v>
      </c>
      <c r="AJ30" s="115">
        <v>1757</v>
      </c>
      <c r="AK30" s="115">
        <v>3175</v>
      </c>
      <c r="AL30" s="115">
        <f>AM30+AN30</f>
        <v>6047</v>
      </c>
      <c r="AM30" s="115">
        <f>6047-AN30</f>
        <v>2640</v>
      </c>
      <c r="AN30" s="115">
        <f>1554+460+1368+25</f>
        <v>3407</v>
      </c>
      <c r="AO30" s="116">
        <f>SUM(AP30:AQ30)</f>
        <v>6535</v>
      </c>
      <c r="AP30" s="115">
        <v>3143</v>
      </c>
      <c r="AQ30" s="115">
        <v>3392</v>
      </c>
      <c r="AR30" s="116">
        <f>SUM(AS30:AT30)</f>
        <v>6818</v>
      </c>
      <c r="AS30" s="115">
        <f>1010+2526</f>
        <v>3536</v>
      </c>
      <c r="AT30" s="115">
        <f>1329+633+1300+20</f>
        <v>3282</v>
      </c>
      <c r="AU30" s="116">
        <f>SUM(AV30:AW30)</f>
        <v>6762</v>
      </c>
      <c r="AV30" s="115">
        <v>3447</v>
      </c>
      <c r="AW30" s="115">
        <v>3315</v>
      </c>
      <c r="AX30" s="102"/>
      <c r="AY30" s="108"/>
      <c r="AZ30" s="102"/>
      <c r="BA30" s="102"/>
    </row>
    <row r="31" spans="1:53" x14ac:dyDescent="0.2">
      <c r="A31" s="49"/>
      <c r="B31" s="50"/>
      <c r="C31" s="50"/>
      <c r="D31" s="50"/>
      <c r="E31" s="22"/>
      <c r="F31" s="22"/>
      <c r="G31" s="22"/>
      <c r="H31" s="22"/>
      <c r="I31" s="22"/>
      <c r="J31" s="22"/>
      <c r="K31" s="22"/>
      <c r="L31" s="51"/>
      <c r="M31" s="51"/>
      <c r="N31" s="58"/>
      <c r="O31" s="58"/>
      <c r="P31" s="58"/>
      <c r="Q31" s="58"/>
      <c r="R31" s="58"/>
      <c r="S31" s="58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4"/>
      <c r="AE31" s="114"/>
      <c r="AF31" s="113"/>
      <c r="AG31" s="114"/>
      <c r="AH31" s="114"/>
      <c r="AI31" s="113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</row>
    <row r="32" spans="1:53" x14ac:dyDescent="0.2">
      <c r="A32" s="10" t="s">
        <v>29</v>
      </c>
      <c r="B32" s="50"/>
      <c r="C32" s="50"/>
      <c r="D32" s="50"/>
      <c r="E32" s="22"/>
      <c r="F32" s="22"/>
      <c r="G32" s="22"/>
      <c r="H32" s="22"/>
      <c r="I32" s="22"/>
      <c r="J32" s="22"/>
      <c r="K32" s="22"/>
      <c r="L32" s="51"/>
      <c r="M32" s="51"/>
      <c r="N32" s="58"/>
      <c r="O32" s="58"/>
      <c r="P32" s="58"/>
      <c r="Q32" s="58"/>
      <c r="R32" s="58"/>
      <c r="S32" s="58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4"/>
      <c r="AE32" s="114"/>
      <c r="AF32" s="113"/>
      <c r="AG32" s="114"/>
      <c r="AH32" s="114"/>
      <c r="AI32" s="113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</row>
    <row r="33" spans="1:53" x14ac:dyDescent="0.2">
      <c r="A33" s="49" t="s">
        <v>12</v>
      </c>
      <c r="B33" s="50">
        <v>550</v>
      </c>
      <c r="C33" s="50">
        <v>550</v>
      </c>
      <c r="D33" s="50" t="s">
        <v>30</v>
      </c>
      <c r="E33" s="22">
        <f t="shared" ref="E33:E47" si="26">SUM(F33:H33)</f>
        <v>5670</v>
      </c>
      <c r="F33" s="50">
        <v>506</v>
      </c>
      <c r="G33" s="22">
        <v>0</v>
      </c>
      <c r="H33" s="22">
        <f t="shared" ref="H33:H43" si="27">SUM(I33:J33)</f>
        <v>5164</v>
      </c>
      <c r="I33" s="51">
        <v>1706</v>
      </c>
      <c r="J33" s="22">
        <v>3458</v>
      </c>
      <c r="K33" s="22">
        <f t="shared" ref="K33:K43" si="28">SUM(L33:M33)</f>
        <v>354</v>
      </c>
      <c r="L33" s="51">
        <v>354</v>
      </c>
      <c r="M33" s="53">
        <v>0</v>
      </c>
      <c r="N33" s="58">
        <f t="shared" ref="N33:N46" si="29">SUM(O33:P33)</f>
        <v>489</v>
      </c>
      <c r="O33" s="58">
        <v>489</v>
      </c>
      <c r="P33" s="58">
        <v>0</v>
      </c>
      <c r="Q33" s="58">
        <f t="shared" ref="Q33:Q46" si="30">SUM(R33:S33)</f>
        <v>542</v>
      </c>
      <c r="R33" s="58">
        <v>516</v>
      </c>
      <c r="S33" s="58">
        <v>26</v>
      </c>
      <c r="T33" s="113" t="s">
        <v>13</v>
      </c>
      <c r="U33" s="113" t="s">
        <v>13</v>
      </c>
      <c r="V33" s="113" t="s">
        <v>13</v>
      </c>
      <c r="W33" s="113">
        <f t="shared" ref="W33:W46" si="31">SUM(X33:Y33)</f>
        <v>464</v>
      </c>
      <c r="X33" s="113">
        <v>464</v>
      </c>
      <c r="Y33" s="113">
        <v>0</v>
      </c>
      <c r="Z33" s="113">
        <f t="shared" ref="Z33:Z46" si="32">SUM(AA33:AB33)</f>
        <v>704</v>
      </c>
      <c r="AA33" s="113">
        <v>704</v>
      </c>
      <c r="AB33" s="113">
        <v>0</v>
      </c>
      <c r="AC33" s="113">
        <f>SUM(AD33:AE33)</f>
        <v>780</v>
      </c>
      <c r="AD33" s="53">
        <v>719</v>
      </c>
      <c r="AE33" s="114">
        <v>61</v>
      </c>
      <c r="AF33" s="113">
        <f>SUM(AG33:AH33)</f>
        <v>1310</v>
      </c>
      <c r="AG33" s="113">
        <v>1211</v>
      </c>
      <c r="AH33" s="113">
        <v>99</v>
      </c>
      <c r="AI33" s="113">
        <f>SUM(AJ33:AK33)</f>
        <v>1577</v>
      </c>
      <c r="AJ33" s="113">
        <v>1467</v>
      </c>
      <c r="AK33" s="113">
        <v>110</v>
      </c>
      <c r="AL33" s="113">
        <f>SUM(AM33:AN33)</f>
        <v>1030</v>
      </c>
      <c r="AM33" s="113">
        <v>995</v>
      </c>
      <c r="AN33" s="113">
        <v>35</v>
      </c>
      <c r="AO33" s="113">
        <f>SUM(AP33:AQ33)</f>
        <v>2674</v>
      </c>
      <c r="AP33" s="113">
        <v>2639</v>
      </c>
      <c r="AQ33" s="113">
        <v>35</v>
      </c>
      <c r="AR33" s="113">
        <f>SUM(AS33:AT33)</f>
        <v>2840</v>
      </c>
      <c r="AS33" s="113">
        <v>2785</v>
      </c>
      <c r="AT33" s="113">
        <v>55</v>
      </c>
      <c r="AU33" s="113">
        <f>SUM(AV33:AW33)</f>
        <v>2883</v>
      </c>
      <c r="AV33" s="113">
        <v>2800</v>
      </c>
      <c r="AW33" s="113">
        <v>83</v>
      </c>
    </row>
    <row r="34" spans="1:53" s="80" customFormat="1" x14ac:dyDescent="0.2">
      <c r="A34" s="10" t="s">
        <v>14</v>
      </c>
      <c r="B34" s="78">
        <v>17370</v>
      </c>
      <c r="C34" s="78">
        <v>17370</v>
      </c>
      <c r="D34" s="78" t="s">
        <v>30</v>
      </c>
      <c r="E34" s="79">
        <f t="shared" si="26"/>
        <v>57893</v>
      </c>
      <c r="F34" s="79">
        <f>SUM(F35:F40)</f>
        <v>17677</v>
      </c>
      <c r="G34" s="79">
        <v>0</v>
      </c>
      <c r="H34" s="79">
        <f t="shared" si="27"/>
        <v>40216</v>
      </c>
      <c r="I34" s="79">
        <v>29931</v>
      </c>
      <c r="J34" s="79">
        <v>10285</v>
      </c>
      <c r="K34" s="79">
        <f t="shared" si="28"/>
        <v>17437</v>
      </c>
      <c r="L34" s="77">
        <v>17437</v>
      </c>
      <c r="M34" s="81">
        <v>0</v>
      </c>
      <c r="N34" s="91">
        <f t="shared" si="29"/>
        <v>17643</v>
      </c>
      <c r="O34" s="91">
        <v>17643</v>
      </c>
      <c r="P34" s="91">
        <v>0</v>
      </c>
      <c r="Q34" s="91">
        <f t="shared" si="30"/>
        <v>17507</v>
      </c>
      <c r="R34" s="91">
        <v>17507</v>
      </c>
      <c r="S34" s="91">
        <v>0</v>
      </c>
      <c r="T34" s="115">
        <f t="shared" ref="T34:T46" si="33">SUM(U34:V34)</f>
        <v>17431</v>
      </c>
      <c r="U34" s="115">
        <f>SUM(U35:U40)</f>
        <v>17431</v>
      </c>
      <c r="V34" s="115" t="s">
        <v>13</v>
      </c>
      <c r="W34" s="115">
        <f t="shared" si="31"/>
        <v>17678</v>
      </c>
      <c r="X34" s="115">
        <f>SUM(X35:X40)</f>
        <v>17678</v>
      </c>
      <c r="Y34" s="115">
        <v>0</v>
      </c>
      <c r="Z34" s="115">
        <f t="shared" si="32"/>
        <v>17762</v>
      </c>
      <c r="AA34" s="115">
        <f>SUM(AA35:AA40)</f>
        <v>17762</v>
      </c>
      <c r="AB34" s="115">
        <v>0</v>
      </c>
      <c r="AC34" s="115">
        <f>SUM(AD34:AE34)</f>
        <v>17695</v>
      </c>
      <c r="AD34" s="81">
        <f>SUM(AD35:AD40)</f>
        <v>17695</v>
      </c>
      <c r="AE34" s="115">
        <v>0</v>
      </c>
      <c r="AF34" s="115">
        <f>SUM(AG34:AH34)</f>
        <v>18018</v>
      </c>
      <c r="AG34" s="81">
        <f>SUM(AG35:AG40)</f>
        <v>18018</v>
      </c>
      <c r="AH34" s="113">
        <v>0</v>
      </c>
      <c r="AI34" s="115">
        <f>SUM(AJ34:AK34)</f>
        <v>18632</v>
      </c>
      <c r="AJ34" s="81">
        <f>SUM(AJ35:AJ40)</f>
        <v>18632</v>
      </c>
      <c r="AK34" s="115">
        <f>SUM(AK35:AK40)</f>
        <v>0</v>
      </c>
      <c r="AL34" s="115">
        <f>SUM(AM34:AN34)</f>
        <v>19036</v>
      </c>
      <c r="AM34" s="115">
        <f>SUM(AM35:AM40)</f>
        <v>19036</v>
      </c>
      <c r="AN34" s="115">
        <v>0</v>
      </c>
      <c r="AO34" s="115">
        <f>SUM(AP34:AQ34)</f>
        <v>18749</v>
      </c>
      <c r="AP34" s="115">
        <f>SUM(AP35:AP40)</f>
        <v>18749</v>
      </c>
      <c r="AQ34" s="115">
        <f>SUM(AQ35:AQ40)</f>
        <v>0</v>
      </c>
      <c r="AR34" s="115">
        <f>SUM(AS34:AT34)</f>
        <v>18338</v>
      </c>
      <c r="AS34" s="115">
        <v>18300</v>
      </c>
      <c r="AT34" s="115">
        <v>38</v>
      </c>
      <c r="AU34" s="115">
        <f>SUM(AV34:AW34)</f>
        <v>18304</v>
      </c>
      <c r="AV34" s="115">
        <v>18239</v>
      </c>
      <c r="AW34" s="115">
        <v>65</v>
      </c>
      <c r="AX34" s="102"/>
      <c r="AY34" s="108"/>
      <c r="AZ34" s="102"/>
      <c r="BA34" s="102"/>
    </row>
    <row r="35" spans="1:53" x14ac:dyDescent="0.2">
      <c r="A35" s="49" t="s">
        <v>19</v>
      </c>
      <c r="B35" s="50">
        <v>4370</v>
      </c>
      <c r="C35" s="50">
        <v>4370</v>
      </c>
      <c r="D35" s="50" t="s">
        <v>30</v>
      </c>
      <c r="E35" s="22">
        <f t="shared" si="26"/>
        <v>11312</v>
      </c>
      <c r="F35" s="22">
        <v>4313</v>
      </c>
      <c r="G35" s="22">
        <v>0</v>
      </c>
      <c r="H35" s="22">
        <f t="shared" si="27"/>
        <v>6999</v>
      </c>
      <c r="I35" s="22">
        <v>5147</v>
      </c>
      <c r="J35" s="22">
        <v>1852</v>
      </c>
      <c r="K35" s="22">
        <f t="shared" si="28"/>
        <v>4113</v>
      </c>
      <c r="L35" s="51">
        <v>4113</v>
      </c>
      <c r="M35" s="53">
        <v>0</v>
      </c>
      <c r="N35" s="59">
        <f t="shared" si="29"/>
        <v>4295</v>
      </c>
      <c r="O35" s="59">
        <v>4295</v>
      </c>
      <c r="P35" s="58">
        <v>0</v>
      </c>
      <c r="Q35" s="58">
        <f t="shared" si="30"/>
        <v>4275</v>
      </c>
      <c r="R35" s="59">
        <v>4275</v>
      </c>
      <c r="S35" s="59">
        <v>0</v>
      </c>
      <c r="T35" s="113">
        <f t="shared" si="33"/>
        <v>4199</v>
      </c>
      <c r="U35" s="113">
        <f>2231+1968</f>
        <v>4199</v>
      </c>
      <c r="V35" s="113" t="s">
        <v>13</v>
      </c>
      <c r="W35" s="113">
        <f t="shared" si="31"/>
        <v>4244</v>
      </c>
      <c r="X35" s="113">
        <v>4244</v>
      </c>
      <c r="Y35" s="113">
        <v>0</v>
      </c>
      <c r="Z35" s="113">
        <f t="shared" si="32"/>
        <v>4075</v>
      </c>
      <c r="AA35" s="113">
        <v>4075</v>
      </c>
      <c r="AB35" s="113">
        <v>0</v>
      </c>
      <c r="AC35" s="113">
        <f t="shared" ref="AC35:AC40" si="34">SUM(AD35:AE35)</f>
        <v>4255</v>
      </c>
      <c r="AD35" s="114">
        <v>4255</v>
      </c>
      <c r="AE35" s="113">
        <v>0</v>
      </c>
      <c r="AF35" s="113">
        <f t="shared" ref="AF35:AF40" si="35">SUM(AG35:AH35)</f>
        <v>4204</v>
      </c>
      <c r="AG35" s="114">
        <v>4204</v>
      </c>
      <c r="AH35" s="113">
        <v>0</v>
      </c>
      <c r="AI35" s="113">
        <f t="shared" ref="AI35:AI40" si="36">SUM(AJ35:AK35)</f>
        <v>4409</v>
      </c>
      <c r="AJ35" s="114">
        <f>[1]Elem!$C$11+[1]Elem!$D$11</f>
        <v>4409</v>
      </c>
      <c r="AK35" s="113">
        <v>0</v>
      </c>
      <c r="AL35" s="113">
        <f t="shared" ref="AL35:AL40" si="37">SUM(AM35:AN35)</f>
        <v>4416</v>
      </c>
      <c r="AM35" s="113">
        <v>4416</v>
      </c>
      <c r="AN35" s="113">
        <v>0</v>
      </c>
      <c r="AO35" s="113">
        <f t="shared" ref="AO35:AO40" si="38">SUM(AP35:AQ35)</f>
        <v>4123</v>
      </c>
      <c r="AP35" s="113">
        <v>4123</v>
      </c>
      <c r="AQ35" s="113">
        <v>0</v>
      </c>
      <c r="AR35" s="113">
        <f t="shared" ref="AR35:AR46" si="39">SUM(AS35:AT35)</f>
        <v>3738</v>
      </c>
      <c r="AS35" s="113">
        <v>3718</v>
      </c>
      <c r="AT35" s="113">
        <v>20</v>
      </c>
      <c r="AU35" s="113" t="s">
        <v>13</v>
      </c>
      <c r="AV35" s="113" t="s">
        <v>13</v>
      </c>
      <c r="AW35" s="113" t="s">
        <v>13</v>
      </c>
    </row>
    <row r="36" spans="1:53" x14ac:dyDescent="0.2">
      <c r="A36" s="49" t="s">
        <v>20</v>
      </c>
      <c r="B36" s="50">
        <v>3263</v>
      </c>
      <c r="C36" s="50">
        <v>3263</v>
      </c>
      <c r="D36" s="50" t="s">
        <v>30</v>
      </c>
      <c r="E36" s="22">
        <f t="shared" si="26"/>
        <v>9715</v>
      </c>
      <c r="F36" s="22">
        <v>3170</v>
      </c>
      <c r="G36" s="22">
        <v>0</v>
      </c>
      <c r="H36" s="22">
        <f t="shared" si="27"/>
        <v>6545</v>
      </c>
      <c r="I36" s="22">
        <v>4792</v>
      </c>
      <c r="J36" s="22">
        <v>1753</v>
      </c>
      <c r="K36" s="22">
        <f t="shared" si="28"/>
        <v>3181</v>
      </c>
      <c r="L36" s="51">
        <v>3181</v>
      </c>
      <c r="M36" s="53">
        <v>0</v>
      </c>
      <c r="N36" s="59">
        <f t="shared" si="29"/>
        <v>3252</v>
      </c>
      <c r="O36" s="59">
        <v>3252</v>
      </c>
      <c r="P36" s="58">
        <v>0</v>
      </c>
      <c r="Q36" s="58">
        <f t="shared" si="30"/>
        <v>3174</v>
      </c>
      <c r="R36" s="59">
        <v>3174</v>
      </c>
      <c r="S36" s="59">
        <v>0</v>
      </c>
      <c r="T36" s="113">
        <f t="shared" si="33"/>
        <v>3118</v>
      </c>
      <c r="U36" s="113">
        <f>1653+1465</f>
        <v>3118</v>
      </c>
      <c r="V36" s="113" t="s">
        <v>13</v>
      </c>
      <c r="W36" s="113">
        <f t="shared" si="31"/>
        <v>3152</v>
      </c>
      <c r="X36" s="113">
        <v>3152</v>
      </c>
      <c r="Y36" s="113">
        <v>0</v>
      </c>
      <c r="Z36" s="113">
        <f t="shared" si="32"/>
        <v>3309</v>
      </c>
      <c r="AA36" s="113">
        <v>3309</v>
      </c>
      <c r="AB36" s="113">
        <v>0</v>
      </c>
      <c r="AC36" s="113">
        <f t="shared" si="34"/>
        <v>3018</v>
      </c>
      <c r="AD36" s="114">
        <v>3018</v>
      </c>
      <c r="AE36" s="113">
        <v>0</v>
      </c>
      <c r="AF36" s="113">
        <f t="shared" si="35"/>
        <v>3310</v>
      </c>
      <c r="AG36" s="114">
        <v>3310</v>
      </c>
      <c r="AH36" s="113">
        <v>0</v>
      </c>
      <c r="AI36" s="113">
        <f t="shared" si="36"/>
        <v>3289</v>
      </c>
      <c r="AJ36" s="114">
        <f>[1]Elem!$E$11+[1]Elem!$F$11</f>
        <v>3289</v>
      </c>
      <c r="AK36" s="113">
        <v>0</v>
      </c>
      <c r="AL36" s="113">
        <f t="shared" si="37"/>
        <v>3488</v>
      </c>
      <c r="AM36" s="113">
        <v>3488</v>
      </c>
      <c r="AN36" s="113">
        <v>0</v>
      </c>
      <c r="AO36" s="113">
        <f t="shared" si="38"/>
        <v>3392</v>
      </c>
      <c r="AP36" s="113">
        <v>3392</v>
      </c>
      <c r="AQ36" s="113">
        <v>0</v>
      </c>
      <c r="AR36" s="113">
        <f t="shared" si="39"/>
        <v>3359</v>
      </c>
      <c r="AS36" s="113">
        <v>3341</v>
      </c>
      <c r="AT36" s="113">
        <v>18</v>
      </c>
      <c r="AU36" s="113" t="s">
        <v>13</v>
      </c>
      <c r="AV36" s="113" t="s">
        <v>13</v>
      </c>
      <c r="AW36" s="113" t="s">
        <v>13</v>
      </c>
    </row>
    <row r="37" spans="1:53" x14ac:dyDescent="0.2">
      <c r="A37" s="49" t="s">
        <v>21</v>
      </c>
      <c r="B37" s="50">
        <v>2951</v>
      </c>
      <c r="C37" s="50">
        <v>2951</v>
      </c>
      <c r="D37" s="50" t="s">
        <v>30</v>
      </c>
      <c r="E37" s="22">
        <f t="shared" si="26"/>
        <v>9608</v>
      </c>
      <c r="F37" s="22">
        <v>2902</v>
      </c>
      <c r="G37" s="22">
        <v>0</v>
      </c>
      <c r="H37" s="22">
        <f t="shared" si="27"/>
        <v>6706</v>
      </c>
      <c r="I37" s="22">
        <v>4980</v>
      </c>
      <c r="J37" s="22">
        <v>1726</v>
      </c>
      <c r="K37" s="22">
        <f t="shared" si="28"/>
        <v>2760</v>
      </c>
      <c r="L37" s="51">
        <v>2760</v>
      </c>
      <c r="M37" s="53">
        <v>0</v>
      </c>
      <c r="N37" s="59">
        <f t="shared" si="29"/>
        <v>2811</v>
      </c>
      <c r="O37" s="59">
        <v>2811</v>
      </c>
      <c r="P37" s="58">
        <v>0</v>
      </c>
      <c r="Q37" s="58">
        <f t="shared" si="30"/>
        <v>2836</v>
      </c>
      <c r="R37" s="59">
        <v>2836</v>
      </c>
      <c r="S37" s="59">
        <v>0</v>
      </c>
      <c r="T37" s="113">
        <f t="shared" si="33"/>
        <v>2868</v>
      </c>
      <c r="U37" s="113">
        <f>1556+1312</f>
        <v>2868</v>
      </c>
      <c r="V37" s="113" t="s">
        <v>13</v>
      </c>
      <c r="W37" s="113">
        <f t="shared" si="31"/>
        <v>2790</v>
      </c>
      <c r="X37" s="113">
        <v>2790</v>
      </c>
      <c r="Y37" s="113">
        <v>0</v>
      </c>
      <c r="Z37" s="113">
        <f t="shared" si="32"/>
        <v>2852</v>
      </c>
      <c r="AA37" s="113">
        <v>2852</v>
      </c>
      <c r="AB37" s="113">
        <v>0</v>
      </c>
      <c r="AC37" s="113">
        <f t="shared" si="34"/>
        <v>2967</v>
      </c>
      <c r="AD37" s="114">
        <v>2967</v>
      </c>
      <c r="AE37" s="113">
        <v>0</v>
      </c>
      <c r="AF37" s="113">
        <f t="shared" si="35"/>
        <v>2790</v>
      </c>
      <c r="AG37" s="114">
        <v>2790</v>
      </c>
      <c r="AH37" s="113">
        <v>0</v>
      </c>
      <c r="AI37" s="113">
        <f t="shared" si="36"/>
        <v>3005</v>
      </c>
      <c r="AJ37" s="114">
        <f>[1]Elem!$G$11+[1]Elem!$H$11</f>
        <v>3005</v>
      </c>
      <c r="AK37" s="113">
        <v>0</v>
      </c>
      <c r="AL37" s="113">
        <f t="shared" si="37"/>
        <v>2947</v>
      </c>
      <c r="AM37" s="113">
        <v>2947</v>
      </c>
      <c r="AN37" s="113">
        <v>0</v>
      </c>
      <c r="AO37" s="113">
        <f t="shared" si="38"/>
        <v>3021</v>
      </c>
      <c r="AP37" s="113">
        <v>3021</v>
      </c>
      <c r="AQ37" s="113">
        <v>0</v>
      </c>
      <c r="AR37" s="113">
        <f t="shared" si="39"/>
        <v>3063</v>
      </c>
      <c r="AS37" s="113">
        <v>3063</v>
      </c>
      <c r="AT37" s="113">
        <v>0</v>
      </c>
      <c r="AU37" s="113" t="s">
        <v>13</v>
      </c>
      <c r="AV37" s="113" t="s">
        <v>13</v>
      </c>
      <c r="AW37" s="113" t="s">
        <v>13</v>
      </c>
    </row>
    <row r="38" spans="1:53" x14ac:dyDescent="0.2">
      <c r="A38" s="49" t="s">
        <v>22</v>
      </c>
      <c r="B38" s="50">
        <v>2583</v>
      </c>
      <c r="C38" s="50">
        <v>2583</v>
      </c>
      <c r="D38" s="50" t="s">
        <v>30</v>
      </c>
      <c r="E38" s="22">
        <f t="shared" si="26"/>
        <v>9333</v>
      </c>
      <c r="F38" s="22">
        <v>2760</v>
      </c>
      <c r="G38" s="22">
        <v>0</v>
      </c>
      <c r="H38" s="22">
        <f t="shared" si="27"/>
        <v>6573</v>
      </c>
      <c r="I38" s="22">
        <v>4927</v>
      </c>
      <c r="J38" s="22">
        <v>1646</v>
      </c>
      <c r="K38" s="22">
        <f t="shared" si="28"/>
        <v>2599</v>
      </c>
      <c r="L38" s="51">
        <v>2599</v>
      </c>
      <c r="M38" s="53">
        <v>0</v>
      </c>
      <c r="N38" s="59">
        <f t="shared" si="29"/>
        <v>2475</v>
      </c>
      <c r="O38" s="59">
        <v>2475</v>
      </c>
      <c r="P38" s="58">
        <v>0</v>
      </c>
      <c r="Q38" s="58">
        <f t="shared" si="30"/>
        <v>2629</v>
      </c>
      <c r="R38" s="59">
        <v>2629</v>
      </c>
      <c r="S38" s="59">
        <v>0</v>
      </c>
      <c r="T38" s="113">
        <f t="shared" si="33"/>
        <v>2628</v>
      </c>
      <c r="U38" s="113">
        <f>1338+1290</f>
        <v>2628</v>
      </c>
      <c r="V38" s="113" t="s">
        <v>13</v>
      </c>
      <c r="W38" s="113">
        <f t="shared" si="31"/>
        <v>2635</v>
      </c>
      <c r="X38" s="113">
        <v>2635</v>
      </c>
      <c r="Y38" s="113">
        <v>0</v>
      </c>
      <c r="Z38" s="113">
        <f t="shared" si="32"/>
        <v>2686</v>
      </c>
      <c r="AA38" s="113">
        <v>2686</v>
      </c>
      <c r="AB38" s="113">
        <v>0</v>
      </c>
      <c r="AC38" s="113">
        <f t="shared" si="34"/>
        <v>2637</v>
      </c>
      <c r="AD38" s="114">
        <v>2637</v>
      </c>
      <c r="AE38" s="113">
        <v>0</v>
      </c>
      <c r="AF38" s="113">
        <f t="shared" si="35"/>
        <v>2821</v>
      </c>
      <c r="AG38" s="114">
        <v>2821</v>
      </c>
      <c r="AH38" s="113">
        <v>0</v>
      </c>
      <c r="AI38" s="113">
        <f t="shared" si="36"/>
        <v>2772</v>
      </c>
      <c r="AJ38" s="114">
        <f>[1]Elem!$I$11+[1]Elem!$J$11</f>
        <v>2772</v>
      </c>
      <c r="AK38" s="113">
        <v>0</v>
      </c>
      <c r="AL38" s="113">
        <f t="shared" si="37"/>
        <v>2919</v>
      </c>
      <c r="AM38" s="113">
        <v>2919</v>
      </c>
      <c r="AN38" s="113">
        <v>0</v>
      </c>
      <c r="AO38" s="113">
        <f t="shared" si="38"/>
        <v>2874</v>
      </c>
      <c r="AP38" s="113">
        <v>2874</v>
      </c>
      <c r="AQ38" s="113">
        <v>0</v>
      </c>
      <c r="AR38" s="113">
        <f t="shared" si="39"/>
        <v>2881</v>
      </c>
      <c r="AS38" s="113">
        <v>2881</v>
      </c>
      <c r="AT38" s="113">
        <v>0</v>
      </c>
      <c r="AU38" s="113" t="s">
        <v>13</v>
      </c>
      <c r="AV38" s="113" t="s">
        <v>13</v>
      </c>
      <c r="AW38" s="113" t="s">
        <v>13</v>
      </c>
    </row>
    <row r="39" spans="1:53" x14ac:dyDescent="0.2">
      <c r="A39" s="49" t="s">
        <v>23</v>
      </c>
      <c r="B39" s="50">
        <v>2275</v>
      </c>
      <c r="C39" s="50">
        <v>2275</v>
      </c>
      <c r="D39" s="50" t="s">
        <v>30</v>
      </c>
      <c r="E39" s="22">
        <f t="shared" si="26"/>
        <v>9058</v>
      </c>
      <c r="F39" s="22">
        <v>2426</v>
      </c>
      <c r="G39" s="22">
        <v>0</v>
      </c>
      <c r="H39" s="22">
        <f t="shared" si="27"/>
        <v>6632</v>
      </c>
      <c r="I39" s="22">
        <v>5015</v>
      </c>
      <c r="J39" s="22">
        <v>1617</v>
      </c>
      <c r="K39" s="22">
        <f t="shared" si="28"/>
        <v>2476</v>
      </c>
      <c r="L39" s="51">
        <v>2476</v>
      </c>
      <c r="M39" s="53">
        <v>0</v>
      </c>
      <c r="N39" s="59">
        <f t="shared" si="29"/>
        <v>2439</v>
      </c>
      <c r="O39" s="59">
        <v>2439</v>
      </c>
      <c r="P39" s="58">
        <v>0</v>
      </c>
      <c r="Q39" s="58">
        <f t="shared" si="30"/>
        <v>2373</v>
      </c>
      <c r="R39" s="59">
        <v>2373</v>
      </c>
      <c r="S39" s="59">
        <v>0</v>
      </c>
      <c r="T39" s="113">
        <f t="shared" si="33"/>
        <v>2430</v>
      </c>
      <c r="U39" s="113">
        <f>1186+1244</f>
        <v>2430</v>
      </c>
      <c r="V39" s="113" t="s">
        <v>13</v>
      </c>
      <c r="W39" s="113">
        <f t="shared" si="31"/>
        <v>2588</v>
      </c>
      <c r="X39" s="113">
        <v>2588</v>
      </c>
      <c r="Y39" s="113">
        <v>0</v>
      </c>
      <c r="Z39" s="113">
        <f t="shared" si="32"/>
        <v>2487</v>
      </c>
      <c r="AA39" s="113">
        <v>2487</v>
      </c>
      <c r="AB39" s="113">
        <v>0</v>
      </c>
      <c r="AC39" s="113">
        <f t="shared" si="34"/>
        <v>2504</v>
      </c>
      <c r="AD39" s="114">
        <v>2504</v>
      </c>
      <c r="AE39" s="113">
        <v>0</v>
      </c>
      <c r="AF39" s="113">
        <f t="shared" si="35"/>
        <v>2526</v>
      </c>
      <c r="AG39" s="114">
        <v>2526</v>
      </c>
      <c r="AH39" s="113">
        <v>0</v>
      </c>
      <c r="AI39" s="113">
        <f t="shared" si="36"/>
        <v>2733</v>
      </c>
      <c r="AJ39" s="114">
        <f>[1]Elem!$K$11+[1]Elem!$L$11</f>
        <v>2733</v>
      </c>
      <c r="AK39" s="113">
        <v>0</v>
      </c>
      <c r="AL39" s="113">
        <f t="shared" si="37"/>
        <v>2713</v>
      </c>
      <c r="AM39" s="113">
        <v>2713</v>
      </c>
      <c r="AN39" s="113">
        <v>0</v>
      </c>
      <c r="AO39" s="113">
        <f t="shared" si="38"/>
        <v>2764</v>
      </c>
      <c r="AP39" s="113">
        <v>2764</v>
      </c>
      <c r="AQ39" s="113">
        <v>0</v>
      </c>
      <c r="AR39" s="113">
        <f t="shared" si="39"/>
        <v>2717</v>
      </c>
      <c r="AS39" s="113">
        <v>2717</v>
      </c>
      <c r="AT39" s="113">
        <v>0</v>
      </c>
      <c r="AU39" s="113" t="s">
        <v>13</v>
      </c>
      <c r="AV39" s="113" t="s">
        <v>13</v>
      </c>
      <c r="AW39" s="113" t="s">
        <v>13</v>
      </c>
    </row>
    <row r="40" spans="1:53" x14ac:dyDescent="0.2">
      <c r="A40" s="49" t="s">
        <v>24</v>
      </c>
      <c r="B40" s="50">
        <v>1928</v>
      </c>
      <c r="C40" s="50">
        <v>1928</v>
      </c>
      <c r="D40" s="50" t="s">
        <v>30</v>
      </c>
      <c r="E40" s="22">
        <f t="shared" si="26"/>
        <v>8867</v>
      </c>
      <c r="F40" s="22">
        <v>2106</v>
      </c>
      <c r="G40" s="22">
        <v>0</v>
      </c>
      <c r="H40" s="22">
        <f t="shared" si="27"/>
        <v>6761</v>
      </c>
      <c r="I40" s="22">
        <v>5070</v>
      </c>
      <c r="J40" s="22">
        <v>1691</v>
      </c>
      <c r="K40" s="22">
        <f t="shared" si="28"/>
        <v>2308</v>
      </c>
      <c r="L40" s="51">
        <v>2308</v>
      </c>
      <c r="M40" s="53">
        <v>0</v>
      </c>
      <c r="N40" s="59">
        <f t="shared" si="29"/>
        <v>2371</v>
      </c>
      <c r="O40" s="59">
        <v>2371</v>
      </c>
      <c r="P40" s="58">
        <v>0</v>
      </c>
      <c r="Q40" s="58">
        <f t="shared" si="30"/>
        <v>2220</v>
      </c>
      <c r="R40" s="59">
        <v>2220</v>
      </c>
      <c r="S40" s="59">
        <v>0</v>
      </c>
      <c r="T40" s="113">
        <f t="shared" si="33"/>
        <v>2188</v>
      </c>
      <c r="U40" s="113">
        <f>1114+1074</f>
        <v>2188</v>
      </c>
      <c r="V40" s="113" t="s">
        <v>13</v>
      </c>
      <c r="W40" s="113">
        <f t="shared" si="31"/>
        <v>2269</v>
      </c>
      <c r="X40" s="113">
        <v>2269</v>
      </c>
      <c r="Y40" s="113">
        <v>0</v>
      </c>
      <c r="Z40" s="113">
        <f t="shared" si="32"/>
        <v>2353</v>
      </c>
      <c r="AA40" s="113">
        <v>2353</v>
      </c>
      <c r="AB40" s="113">
        <v>0</v>
      </c>
      <c r="AC40" s="113">
        <f t="shared" si="34"/>
        <v>2314</v>
      </c>
      <c r="AD40" s="114">
        <v>2314</v>
      </c>
      <c r="AE40" s="113">
        <v>0</v>
      </c>
      <c r="AF40" s="113">
        <f t="shared" si="35"/>
        <v>2367</v>
      </c>
      <c r="AG40" s="114">
        <v>2367</v>
      </c>
      <c r="AH40" s="113">
        <v>0</v>
      </c>
      <c r="AI40" s="113">
        <f t="shared" si="36"/>
        <v>2424</v>
      </c>
      <c r="AJ40" s="114">
        <f>[1]Elem!$M$11+[1]Elem!$N$11</f>
        <v>2424</v>
      </c>
      <c r="AK40" s="113">
        <v>0</v>
      </c>
      <c r="AL40" s="113">
        <f t="shared" si="37"/>
        <v>2553</v>
      </c>
      <c r="AM40" s="113">
        <v>2553</v>
      </c>
      <c r="AN40" s="113">
        <v>0</v>
      </c>
      <c r="AO40" s="113">
        <f t="shared" si="38"/>
        <v>2575</v>
      </c>
      <c r="AP40" s="113">
        <v>2575</v>
      </c>
      <c r="AQ40" s="113">
        <v>0</v>
      </c>
      <c r="AR40" s="113">
        <f t="shared" si="39"/>
        <v>2580</v>
      </c>
      <c r="AS40" s="113">
        <v>2580</v>
      </c>
      <c r="AT40" s="113">
        <v>0</v>
      </c>
      <c r="AU40" s="113" t="s">
        <v>13</v>
      </c>
      <c r="AV40" s="113" t="s">
        <v>13</v>
      </c>
      <c r="AW40" s="113" t="s">
        <v>13</v>
      </c>
    </row>
    <row r="41" spans="1:53" s="80" customFormat="1" x14ac:dyDescent="0.2">
      <c r="A41" s="10" t="s">
        <v>15</v>
      </c>
      <c r="B41" s="78">
        <f>C41+D41</f>
        <v>6005</v>
      </c>
      <c r="C41" s="78">
        <v>4432</v>
      </c>
      <c r="D41" s="78">
        <v>1573</v>
      </c>
      <c r="E41" s="79">
        <f t="shared" si="26"/>
        <v>31652</v>
      </c>
      <c r="F41" s="79">
        <v>4400</v>
      </c>
      <c r="G41" s="79">
        <v>1572</v>
      </c>
      <c r="H41" s="79">
        <f t="shared" si="27"/>
        <v>25680</v>
      </c>
      <c r="I41" s="79">
        <v>17742</v>
      </c>
      <c r="J41" s="79">
        <v>7938</v>
      </c>
      <c r="K41" s="79">
        <f t="shared" si="28"/>
        <v>6090</v>
      </c>
      <c r="L41" s="77">
        <v>4643</v>
      </c>
      <c r="M41" s="77">
        <v>1447</v>
      </c>
      <c r="N41" s="91">
        <f t="shared" si="29"/>
        <v>6730</v>
      </c>
      <c r="O41" s="91">
        <v>5399</v>
      </c>
      <c r="P41" s="91">
        <v>1331</v>
      </c>
      <c r="Q41" s="91">
        <f t="shared" si="30"/>
        <v>7247</v>
      </c>
      <c r="R41" s="91">
        <f>SUM(R43:R46)</f>
        <v>5991</v>
      </c>
      <c r="S41" s="91">
        <f>SUM(S43:S46)</f>
        <v>1256</v>
      </c>
      <c r="T41" s="115">
        <f t="shared" si="33"/>
        <v>5760</v>
      </c>
      <c r="U41" s="115">
        <f>SUM(U42:U46)</f>
        <v>5760</v>
      </c>
      <c r="V41" s="115" t="s">
        <v>13</v>
      </c>
      <c r="W41" s="115">
        <f t="shared" si="31"/>
        <v>6898</v>
      </c>
      <c r="X41" s="115">
        <f>SUM(X42:X46)</f>
        <v>5418</v>
      </c>
      <c r="Y41" s="115">
        <f>SUM(Y42:Y46)</f>
        <v>1480</v>
      </c>
      <c r="Z41" s="115">
        <f t="shared" si="32"/>
        <v>4194</v>
      </c>
      <c r="AA41" s="115">
        <f>SUM(AA42:AA46)</f>
        <v>4194</v>
      </c>
      <c r="AB41" s="115" t="s">
        <v>13</v>
      </c>
      <c r="AC41" s="115">
        <f t="shared" ref="AC41:AC47" si="40">SUM(AD41:AE41)</f>
        <v>7328</v>
      </c>
      <c r="AD41" s="116">
        <f>SUM(AD42:AD46)</f>
        <v>5790</v>
      </c>
      <c r="AE41" s="116">
        <f>SUM(AE42:AE46)</f>
        <v>1538</v>
      </c>
      <c r="AF41" s="115">
        <f t="shared" ref="AF41:AF47" si="41">SUM(AG41:AH41)</f>
        <v>7902</v>
      </c>
      <c r="AG41" s="116">
        <f>SUM(AG42:AG46)</f>
        <v>6336</v>
      </c>
      <c r="AH41" s="115">
        <v>1566</v>
      </c>
      <c r="AI41" s="115">
        <f t="shared" ref="AI41:AI46" si="42">SUM(AJ41:AK41)</f>
        <v>7447</v>
      </c>
      <c r="AJ41" s="116">
        <f>SUM(AJ42:AJ46)</f>
        <v>6241</v>
      </c>
      <c r="AK41" s="115">
        <v>1206</v>
      </c>
      <c r="AL41" s="115">
        <f t="shared" ref="AL41:AL46" si="43">SUM(AM41:AN41)</f>
        <v>8209</v>
      </c>
      <c r="AM41" s="115">
        <f>SUM(AM42:AM46)</f>
        <v>6712</v>
      </c>
      <c r="AN41" s="115">
        <f>SUM(AN42:AN46)</f>
        <v>1497</v>
      </c>
      <c r="AO41" s="115">
        <f t="shared" ref="AO41:AO46" si="44">SUM(AP41:AQ41)</f>
        <v>8386</v>
      </c>
      <c r="AP41" s="115">
        <f>SUM(AP42:AP46)</f>
        <v>6947</v>
      </c>
      <c r="AQ41" s="115">
        <f>SUM(AQ42:AQ46)</f>
        <v>1439</v>
      </c>
      <c r="AR41" s="115">
        <f t="shared" si="39"/>
        <v>8592</v>
      </c>
      <c r="AS41" s="115">
        <v>7154</v>
      </c>
      <c r="AT41" s="115">
        <v>1438</v>
      </c>
      <c r="AU41" s="115">
        <f t="shared" ref="AU41:AU42" si="45">SUM(AV41:AW41)</f>
        <v>8799</v>
      </c>
      <c r="AV41" s="115">
        <v>7393</v>
      </c>
      <c r="AW41" s="115">
        <v>1406</v>
      </c>
      <c r="AX41" s="102"/>
      <c r="AY41" s="108"/>
      <c r="AZ41" s="102"/>
      <c r="BA41" s="102"/>
    </row>
    <row r="42" spans="1:53" x14ac:dyDescent="0.2">
      <c r="A42" s="52" t="s">
        <v>49</v>
      </c>
      <c r="B42" s="50" t="s">
        <v>51</v>
      </c>
      <c r="C42" s="50" t="s">
        <v>51</v>
      </c>
      <c r="D42" s="50" t="s">
        <v>51</v>
      </c>
      <c r="E42" s="50" t="s">
        <v>51</v>
      </c>
      <c r="F42" s="50" t="s">
        <v>51</v>
      </c>
      <c r="G42" s="50" t="s">
        <v>51</v>
      </c>
      <c r="H42" s="50" t="s">
        <v>51</v>
      </c>
      <c r="I42" s="50" t="s">
        <v>51</v>
      </c>
      <c r="J42" s="50" t="s">
        <v>51</v>
      </c>
      <c r="K42" s="50" t="s">
        <v>51</v>
      </c>
      <c r="L42" s="50" t="s">
        <v>51</v>
      </c>
      <c r="M42" s="50" t="s">
        <v>51</v>
      </c>
      <c r="N42" s="93" t="s">
        <v>51</v>
      </c>
      <c r="O42" s="93" t="s">
        <v>51</v>
      </c>
      <c r="P42" s="93" t="s">
        <v>51</v>
      </c>
      <c r="Q42" s="93" t="s">
        <v>51</v>
      </c>
      <c r="R42" s="93" t="s">
        <v>51</v>
      </c>
      <c r="S42" s="93" t="s">
        <v>51</v>
      </c>
      <c r="T42" s="113">
        <f t="shared" si="33"/>
        <v>682</v>
      </c>
      <c r="U42" s="113">
        <f>370+312</f>
        <v>682</v>
      </c>
      <c r="V42" s="113"/>
      <c r="W42" s="113">
        <f t="shared" si="31"/>
        <v>44</v>
      </c>
      <c r="X42" s="113">
        <v>44</v>
      </c>
      <c r="Y42" s="113">
        <v>0</v>
      </c>
      <c r="Z42" s="113">
        <f t="shared" si="32"/>
        <v>0</v>
      </c>
      <c r="AA42" s="113">
        <v>0</v>
      </c>
      <c r="AB42" s="113">
        <v>0</v>
      </c>
      <c r="AC42" s="113">
        <f t="shared" si="40"/>
        <v>0</v>
      </c>
      <c r="AD42" s="114">
        <v>0</v>
      </c>
      <c r="AE42" s="113">
        <f>SUM(AF42:AG42)</f>
        <v>0</v>
      </c>
      <c r="AF42" s="113">
        <f t="shared" si="41"/>
        <v>0</v>
      </c>
      <c r="AG42" s="114">
        <v>0</v>
      </c>
      <c r="AH42" s="113" t="s">
        <v>13</v>
      </c>
      <c r="AI42" s="113">
        <f t="shared" si="42"/>
        <v>0</v>
      </c>
      <c r="AJ42" s="114">
        <v>0</v>
      </c>
      <c r="AK42" s="113" t="s">
        <v>13</v>
      </c>
      <c r="AL42" s="113">
        <f t="shared" si="43"/>
        <v>0</v>
      </c>
      <c r="AM42" s="113"/>
      <c r="AN42" s="113"/>
      <c r="AO42" s="113">
        <f t="shared" si="44"/>
        <v>0</v>
      </c>
      <c r="AP42" s="113"/>
      <c r="AQ42" s="113"/>
      <c r="AR42" s="113">
        <f t="shared" si="39"/>
        <v>0</v>
      </c>
      <c r="AS42" s="113"/>
      <c r="AT42" s="113"/>
      <c r="AU42" s="113">
        <f t="shared" si="45"/>
        <v>0</v>
      </c>
      <c r="AV42" s="113"/>
      <c r="AW42" s="113"/>
    </row>
    <row r="43" spans="1:53" x14ac:dyDescent="0.2">
      <c r="A43" s="49" t="s">
        <v>25</v>
      </c>
      <c r="B43" s="50">
        <f>C43+D43</f>
        <v>1921</v>
      </c>
      <c r="C43" s="50">
        <v>1497</v>
      </c>
      <c r="D43" s="50">
        <v>424</v>
      </c>
      <c r="E43" s="22">
        <f t="shared" si="26"/>
        <v>8988</v>
      </c>
      <c r="F43" s="22">
        <v>1327</v>
      </c>
      <c r="G43" s="22">
        <v>417</v>
      </c>
      <c r="H43" s="22">
        <f t="shared" si="27"/>
        <v>7244</v>
      </c>
      <c r="I43" s="22">
        <v>5185</v>
      </c>
      <c r="J43" s="22">
        <v>2059</v>
      </c>
      <c r="K43" s="22">
        <f t="shared" si="28"/>
        <v>1906</v>
      </c>
      <c r="L43" s="51">
        <v>1474</v>
      </c>
      <c r="M43" s="51">
        <v>432</v>
      </c>
      <c r="N43" s="93">
        <f t="shared" si="29"/>
        <v>2207</v>
      </c>
      <c r="O43" s="93">
        <v>1837</v>
      </c>
      <c r="P43" s="93">
        <v>370</v>
      </c>
      <c r="Q43" s="58">
        <f t="shared" si="30"/>
        <v>2222</v>
      </c>
      <c r="R43" s="93">
        <v>1896</v>
      </c>
      <c r="S43" s="93">
        <v>326</v>
      </c>
      <c r="T43" s="113">
        <f t="shared" si="33"/>
        <v>862</v>
      </c>
      <c r="U43" s="53">
        <f>407+455</f>
        <v>862</v>
      </c>
      <c r="V43" s="113" t="s">
        <v>13</v>
      </c>
      <c r="W43" s="113">
        <f t="shared" si="31"/>
        <v>2264</v>
      </c>
      <c r="X43" s="53">
        <v>1819</v>
      </c>
      <c r="Y43" s="113">
        <v>445</v>
      </c>
      <c r="Z43" s="113">
        <f t="shared" si="32"/>
        <v>1252</v>
      </c>
      <c r="AA43" s="53">
        <v>1252</v>
      </c>
      <c r="AB43" s="113" t="s">
        <v>13</v>
      </c>
      <c r="AC43" s="113">
        <f t="shared" si="40"/>
        <v>2199</v>
      </c>
      <c r="AD43" s="114">
        <v>1785</v>
      </c>
      <c r="AE43" s="114">
        <v>414</v>
      </c>
      <c r="AF43" s="113">
        <f t="shared" si="41"/>
        <v>1896</v>
      </c>
      <c r="AG43" s="114">
        <v>1896</v>
      </c>
      <c r="AH43" s="113" t="s">
        <v>13</v>
      </c>
      <c r="AI43" s="113">
        <f t="shared" si="42"/>
        <v>1950</v>
      </c>
      <c r="AJ43" s="114">
        <f>[1]Sec!$C$11+[1]Sec!$D$11</f>
        <v>1950</v>
      </c>
      <c r="AK43" s="113" t="s">
        <v>13</v>
      </c>
      <c r="AL43" s="113">
        <f t="shared" si="43"/>
        <v>2481</v>
      </c>
      <c r="AM43" s="113">
        <v>2081</v>
      </c>
      <c r="AN43" s="113">
        <v>400</v>
      </c>
      <c r="AO43" s="113">
        <f t="shared" si="44"/>
        <v>2636</v>
      </c>
      <c r="AP43" s="113">
        <v>2206</v>
      </c>
      <c r="AQ43" s="113">
        <v>430</v>
      </c>
      <c r="AR43" s="113">
        <f t="shared" si="39"/>
        <v>2502</v>
      </c>
      <c r="AS43" s="113">
        <v>2080</v>
      </c>
      <c r="AT43" s="53">
        <v>422</v>
      </c>
      <c r="AU43" s="113" t="s">
        <v>13</v>
      </c>
      <c r="AV43" s="113" t="s">
        <v>13</v>
      </c>
      <c r="AW43" s="113" t="s">
        <v>13</v>
      </c>
    </row>
    <row r="44" spans="1:53" x14ac:dyDescent="0.2">
      <c r="A44" s="49" t="s">
        <v>26</v>
      </c>
      <c r="B44" s="50">
        <f>C44+D44</f>
        <v>1576</v>
      </c>
      <c r="C44" s="50">
        <v>1183</v>
      </c>
      <c r="D44" s="50">
        <v>393</v>
      </c>
      <c r="E44" s="22">
        <f t="shared" si="26"/>
        <v>8112</v>
      </c>
      <c r="F44" s="22">
        <v>1259</v>
      </c>
      <c r="G44" s="22">
        <v>377</v>
      </c>
      <c r="H44" s="22">
        <f>SUM(I44:J44)</f>
        <v>6476</v>
      </c>
      <c r="I44" s="22">
        <v>4551</v>
      </c>
      <c r="J44" s="22">
        <v>1925</v>
      </c>
      <c r="K44" s="51">
        <f>SUM(L44:M44)</f>
        <v>1645</v>
      </c>
      <c r="L44" s="51">
        <v>1274</v>
      </c>
      <c r="M44" s="51">
        <v>371</v>
      </c>
      <c r="N44" s="59">
        <f t="shared" si="29"/>
        <v>1857</v>
      </c>
      <c r="O44" s="59">
        <v>1493</v>
      </c>
      <c r="P44" s="59">
        <v>364</v>
      </c>
      <c r="Q44" s="58">
        <f t="shared" si="30"/>
        <v>1957</v>
      </c>
      <c r="R44" s="59">
        <v>1630</v>
      </c>
      <c r="S44" s="59">
        <v>327</v>
      </c>
      <c r="T44" s="113">
        <f t="shared" si="33"/>
        <v>1604</v>
      </c>
      <c r="U44" s="113">
        <f>831+773</f>
        <v>1604</v>
      </c>
      <c r="V44" s="113" t="s">
        <v>13</v>
      </c>
      <c r="W44" s="113">
        <f t="shared" si="31"/>
        <v>1516</v>
      </c>
      <c r="X44" s="113">
        <v>1094</v>
      </c>
      <c r="Y44" s="113">
        <v>422</v>
      </c>
      <c r="Z44" s="113">
        <f t="shared" si="32"/>
        <v>1371</v>
      </c>
      <c r="AA44" s="113">
        <v>1371</v>
      </c>
      <c r="AB44" s="113" t="s">
        <v>13</v>
      </c>
      <c r="AC44" s="113">
        <f t="shared" si="40"/>
        <v>1985</v>
      </c>
      <c r="AD44" s="114">
        <v>1564</v>
      </c>
      <c r="AE44" s="114">
        <v>421</v>
      </c>
      <c r="AF44" s="113">
        <f t="shared" si="41"/>
        <v>1637</v>
      </c>
      <c r="AG44" s="114">
        <v>1637</v>
      </c>
      <c r="AH44" s="113" t="s">
        <v>13</v>
      </c>
      <c r="AI44" s="113">
        <f t="shared" si="42"/>
        <v>1627</v>
      </c>
      <c r="AJ44" s="114">
        <f>[1]Sec!$E$11+[1]Sec!$F$11</f>
        <v>1627</v>
      </c>
      <c r="AK44" s="113" t="s">
        <v>13</v>
      </c>
      <c r="AL44" s="113">
        <f t="shared" si="43"/>
        <v>2155</v>
      </c>
      <c r="AM44" s="113">
        <v>1766</v>
      </c>
      <c r="AN44" s="113">
        <v>389</v>
      </c>
      <c r="AO44" s="113">
        <f t="shared" si="44"/>
        <v>2138</v>
      </c>
      <c r="AP44" s="113">
        <v>1778</v>
      </c>
      <c r="AQ44" s="113">
        <v>360</v>
      </c>
      <c r="AR44" s="113">
        <f t="shared" si="39"/>
        <v>2335</v>
      </c>
      <c r="AS44" s="113">
        <v>1961</v>
      </c>
      <c r="AT44" s="53">
        <v>374</v>
      </c>
      <c r="AU44" s="113" t="s">
        <v>13</v>
      </c>
      <c r="AV44" s="113" t="s">
        <v>13</v>
      </c>
      <c r="AW44" s="113" t="s">
        <v>13</v>
      </c>
    </row>
    <row r="45" spans="1:53" x14ac:dyDescent="0.2">
      <c r="A45" s="49" t="s">
        <v>27</v>
      </c>
      <c r="B45" s="50">
        <f>C45+D45</f>
        <v>1370</v>
      </c>
      <c r="C45" s="50">
        <v>971</v>
      </c>
      <c r="D45" s="50">
        <v>399</v>
      </c>
      <c r="E45" s="22">
        <f t="shared" si="26"/>
        <v>7937</v>
      </c>
      <c r="F45" s="22">
        <v>1006</v>
      </c>
      <c r="G45" s="22">
        <v>386</v>
      </c>
      <c r="H45" s="22">
        <f>SUM(I45:J45)</f>
        <v>6545</v>
      </c>
      <c r="I45" s="22">
        <v>4792</v>
      </c>
      <c r="J45" s="22">
        <v>1753</v>
      </c>
      <c r="K45" s="51">
        <f>SUM(L45:M45)</f>
        <v>1330</v>
      </c>
      <c r="L45" s="51">
        <v>991</v>
      </c>
      <c r="M45" s="51">
        <v>339</v>
      </c>
      <c r="N45" s="59">
        <f t="shared" si="29"/>
        <v>1492</v>
      </c>
      <c r="O45" s="59">
        <v>1184</v>
      </c>
      <c r="P45" s="59">
        <v>308</v>
      </c>
      <c r="Q45" s="58">
        <f t="shared" si="30"/>
        <v>1756</v>
      </c>
      <c r="R45" s="59">
        <v>1445</v>
      </c>
      <c r="S45" s="59">
        <v>311</v>
      </c>
      <c r="T45" s="113">
        <f t="shared" si="33"/>
        <v>1401</v>
      </c>
      <c r="U45" s="113">
        <f>627+774</f>
        <v>1401</v>
      </c>
      <c r="V45" s="113" t="s">
        <v>13</v>
      </c>
      <c r="W45" s="113">
        <f t="shared" si="31"/>
        <v>1700</v>
      </c>
      <c r="X45" s="113">
        <v>1374</v>
      </c>
      <c r="Y45" s="113">
        <v>326</v>
      </c>
      <c r="Z45" s="113">
        <f t="shared" si="32"/>
        <v>653</v>
      </c>
      <c r="AA45" s="113">
        <v>653</v>
      </c>
      <c r="AB45" s="113" t="s">
        <v>13</v>
      </c>
      <c r="AC45" s="113">
        <f t="shared" si="40"/>
        <v>1879</v>
      </c>
      <c r="AD45" s="114">
        <v>1519</v>
      </c>
      <c r="AE45" s="114">
        <v>360</v>
      </c>
      <c r="AF45" s="113">
        <f t="shared" si="41"/>
        <v>1395</v>
      </c>
      <c r="AG45" s="114">
        <v>1395</v>
      </c>
      <c r="AH45" s="113" t="s">
        <v>13</v>
      </c>
      <c r="AI45" s="113">
        <f t="shared" si="42"/>
        <v>1472</v>
      </c>
      <c r="AJ45" s="114">
        <f>[1]Sec!$G$11+[1]Sec!$H$11</f>
        <v>1472</v>
      </c>
      <c r="AK45" s="113" t="s">
        <v>13</v>
      </c>
      <c r="AL45" s="113">
        <f t="shared" si="43"/>
        <v>1836</v>
      </c>
      <c r="AM45" s="113">
        <v>1470</v>
      </c>
      <c r="AN45" s="113">
        <v>366</v>
      </c>
      <c r="AO45" s="113">
        <f t="shared" si="44"/>
        <v>1958</v>
      </c>
      <c r="AP45" s="113">
        <v>1616</v>
      </c>
      <c r="AQ45" s="113">
        <v>342</v>
      </c>
      <c r="AR45" s="113">
        <f t="shared" si="39"/>
        <v>1940</v>
      </c>
      <c r="AS45" s="113">
        <v>1615</v>
      </c>
      <c r="AT45" s="53">
        <v>325</v>
      </c>
      <c r="AU45" s="113" t="s">
        <v>13</v>
      </c>
      <c r="AV45" s="113" t="s">
        <v>13</v>
      </c>
      <c r="AW45" s="113" t="s">
        <v>13</v>
      </c>
    </row>
    <row r="46" spans="1:53" x14ac:dyDescent="0.2">
      <c r="A46" s="49" t="s">
        <v>28</v>
      </c>
      <c r="B46" s="50">
        <f>C46+D46</f>
        <v>1168</v>
      </c>
      <c r="C46" s="50">
        <v>811</v>
      </c>
      <c r="D46" s="50">
        <v>357</v>
      </c>
      <c r="E46" s="22">
        <f t="shared" si="26"/>
        <v>7906</v>
      </c>
      <c r="F46" s="22">
        <v>808</v>
      </c>
      <c r="G46" s="22">
        <v>392</v>
      </c>
      <c r="H46" s="22">
        <f>SUM(I46:J46)</f>
        <v>6706</v>
      </c>
      <c r="I46" s="22">
        <v>4980</v>
      </c>
      <c r="J46" s="22">
        <v>1726</v>
      </c>
      <c r="K46" s="51">
        <f>SUM(L46:M46)</f>
        <v>1209</v>
      </c>
      <c r="L46" s="51">
        <v>904</v>
      </c>
      <c r="M46" s="51">
        <v>305</v>
      </c>
      <c r="N46" s="59">
        <f t="shared" si="29"/>
        <v>1174</v>
      </c>
      <c r="O46" s="59">
        <v>885</v>
      </c>
      <c r="P46" s="59">
        <v>289</v>
      </c>
      <c r="Q46" s="58">
        <f t="shared" si="30"/>
        <v>1312</v>
      </c>
      <c r="R46" s="59">
        <v>1020</v>
      </c>
      <c r="S46" s="59">
        <v>292</v>
      </c>
      <c r="T46" s="113">
        <f t="shared" si="33"/>
        <v>1211</v>
      </c>
      <c r="U46" s="113">
        <f>587+624</f>
        <v>1211</v>
      </c>
      <c r="V46" s="113" t="s">
        <v>13</v>
      </c>
      <c r="W46" s="113">
        <f t="shared" si="31"/>
        <v>1374</v>
      </c>
      <c r="X46" s="113">
        <v>1087</v>
      </c>
      <c r="Y46" s="113">
        <v>287</v>
      </c>
      <c r="Z46" s="113">
        <f t="shared" si="32"/>
        <v>918</v>
      </c>
      <c r="AA46" s="113">
        <v>918</v>
      </c>
      <c r="AB46" s="113" t="s">
        <v>13</v>
      </c>
      <c r="AC46" s="113">
        <f t="shared" si="40"/>
        <v>1265</v>
      </c>
      <c r="AD46" s="114">
        <v>922</v>
      </c>
      <c r="AE46" s="114">
        <v>343</v>
      </c>
      <c r="AF46" s="113">
        <f t="shared" si="41"/>
        <v>1408</v>
      </c>
      <c r="AG46" s="114">
        <v>1408</v>
      </c>
      <c r="AH46" s="113" t="s">
        <v>13</v>
      </c>
      <c r="AI46" s="113">
        <f t="shared" si="42"/>
        <v>1192</v>
      </c>
      <c r="AJ46" s="114">
        <f>[1]Sec!$I$11+[1]Sec!$J$11</f>
        <v>1192</v>
      </c>
      <c r="AK46" s="113" t="s">
        <v>13</v>
      </c>
      <c r="AL46" s="113">
        <f t="shared" si="43"/>
        <v>1737</v>
      </c>
      <c r="AM46" s="113">
        <v>1395</v>
      </c>
      <c r="AN46" s="113">
        <v>342</v>
      </c>
      <c r="AO46" s="113">
        <f t="shared" si="44"/>
        <v>1654</v>
      </c>
      <c r="AP46" s="113">
        <v>1347</v>
      </c>
      <c r="AQ46" s="113">
        <v>307</v>
      </c>
      <c r="AR46" s="113">
        <f t="shared" si="39"/>
        <v>1815</v>
      </c>
      <c r="AS46" s="113">
        <v>1498</v>
      </c>
      <c r="AT46" s="53">
        <v>317</v>
      </c>
      <c r="AU46" s="113" t="s">
        <v>13</v>
      </c>
      <c r="AV46" s="113" t="s">
        <v>13</v>
      </c>
      <c r="AW46" s="113" t="s">
        <v>13</v>
      </c>
    </row>
    <row r="47" spans="1:53" s="87" customFormat="1" x14ac:dyDescent="0.2">
      <c r="A47" s="82" t="s">
        <v>59</v>
      </c>
      <c r="B47" s="83">
        <v>1025</v>
      </c>
      <c r="C47" s="83">
        <v>1025</v>
      </c>
      <c r="D47" s="83" t="s">
        <v>30</v>
      </c>
      <c r="E47" s="84">
        <f t="shared" si="26"/>
        <v>2695</v>
      </c>
      <c r="F47" s="84">
        <v>1200</v>
      </c>
      <c r="G47" s="84">
        <v>0</v>
      </c>
      <c r="H47" s="84">
        <f>SUM(I47:J47)</f>
        <v>1495</v>
      </c>
      <c r="I47" s="84">
        <v>1495</v>
      </c>
      <c r="J47" s="84">
        <v>0</v>
      </c>
      <c r="K47" s="85">
        <f>SUM(L47:M47)</f>
        <v>1320</v>
      </c>
      <c r="L47" s="85">
        <v>1320</v>
      </c>
      <c r="M47" s="86">
        <v>0</v>
      </c>
      <c r="N47" s="94">
        <v>1665</v>
      </c>
      <c r="O47" s="95">
        <v>1665</v>
      </c>
      <c r="P47" s="95">
        <f>N47-O47</f>
        <v>0</v>
      </c>
      <c r="Q47" s="95">
        <v>3176</v>
      </c>
      <c r="R47" s="95">
        <v>3176</v>
      </c>
      <c r="S47" s="95">
        <v>0</v>
      </c>
      <c r="T47" s="86">
        <v>2773</v>
      </c>
      <c r="U47" s="86">
        <v>3156</v>
      </c>
      <c r="V47" s="86">
        <v>0</v>
      </c>
      <c r="W47" s="86">
        <f>SUM(X47:Y47)</f>
        <v>2773</v>
      </c>
      <c r="X47" s="86">
        <v>2773</v>
      </c>
      <c r="Y47" s="86">
        <v>0</v>
      </c>
      <c r="Z47" s="86">
        <f>SUM(AA47:AB47)</f>
        <v>2435</v>
      </c>
      <c r="AA47" s="86">
        <v>2435</v>
      </c>
      <c r="AB47" s="86">
        <v>0</v>
      </c>
      <c r="AC47" s="85">
        <f t="shared" si="40"/>
        <v>2317</v>
      </c>
      <c r="AD47" s="85">
        <v>2317</v>
      </c>
      <c r="AE47" s="117" t="s">
        <v>13</v>
      </c>
      <c r="AF47" s="85">
        <f t="shared" si="41"/>
        <v>2146</v>
      </c>
      <c r="AG47" s="85">
        <v>2146</v>
      </c>
      <c r="AH47" s="117">
        <v>0</v>
      </c>
      <c r="AI47" s="86">
        <f>AJ47+AK47</f>
        <v>1132</v>
      </c>
      <c r="AJ47" s="86">
        <v>1132</v>
      </c>
      <c r="AK47" s="86">
        <v>0</v>
      </c>
      <c r="AL47" s="86">
        <f>AM47+AN47</f>
        <v>1494</v>
      </c>
      <c r="AM47" s="86">
        <v>1494</v>
      </c>
      <c r="AN47" s="86">
        <v>0</v>
      </c>
      <c r="AO47" s="85">
        <f>SUM(AP47:AQ47)</f>
        <v>1451</v>
      </c>
      <c r="AP47" s="86">
        <v>1451</v>
      </c>
      <c r="AQ47" s="86">
        <v>0</v>
      </c>
      <c r="AR47" s="86" t="s">
        <v>13</v>
      </c>
      <c r="AS47" s="86" t="s">
        <v>13</v>
      </c>
      <c r="AT47" s="86">
        <v>0</v>
      </c>
      <c r="AU47" s="86" t="s">
        <v>13</v>
      </c>
      <c r="AV47" s="86">
        <v>1864</v>
      </c>
      <c r="AW47" s="86">
        <v>0</v>
      </c>
      <c r="AX47" s="103"/>
      <c r="AY47" s="109"/>
      <c r="AZ47" s="103"/>
      <c r="BA47" s="103"/>
    </row>
    <row r="48" spans="1:53" ht="20.25" customHeight="1" x14ac:dyDescent="0.2">
      <c r="A48" s="44" t="s">
        <v>42</v>
      </c>
      <c r="B48" s="34"/>
      <c r="C48" s="34"/>
      <c r="D48" s="34"/>
      <c r="E48" s="57"/>
      <c r="F48" s="57"/>
      <c r="G48" s="34"/>
      <c r="H48" s="57"/>
      <c r="I48" s="57"/>
      <c r="J48" s="57"/>
      <c r="K48" s="57"/>
      <c r="L48" s="57"/>
      <c r="M48" s="57"/>
      <c r="N48" s="90"/>
      <c r="O48" s="58"/>
      <c r="P48" s="58"/>
      <c r="Q48" s="58"/>
      <c r="R48" s="58"/>
      <c r="S48" s="58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4"/>
      <c r="AE48" s="114"/>
      <c r="AF48" s="113"/>
      <c r="AG48" s="114"/>
      <c r="AH48" s="114"/>
      <c r="AI48" s="113"/>
      <c r="AJ48" s="114"/>
      <c r="AK48" s="114"/>
      <c r="AL48" s="113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</row>
    <row r="49" spans="1:53" ht="12.75" customHeight="1" x14ac:dyDescent="0.2">
      <c r="A49" s="44" t="s">
        <v>47</v>
      </c>
      <c r="N49" s="90"/>
      <c r="O49" s="58"/>
      <c r="P49" s="58"/>
      <c r="Q49" s="58"/>
      <c r="R49" s="58"/>
      <c r="S49" s="58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4"/>
      <c r="AE49" s="114"/>
      <c r="AF49" s="113"/>
      <c r="AG49" s="114"/>
      <c r="AH49" s="114"/>
      <c r="AI49" s="113"/>
      <c r="AJ49" s="114"/>
      <c r="AK49" s="114"/>
      <c r="AL49" s="113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</row>
    <row r="50" spans="1:53" x14ac:dyDescent="0.2">
      <c r="A50" s="49" t="s">
        <v>68</v>
      </c>
      <c r="N50" s="90"/>
      <c r="O50" s="58"/>
      <c r="P50" s="58"/>
      <c r="Q50" s="58"/>
      <c r="R50" s="58"/>
      <c r="S50" s="58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4"/>
      <c r="AE50" s="114"/>
      <c r="AF50" s="113"/>
      <c r="AG50" s="114"/>
      <c r="AH50" s="114"/>
      <c r="AI50" s="113"/>
      <c r="AJ50" s="114"/>
      <c r="AK50" s="114"/>
      <c r="AL50" s="113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</row>
    <row r="51" spans="1:53" x14ac:dyDescent="0.2">
      <c r="A51" s="33" t="s">
        <v>1</v>
      </c>
      <c r="B51" s="30"/>
      <c r="C51" s="40"/>
      <c r="D51" s="40"/>
      <c r="E51" s="60"/>
      <c r="F51" s="60"/>
      <c r="G51" s="60"/>
      <c r="H51" s="60"/>
      <c r="I51" s="60"/>
      <c r="J51" s="60"/>
      <c r="L51" s="40"/>
      <c r="M51" s="40"/>
      <c r="N51" s="90"/>
      <c r="O51" s="58"/>
      <c r="P51" s="58"/>
      <c r="Q51" s="58"/>
      <c r="R51" s="58"/>
      <c r="S51" s="58"/>
      <c r="T51" s="113"/>
      <c r="U51" s="113"/>
      <c r="V51" s="113"/>
      <c r="W51" s="47"/>
      <c r="X51" s="113"/>
      <c r="Y51" s="113"/>
      <c r="Z51" s="47"/>
      <c r="AA51" s="113"/>
      <c r="AB51" s="113"/>
      <c r="AC51" s="51"/>
      <c r="AD51" s="114"/>
      <c r="AE51" s="114"/>
      <c r="AG51" s="114"/>
      <c r="AH51" s="114"/>
      <c r="AJ51" s="114"/>
      <c r="AK51" s="114"/>
      <c r="AL51" s="33" t="s">
        <v>1</v>
      </c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</row>
    <row r="52" spans="1:53" x14ac:dyDescent="0.2">
      <c r="A52" s="36" t="s">
        <v>41</v>
      </c>
      <c r="B52" s="33"/>
      <c r="C52" s="40"/>
      <c r="D52" s="40"/>
      <c r="E52" s="60"/>
      <c r="F52" s="60"/>
      <c r="G52" s="60"/>
      <c r="H52" s="60"/>
      <c r="I52" s="60"/>
      <c r="J52" s="60"/>
      <c r="K52" s="36"/>
      <c r="L52" s="33"/>
      <c r="M52" s="40"/>
      <c r="N52" s="98"/>
      <c r="O52" s="64"/>
      <c r="P52" s="58"/>
      <c r="Q52" s="58"/>
      <c r="R52" s="58"/>
      <c r="S52" s="58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4"/>
      <c r="AE52" s="114"/>
      <c r="AF52" s="113"/>
      <c r="AG52" s="114"/>
      <c r="AH52" s="114"/>
      <c r="AI52" s="113"/>
      <c r="AJ52" s="114"/>
      <c r="AK52" s="114"/>
      <c r="AL52" s="113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</row>
    <row r="53" spans="1:53" x14ac:dyDescent="0.2">
      <c r="A53" s="36" t="s">
        <v>43</v>
      </c>
      <c r="B53" s="33"/>
      <c r="C53" s="40"/>
      <c r="D53" s="40"/>
      <c r="E53" s="60"/>
      <c r="F53" s="60"/>
      <c r="G53" s="60"/>
      <c r="H53" s="60"/>
      <c r="I53" s="60"/>
      <c r="J53" s="60"/>
      <c r="K53" s="36"/>
      <c r="L53" s="33"/>
      <c r="M53" s="40"/>
      <c r="N53" s="98"/>
      <c r="O53" s="64"/>
      <c r="P53" s="58"/>
      <c r="Q53" s="58"/>
      <c r="R53" s="58"/>
      <c r="S53" s="58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4"/>
      <c r="AE53" s="114"/>
      <c r="AF53" s="113"/>
      <c r="AG53" s="114"/>
      <c r="AH53" s="114"/>
      <c r="AI53" s="113"/>
      <c r="AJ53" s="114"/>
      <c r="AK53" s="114"/>
      <c r="AL53" s="113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</row>
    <row r="54" spans="1:53" x14ac:dyDescent="0.2">
      <c r="A54" s="36" t="str">
        <f>A4</f>
        <v>SY 2007-2008 TO SY 2013-2014</v>
      </c>
      <c r="B54" s="40"/>
      <c r="C54" s="40"/>
      <c r="D54" s="40"/>
      <c r="E54" s="60"/>
      <c r="F54" s="60"/>
      <c r="G54" s="60"/>
      <c r="H54" s="60"/>
      <c r="I54" s="60"/>
      <c r="J54" s="60"/>
      <c r="K54" s="61"/>
      <c r="L54" s="40"/>
      <c r="M54" s="40"/>
      <c r="N54" s="98"/>
      <c r="O54" s="64"/>
      <c r="P54" s="58"/>
      <c r="Q54" s="58"/>
      <c r="R54" s="58"/>
      <c r="S54" s="58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4"/>
      <c r="AE54" s="114"/>
      <c r="AF54" s="113"/>
      <c r="AG54" s="114"/>
      <c r="AH54" s="114"/>
      <c r="AI54" s="113"/>
      <c r="AJ54" s="114"/>
      <c r="AK54" s="114"/>
      <c r="AL54" s="113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</row>
    <row r="55" spans="1:53" ht="9.75" customHeight="1" x14ac:dyDescent="0.2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90"/>
      <c r="O55" s="58"/>
      <c r="P55" s="58"/>
      <c r="Q55" s="58"/>
      <c r="R55" s="58"/>
      <c r="S55" s="58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4"/>
      <c r="AE55" s="114"/>
      <c r="AF55" s="113"/>
      <c r="AG55" s="114"/>
      <c r="AH55" s="114"/>
      <c r="AI55" s="113"/>
      <c r="AJ55" s="114"/>
      <c r="AK55" s="114"/>
      <c r="AL55" s="113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</row>
    <row r="56" spans="1:53" x14ac:dyDescent="0.2">
      <c r="A56" s="15" t="s">
        <v>2</v>
      </c>
      <c r="B56" s="138" t="s">
        <v>3</v>
      </c>
      <c r="C56" s="138"/>
      <c r="D56" s="138"/>
      <c r="E56" s="4"/>
      <c r="F56" s="2" t="s">
        <v>4</v>
      </c>
      <c r="G56" s="5"/>
      <c r="H56" s="139" t="s">
        <v>5</v>
      </c>
      <c r="I56" s="140"/>
      <c r="J56" s="141"/>
      <c r="K56" s="139" t="s">
        <v>39</v>
      </c>
      <c r="L56" s="140"/>
      <c r="M56" s="141"/>
      <c r="N56" s="132" t="s">
        <v>40</v>
      </c>
      <c r="O56" s="133"/>
      <c r="P56" s="134"/>
      <c r="Q56" s="132" t="s">
        <v>46</v>
      </c>
      <c r="R56" s="133"/>
      <c r="S56" s="134"/>
      <c r="T56" s="129" t="s">
        <v>48</v>
      </c>
      <c r="U56" s="130"/>
      <c r="V56" s="131"/>
      <c r="W56" s="129" t="s">
        <v>52</v>
      </c>
      <c r="X56" s="130"/>
      <c r="Y56" s="131"/>
      <c r="Z56" s="129" t="s">
        <v>54</v>
      </c>
      <c r="AA56" s="130"/>
      <c r="AB56" s="131"/>
      <c r="AC56" s="129" t="s">
        <v>57</v>
      </c>
      <c r="AD56" s="130"/>
      <c r="AE56" s="131"/>
      <c r="AF56" s="129" t="s">
        <v>58</v>
      </c>
      <c r="AG56" s="130"/>
      <c r="AH56" s="131"/>
      <c r="AI56" s="126" t="s">
        <v>60</v>
      </c>
      <c r="AJ56" s="127"/>
      <c r="AK56" s="128"/>
      <c r="AL56" s="126" t="s">
        <v>61</v>
      </c>
      <c r="AM56" s="127"/>
      <c r="AN56" s="128"/>
      <c r="AO56" s="123" t="s">
        <v>66</v>
      </c>
      <c r="AP56" s="124"/>
      <c r="AQ56" s="125"/>
      <c r="AR56" s="123" t="s">
        <v>67</v>
      </c>
      <c r="AS56" s="124"/>
      <c r="AT56" s="125"/>
      <c r="AU56" s="123" t="s">
        <v>70</v>
      </c>
      <c r="AV56" s="124"/>
      <c r="AW56" s="125"/>
    </row>
    <row r="57" spans="1:53" x14ac:dyDescent="0.2">
      <c r="A57" s="16" t="s">
        <v>6</v>
      </c>
      <c r="B57" s="7" t="s">
        <v>7</v>
      </c>
      <c r="C57" s="7" t="s">
        <v>8</v>
      </c>
      <c r="D57" s="7" t="s">
        <v>9</v>
      </c>
      <c r="E57" s="7" t="s">
        <v>7</v>
      </c>
      <c r="F57" s="7" t="s">
        <v>8</v>
      </c>
      <c r="G57" s="7" t="s">
        <v>9</v>
      </c>
      <c r="H57" s="7" t="s">
        <v>7</v>
      </c>
      <c r="I57" s="7" t="s">
        <v>8</v>
      </c>
      <c r="J57" s="7" t="s">
        <v>9</v>
      </c>
      <c r="K57" s="42" t="s">
        <v>7</v>
      </c>
      <c r="L57" s="42" t="s">
        <v>10</v>
      </c>
      <c r="M57" s="42" t="s">
        <v>9</v>
      </c>
      <c r="N57" s="63" t="s">
        <v>11</v>
      </c>
      <c r="O57" s="63" t="s">
        <v>10</v>
      </c>
      <c r="P57" s="63" t="s">
        <v>9</v>
      </c>
      <c r="Q57" s="63" t="s">
        <v>11</v>
      </c>
      <c r="R57" s="63" t="s">
        <v>10</v>
      </c>
      <c r="S57" s="63" t="s">
        <v>9</v>
      </c>
      <c r="T57" s="118" t="s">
        <v>11</v>
      </c>
      <c r="U57" s="118" t="s">
        <v>10</v>
      </c>
      <c r="V57" s="118" t="s">
        <v>9</v>
      </c>
      <c r="W57" s="118" t="s">
        <v>11</v>
      </c>
      <c r="X57" s="118" t="s">
        <v>10</v>
      </c>
      <c r="Y57" s="118" t="s">
        <v>9</v>
      </c>
      <c r="Z57" s="118" t="s">
        <v>11</v>
      </c>
      <c r="AA57" s="118" t="s">
        <v>10</v>
      </c>
      <c r="AB57" s="118" t="s">
        <v>9</v>
      </c>
      <c r="AC57" s="118" t="s">
        <v>11</v>
      </c>
      <c r="AD57" s="118" t="s">
        <v>10</v>
      </c>
      <c r="AE57" s="118" t="s">
        <v>9</v>
      </c>
      <c r="AF57" s="118" t="s">
        <v>11</v>
      </c>
      <c r="AG57" s="118" t="s">
        <v>10</v>
      </c>
      <c r="AH57" s="118" t="s">
        <v>9</v>
      </c>
      <c r="AI57" s="118" t="s">
        <v>11</v>
      </c>
      <c r="AJ57" s="118" t="s">
        <v>10</v>
      </c>
      <c r="AK57" s="118" t="s">
        <v>9</v>
      </c>
      <c r="AL57" s="118" t="s">
        <v>11</v>
      </c>
      <c r="AM57" s="118" t="s">
        <v>10</v>
      </c>
      <c r="AN57" s="118" t="s">
        <v>9</v>
      </c>
      <c r="AO57" s="42" t="s">
        <v>11</v>
      </c>
      <c r="AP57" s="42" t="s">
        <v>10</v>
      </c>
      <c r="AQ57" s="42" t="s">
        <v>9</v>
      </c>
      <c r="AR57" s="42" t="s">
        <v>11</v>
      </c>
      <c r="AS57" s="42" t="s">
        <v>10</v>
      </c>
      <c r="AT57" s="42" t="s">
        <v>9</v>
      </c>
      <c r="AU57" s="42" t="s">
        <v>11</v>
      </c>
      <c r="AV57" s="42" t="s">
        <v>10</v>
      </c>
      <c r="AW57" s="42" t="s">
        <v>9</v>
      </c>
    </row>
    <row r="58" spans="1:53" ht="9" customHeight="1" x14ac:dyDescent="0.2">
      <c r="A58" s="20"/>
      <c r="B58" s="11"/>
      <c r="C58" s="11"/>
      <c r="D58" s="11"/>
      <c r="E58" s="11"/>
      <c r="F58" s="11"/>
      <c r="G58" s="11"/>
      <c r="H58" s="11"/>
      <c r="I58" s="11"/>
      <c r="J58" s="11"/>
      <c r="K58" s="20"/>
      <c r="L58" s="20"/>
      <c r="M58" s="20"/>
      <c r="N58" s="64"/>
      <c r="O58" s="64"/>
      <c r="P58" s="64"/>
      <c r="Q58" s="64"/>
      <c r="R58" s="64"/>
      <c r="S58" s="64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119"/>
      <c r="AE58" s="114"/>
      <c r="AF58" s="81"/>
      <c r="AG58" s="119"/>
      <c r="AH58" s="114"/>
      <c r="AI58" s="81"/>
      <c r="AJ58" s="119"/>
      <c r="AK58" s="114"/>
      <c r="AL58" s="81"/>
      <c r="AM58" s="119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</row>
    <row r="59" spans="1:53" s="33" customFormat="1" x14ac:dyDescent="0.2">
      <c r="A59" s="10" t="s">
        <v>31</v>
      </c>
      <c r="B59" s="14"/>
      <c r="C59" s="14"/>
      <c r="D59" s="14"/>
      <c r="E59" s="14"/>
      <c r="F59" s="22"/>
      <c r="G59" s="22"/>
      <c r="H59" s="22"/>
      <c r="I59" s="22"/>
      <c r="J59" s="22"/>
      <c r="K59" s="51"/>
      <c r="L59" s="51"/>
      <c r="M59" s="51"/>
      <c r="N59" s="97"/>
      <c r="O59" s="97"/>
      <c r="P59" s="97"/>
      <c r="Q59" s="97"/>
      <c r="R59" s="97"/>
      <c r="S59" s="97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1"/>
      <c r="AE59" s="51"/>
      <c r="AF59" s="53"/>
      <c r="AG59" s="51"/>
      <c r="AH59" s="51"/>
      <c r="AI59" s="53"/>
      <c r="AJ59" s="51"/>
      <c r="AK59" s="51"/>
      <c r="AL59" s="53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104"/>
      <c r="AY59" s="110"/>
      <c r="AZ59" s="104"/>
      <c r="BA59" s="104"/>
    </row>
    <row r="60" spans="1:53" s="33" customFormat="1" x14ac:dyDescent="0.2">
      <c r="A60" s="49" t="s">
        <v>12</v>
      </c>
      <c r="B60" s="50">
        <f>C60+D60</f>
        <v>5903</v>
      </c>
      <c r="C60" s="50">
        <v>1211</v>
      </c>
      <c r="D60" s="50">
        <v>4692</v>
      </c>
      <c r="E60" s="22">
        <f t="shared" ref="E60:E74" si="46">SUM(F60:H60)</f>
        <v>6638</v>
      </c>
      <c r="F60" s="50" t="s">
        <v>13</v>
      </c>
      <c r="G60" s="22">
        <v>1474</v>
      </c>
      <c r="H60" s="22">
        <f t="shared" ref="H60:H71" si="47">SUM(I60:J60)</f>
        <v>5164</v>
      </c>
      <c r="I60" s="51">
        <v>1706</v>
      </c>
      <c r="J60" s="22">
        <v>3458</v>
      </c>
      <c r="K60" s="51">
        <f t="shared" ref="K60:K74" si="48">SUM(L60:M60)</f>
        <v>3961</v>
      </c>
      <c r="L60" s="51">
        <v>114</v>
      </c>
      <c r="M60" s="51">
        <v>3847</v>
      </c>
      <c r="N60" s="97">
        <f t="shared" ref="N60:N73" si="49">SUM(O60:P60)</f>
        <v>4999</v>
      </c>
      <c r="O60" s="97">
        <v>1804</v>
      </c>
      <c r="P60" s="97">
        <v>3195</v>
      </c>
      <c r="Q60" s="97">
        <f>SUM(R60:S60)</f>
        <v>6512</v>
      </c>
      <c r="R60" s="97">
        <v>1900</v>
      </c>
      <c r="S60" s="97">
        <v>4612</v>
      </c>
      <c r="T60" s="53" t="s">
        <v>13</v>
      </c>
      <c r="U60" s="53" t="s">
        <v>13</v>
      </c>
      <c r="V60" s="53" t="s">
        <v>13</v>
      </c>
      <c r="W60" s="53">
        <f>SUM(X60:Y60)</f>
        <v>6682</v>
      </c>
      <c r="X60" s="53">
        <v>1182</v>
      </c>
      <c r="Y60" s="53">
        <v>5500</v>
      </c>
      <c r="Z60" s="53">
        <f>SUM(AA60:AB60)</f>
        <v>7077</v>
      </c>
      <c r="AA60" s="53">
        <v>2169</v>
      </c>
      <c r="AB60" s="53">
        <v>4908</v>
      </c>
      <c r="AC60" s="53">
        <f>SUM(AD60:AE60)</f>
        <v>7408</v>
      </c>
      <c r="AD60" s="53">
        <v>2267</v>
      </c>
      <c r="AE60" s="53">
        <v>5141</v>
      </c>
      <c r="AF60" s="53">
        <f>SUM(AG60:AH60)</f>
        <v>7352</v>
      </c>
      <c r="AG60" s="53">
        <v>2461</v>
      </c>
      <c r="AH60" s="53">
        <v>4891</v>
      </c>
      <c r="AI60" s="53">
        <f>SUM(AJ60:AK60)</f>
        <v>7401</v>
      </c>
      <c r="AJ60" s="53">
        <v>2805</v>
      </c>
      <c r="AK60" s="53">
        <v>4596</v>
      </c>
      <c r="AL60" s="113">
        <f>SUM(AM60:AN60)</f>
        <v>3634</v>
      </c>
      <c r="AM60" s="53">
        <v>2835</v>
      </c>
      <c r="AN60" s="53">
        <v>799</v>
      </c>
      <c r="AO60" s="113">
        <f>SUM(AP60:AQ60)</f>
        <v>8401</v>
      </c>
      <c r="AP60" s="53">
        <v>4392</v>
      </c>
      <c r="AQ60" s="53">
        <v>4009</v>
      </c>
      <c r="AR60" s="113">
        <f>SUM(AS60:AT60)</f>
        <v>9072</v>
      </c>
      <c r="AS60" s="53">
        <v>4506</v>
      </c>
      <c r="AT60" s="53">
        <v>4566</v>
      </c>
      <c r="AU60" s="113">
        <f>SUM(AV60:AW60)</f>
        <v>9072</v>
      </c>
      <c r="AV60" s="53">
        <v>4832</v>
      </c>
      <c r="AW60" s="53">
        <v>4240</v>
      </c>
      <c r="AX60" s="104"/>
      <c r="AY60" s="110"/>
      <c r="AZ60" s="104"/>
      <c r="BA60" s="104"/>
    </row>
    <row r="61" spans="1:53" s="87" customFormat="1" ht="15.75" customHeight="1" x14ac:dyDescent="0.2">
      <c r="A61" s="10" t="s">
        <v>14</v>
      </c>
      <c r="B61" s="78">
        <f>C61+D61</f>
        <v>38971</v>
      </c>
      <c r="C61" s="78">
        <v>28257</v>
      </c>
      <c r="D61" s="78">
        <v>10714</v>
      </c>
      <c r="E61" s="79">
        <f t="shared" si="46"/>
        <v>79771</v>
      </c>
      <c r="F61" s="79">
        <v>29433</v>
      </c>
      <c r="G61" s="79">
        <v>10122</v>
      </c>
      <c r="H61" s="79">
        <f t="shared" si="47"/>
        <v>40216</v>
      </c>
      <c r="I61" s="79">
        <v>29931</v>
      </c>
      <c r="J61" s="79">
        <v>10285</v>
      </c>
      <c r="K61" s="77">
        <f t="shared" si="48"/>
        <v>39667</v>
      </c>
      <c r="L61" s="77">
        <v>29654</v>
      </c>
      <c r="M61" s="77">
        <v>10013</v>
      </c>
      <c r="N61" s="99">
        <f t="shared" si="49"/>
        <v>39312</v>
      </c>
      <c r="O61" s="99">
        <v>29725</v>
      </c>
      <c r="P61" s="99">
        <v>9587</v>
      </c>
      <c r="Q61" s="99">
        <f>SUM(R61:S61)</f>
        <v>41189</v>
      </c>
      <c r="R61" s="99">
        <v>29969</v>
      </c>
      <c r="S61" s="99">
        <f>SUM(S62:S67)</f>
        <v>11220</v>
      </c>
      <c r="T61" s="81">
        <f>SUM(U61:V61)</f>
        <v>29501</v>
      </c>
      <c r="U61" s="81">
        <f>SUM(U62:U67)</f>
        <v>29501</v>
      </c>
      <c r="V61" s="81" t="s">
        <v>13</v>
      </c>
      <c r="W61" s="81">
        <f>SUM(X61:Y61)</f>
        <v>41117</v>
      </c>
      <c r="X61" s="81">
        <f>SUM(X62:X67)</f>
        <v>28886</v>
      </c>
      <c r="Y61" s="81">
        <f>SUM(Y62:Y67)</f>
        <v>12231</v>
      </c>
      <c r="Z61" s="81">
        <f>SUM(AA61:AB61)</f>
        <v>41576</v>
      </c>
      <c r="AA61" s="81">
        <f>SUM(AA62:AA67)</f>
        <v>29708</v>
      </c>
      <c r="AB61" s="81">
        <f>SUM(AB62:AB67)</f>
        <v>11868</v>
      </c>
      <c r="AC61" s="81">
        <f>SUM(AD61:AE61)</f>
        <v>43370</v>
      </c>
      <c r="AD61" s="81">
        <f>SUM(AD62:AD67)</f>
        <v>30164</v>
      </c>
      <c r="AE61" s="81">
        <f>SUM(AE62:AE67)</f>
        <v>13206</v>
      </c>
      <c r="AF61" s="81">
        <f>SUM(AG61:AH61)</f>
        <v>45154</v>
      </c>
      <c r="AG61" s="81">
        <f>SUM(AG62:AG67)</f>
        <v>31153</v>
      </c>
      <c r="AH61" s="81">
        <v>14001</v>
      </c>
      <c r="AI61" s="81">
        <f>SUM(AJ61:AK61)</f>
        <v>45850</v>
      </c>
      <c r="AJ61" s="81">
        <f>SUM(AJ62:AJ67)</f>
        <v>32067</v>
      </c>
      <c r="AK61" s="81">
        <v>13783</v>
      </c>
      <c r="AL61" s="115">
        <f>SUM(AM61:AN61)</f>
        <v>46554</v>
      </c>
      <c r="AM61" s="115">
        <f>SUM(AM62:AM67)</f>
        <v>32816</v>
      </c>
      <c r="AN61" s="115">
        <f>SUM(AN62:AN67)</f>
        <v>13738</v>
      </c>
      <c r="AO61" s="115">
        <f>SUM(AP61:AQ61)</f>
        <v>47600</v>
      </c>
      <c r="AP61" s="115">
        <f>SUM(AP62:AP67)</f>
        <v>33610</v>
      </c>
      <c r="AQ61" s="115">
        <f>SUM(AQ62:AQ67)</f>
        <v>13990</v>
      </c>
      <c r="AR61" s="115">
        <f>SUM(AS61:AT61)</f>
        <v>50154</v>
      </c>
      <c r="AS61" s="115">
        <v>33849</v>
      </c>
      <c r="AT61" s="115">
        <v>16305</v>
      </c>
      <c r="AU61" s="115">
        <f>SUM(AV61:AW61)</f>
        <v>47988</v>
      </c>
      <c r="AV61" s="115">
        <v>34256</v>
      </c>
      <c r="AW61" s="115">
        <v>13732</v>
      </c>
      <c r="AX61" s="103"/>
      <c r="AY61" s="109"/>
      <c r="AZ61" s="103"/>
      <c r="BA61" s="103"/>
    </row>
    <row r="62" spans="1:53" s="33" customFormat="1" ht="14.25" customHeight="1" x14ac:dyDescent="0.2">
      <c r="A62" s="49" t="s">
        <v>19</v>
      </c>
      <c r="B62" s="50">
        <f>C62+D62</f>
        <v>7072</v>
      </c>
      <c r="C62" s="50">
        <v>5160</v>
      </c>
      <c r="D62" s="50">
        <v>1912</v>
      </c>
      <c r="E62" s="22">
        <f t="shared" si="46"/>
        <v>13890</v>
      </c>
      <c r="F62" s="22">
        <v>5177</v>
      </c>
      <c r="G62" s="22">
        <v>1714</v>
      </c>
      <c r="H62" s="22">
        <f t="shared" si="47"/>
        <v>6999</v>
      </c>
      <c r="I62" s="22">
        <v>5147</v>
      </c>
      <c r="J62" s="22">
        <v>1852</v>
      </c>
      <c r="K62" s="51">
        <f t="shared" si="48"/>
        <v>6933</v>
      </c>
      <c r="L62" s="51">
        <v>5212</v>
      </c>
      <c r="M62" s="51">
        <v>1721</v>
      </c>
      <c r="N62" s="93">
        <f t="shared" si="49"/>
        <v>6931</v>
      </c>
      <c r="O62" s="93">
        <v>5227</v>
      </c>
      <c r="P62" s="93">
        <v>1704</v>
      </c>
      <c r="Q62" s="97">
        <f t="shared" ref="Q62:Q73" si="50">SUM(R62:S62)</f>
        <v>7280</v>
      </c>
      <c r="R62" s="93">
        <v>5269</v>
      </c>
      <c r="S62" s="93">
        <v>2011</v>
      </c>
      <c r="T62" s="53">
        <f t="shared" ref="T62:T73" si="51">SUM(U62:V62)</f>
        <v>5403</v>
      </c>
      <c r="U62" s="53">
        <f>2849+2554</f>
        <v>5403</v>
      </c>
      <c r="V62" s="53" t="s">
        <v>13</v>
      </c>
      <c r="W62" s="53">
        <f t="shared" ref="W62:W74" si="52">SUM(X62:Y62)</f>
        <v>7798</v>
      </c>
      <c r="X62" s="53">
        <v>5394</v>
      </c>
      <c r="Y62" s="53">
        <v>2404</v>
      </c>
      <c r="Z62" s="53">
        <f t="shared" ref="Z62:Z73" si="53">SUM(AA62:AB62)</f>
        <v>8089</v>
      </c>
      <c r="AA62" s="53">
        <v>5837</v>
      </c>
      <c r="AB62" s="53">
        <v>2252</v>
      </c>
      <c r="AC62" s="53">
        <f t="shared" ref="AC62:AC73" si="54">SUM(AD62:AE62)</f>
        <v>8483</v>
      </c>
      <c r="AD62" s="51">
        <v>5982</v>
      </c>
      <c r="AE62" s="53">
        <v>2501</v>
      </c>
      <c r="AF62" s="53">
        <f t="shared" ref="AF62:AF73" si="55">SUM(AG62:AH62)</f>
        <v>5980</v>
      </c>
      <c r="AG62" s="51">
        <v>5980</v>
      </c>
      <c r="AH62" s="53" t="s">
        <v>13</v>
      </c>
      <c r="AI62" s="53">
        <f t="shared" ref="AI62:AI73" si="56">SUM(AJ62:AK62)</f>
        <v>6066</v>
      </c>
      <c r="AJ62" s="51">
        <f>[1]Elem!$C$12+[1]Elem!$D$12</f>
        <v>6066</v>
      </c>
      <c r="AK62" s="53" t="s">
        <v>13</v>
      </c>
      <c r="AL62" s="113">
        <f t="shared" ref="AL62:AL67" si="57">SUM(AM62:AN62)</f>
        <v>8579</v>
      </c>
      <c r="AM62" s="53">
        <v>6197</v>
      </c>
      <c r="AN62" s="53">
        <v>2382</v>
      </c>
      <c r="AO62" s="113">
        <f t="shared" ref="AO62:AO67" si="58">SUM(AP62:AQ62)</f>
        <v>9145</v>
      </c>
      <c r="AP62" s="53">
        <v>6571</v>
      </c>
      <c r="AQ62" s="53">
        <v>2574</v>
      </c>
      <c r="AR62" s="113">
        <f t="shared" ref="AR62:AR73" si="59">SUM(AS62:AT62)</f>
        <v>9004</v>
      </c>
      <c r="AS62" s="53">
        <v>6312</v>
      </c>
      <c r="AT62" s="113">
        <v>2692</v>
      </c>
      <c r="AU62" s="113" t="s">
        <v>13</v>
      </c>
      <c r="AV62" s="113" t="s">
        <v>13</v>
      </c>
      <c r="AW62" s="113" t="s">
        <v>13</v>
      </c>
      <c r="AX62" s="104"/>
      <c r="AY62" s="110"/>
      <c r="AZ62" s="104"/>
      <c r="BA62" s="104"/>
    </row>
    <row r="63" spans="1:53" s="33" customFormat="1" x14ac:dyDescent="0.2">
      <c r="A63" s="49" t="s">
        <v>20</v>
      </c>
      <c r="B63" s="50">
        <f t="shared" ref="B63:B71" si="60">C63+D63</f>
        <v>6617</v>
      </c>
      <c r="C63" s="50">
        <v>4793</v>
      </c>
      <c r="D63" s="50">
        <v>1824</v>
      </c>
      <c r="E63" s="66">
        <f t="shared" si="46"/>
        <v>13176</v>
      </c>
      <c r="F63" s="22">
        <v>4932</v>
      </c>
      <c r="G63" s="22">
        <v>1699</v>
      </c>
      <c r="H63" s="22">
        <f t="shared" si="47"/>
        <v>6545</v>
      </c>
      <c r="I63" s="22">
        <v>4792</v>
      </c>
      <c r="J63" s="22">
        <v>1753</v>
      </c>
      <c r="K63" s="51">
        <f t="shared" si="48"/>
        <v>6454</v>
      </c>
      <c r="L63" s="51">
        <v>4751</v>
      </c>
      <c r="M63" s="51">
        <v>1703</v>
      </c>
      <c r="N63" s="93">
        <f t="shared" si="49"/>
        <v>6474</v>
      </c>
      <c r="O63" s="93">
        <v>4875</v>
      </c>
      <c r="P63" s="93">
        <v>1599</v>
      </c>
      <c r="Q63" s="97">
        <f t="shared" si="50"/>
        <v>6979</v>
      </c>
      <c r="R63" s="93">
        <v>4979</v>
      </c>
      <c r="S63" s="93">
        <v>2000</v>
      </c>
      <c r="T63" s="53">
        <f t="shared" si="51"/>
        <v>4767</v>
      </c>
      <c r="U63" s="53">
        <f>2455+2312</f>
        <v>4767</v>
      </c>
      <c r="V63" s="53" t="s">
        <v>13</v>
      </c>
      <c r="W63" s="53">
        <f t="shared" si="52"/>
        <v>7061</v>
      </c>
      <c r="X63" s="53">
        <v>4808</v>
      </c>
      <c r="Y63" s="53">
        <v>2253</v>
      </c>
      <c r="Z63" s="53">
        <f t="shared" si="53"/>
        <v>7245</v>
      </c>
      <c r="AA63" s="53">
        <v>5048</v>
      </c>
      <c r="AB63" s="53">
        <v>2197</v>
      </c>
      <c r="AC63" s="53">
        <f t="shared" si="54"/>
        <v>7505</v>
      </c>
      <c r="AD63" s="51">
        <v>5235</v>
      </c>
      <c r="AE63" s="53">
        <v>2270</v>
      </c>
      <c r="AF63" s="53">
        <f t="shared" si="55"/>
        <v>5533</v>
      </c>
      <c r="AG63" s="51">
        <v>5533</v>
      </c>
      <c r="AH63" s="53" t="s">
        <v>13</v>
      </c>
      <c r="AI63" s="53">
        <f t="shared" si="56"/>
        <v>5565</v>
      </c>
      <c r="AJ63" s="51">
        <f>[1]Elem!$E$12+[1]Elem!$F$12</f>
        <v>5565</v>
      </c>
      <c r="AK63" s="53" t="s">
        <v>13</v>
      </c>
      <c r="AL63" s="113">
        <f t="shared" si="57"/>
        <v>7864</v>
      </c>
      <c r="AM63" s="53">
        <v>5539</v>
      </c>
      <c r="AN63" s="53">
        <v>2325</v>
      </c>
      <c r="AO63" s="113">
        <f t="shared" si="58"/>
        <v>8036</v>
      </c>
      <c r="AP63" s="53">
        <v>5640</v>
      </c>
      <c r="AQ63" s="53">
        <v>2396</v>
      </c>
      <c r="AR63" s="113">
        <f t="shared" si="59"/>
        <v>8780</v>
      </c>
      <c r="AS63" s="53">
        <v>5893</v>
      </c>
      <c r="AT63" s="113">
        <v>2887</v>
      </c>
      <c r="AU63" s="113" t="s">
        <v>13</v>
      </c>
      <c r="AV63" s="113" t="s">
        <v>13</v>
      </c>
      <c r="AW63" s="113" t="s">
        <v>13</v>
      </c>
      <c r="AX63" s="104"/>
      <c r="AY63" s="110"/>
      <c r="AZ63" s="104"/>
      <c r="BA63" s="104"/>
    </row>
    <row r="64" spans="1:53" s="33" customFormat="1" x14ac:dyDescent="0.2">
      <c r="A64" s="49" t="s">
        <v>21</v>
      </c>
      <c r="B64" s="50">
        <f t="shared" si="60"/>
        <v>6651</v>
      </c>
      <c r="C64" s="50">
        <v>4926</v>
      </c>
      <c r="D64" s="50">
        <v>1725</v>
      </c>
      <c r="E64" s="66">
        <f t="shared" si="46"/>
        <v>13237</v>
      </c>
      <c r="F64" s="22">
        <v>4873</v>
      </c>
      <c r="G64" s="22">
        <v>1658</v>
      </c>
      <c r="H64" s="22">
        <f t="shared" si="47"/>
        <v>6706</v>
      </c>
      <c r="I64" s="22">
        <v>4980</v>
      </c>
      <c r="J64" s="22">
        <v>1726</v>
      </c>
      <c r="K64" s="51">
        <f t="shared" si="48"/>
        <v>6646</v>
      </c>
      <c r="L64" s="51">
        <v>4906</v>
      </c>
      <c r="M64" s="51">
        <v>1740</v>
      </c>
      <c r="N64" s="93">
        <f t="shared" si="49"/>
        <v>6479</v>
      </c>
      <c r="O64" s="93">
        <v>4859</v>
      </c>
      <c r="P64" s="93">
        <v>1620</v>
      </c>
      <c r="Q64" s="97">
        <f t="shared" si="50"/>
        <v>6776</v>
      </c>
      <c r="R64" s="93">
        <v>4909</v>
      </c>
      <c r="S64" s="93">
        <v>1867</v>
      </c>
      <c r="T64" s="53">
        <f t="shared" si="51"/>
        <v>4900</v>
      </c>
      <c r="U64" s="53">
        <f>2604+2296</f>
        <v>4900</v>
      </c>
      <c r="V64" s="53" t="s">
        <v>13</v>
      </c>
      <c r="W64" s="53">
        <f t="shared" si="52"/>
        <v>6655</v>
      </c>
      <c r="X64" s="53">
        <v>4680</v>
      </c>
      <c r="Y64" s="53">
        <v>1975</v>
      </c>
      <c r="Z64" s="53">
        <f t="shared" si="53"/>
        <v>6969</v>
      </c>
      <c r="AA64" s="53">
        <v>4860</v>
      </c>
      <c r="AB64" s="53">
        <v>2109</v>
      </c>
      <c r="AC64" s="53">
        <f t="shared" si="54"/>
        <v>7314</v>
      </c>
      <c r="AD64" s="51">
        <v>5049</v>
      </c>
      <c r="AE64" s="53">
        <v>2265</v>
      </c>
      <c r="AF64" s="53">
        <f t="shared" si="55"/>
        <v>5189</v>
      </c>
      <c r="AG64" s="51">
        <v>5189</v>
      </c>
      <c r="AH64" s="53" t="s">
        <v>13</v>
      </c>
      <c r="AI64" s="53">
        <f t="shared" si="56"/>
        <v>5542</v>
      </c>
      <c r="AJ64" s="51">
        <f>[1]Elem!$G$12+[1]Elem!$H$12</f>
        <v>5542</v>
      </c>
      <c r="AK64" s="53" t="s">
        <v>13</v>
      </c>
      <c r="AL64" s="113">
        <f t="shared" si="57"/>
        <v>7649</v>
      </c>
      <c r="AM64" s="53">
        <v>5391</v>
      </c>
      <c r="AN64" s="53">
        <v>2258</v>
      </c>
      <c r="AO64" s="113">
        <f t="shared" si="58"/>
        <v>7789</v>
      </c>
      <c r="AP64" s="53">
        <v>5493</v>
      </c>
      <c r="AQ64" s="53">
        <v>2296</v>
      </c>
      <c r="AR64" s="113">
        <f t="shared" si="59"/>
        <v>8332</v>
      </c>
      <c r="AS64" s="53">
        <v>5562</v>
      </c>
      <c r="AT64" s="113">
        <v>2770</v>
      </c>
      <c r="AU64" s="113" t="s">
        <v>13</v>
      </c>
      <c r="AV64" s="113" t="s">
        <v>13</v>
      </c>
      <c r="AW64" s="113" t="s">
        <v>13</v>
      </c>
      <c r="AX64" s="104"/>
      <c r="AY64" s="110"/>
      <c r="AZ64" s="104"/>
      <c r="BA64" s="104"/>
    </row>
    <row r="65" spans="1:53" s="33" customFormat="1" x14ac:dyDescent="0.2">
      <c r="A65" s="49" t="s">
        <v>22</v>
      </c>
      <c r="B65" s="50">
        <f t="shared" si="60"/>
        <v>6901</v>
      </c>
      <c r="C65" s="50">
        <v>5056</v>
      </c>
      <c r="D65" s="50">
        <v>1845</v>
      </c>
      <c r="E65" s="66">
        <f t="shared" si="46"/>
        <v>13208</v>
      </c>
      <c r="F65" s="22">
        <v>4960</v>
      </c>
      <c r="G65" s="22">
        <v>1675</v>
      </c>
      <c r="H65" s="22">
        <f t="shared" si="47"/>
        <v>6573</v>
      </c>
      <c r="I65" s="22">
        <v>4927</v>
      </c>
      <c r="J65" s="22">
        <v>1646</v>
      </c>
      <c r="K65" s="51">
        <f t="shared" si="48"/>
        <v>6628</v>
      </c>
      <c r="L65" s="51">
        <v>4982</v>
      </c>
      <c r="M65" s="51">
        <v>1646</v>
      </c>
      <c r="N65" s="93">
        <f t="shared" si="49"/>
        <v>6449</v>
      </c>
      <c r="O65" s="93">
        <v>4896</v>
      </c>
      <c r="P65" s="93">
        <v>1553</v>
      </c>
      <c r="Q65" s="97">
        <f t="shared" si="50"/>
        <v>6727</v>
      </c>
      <c r="R65" s="93">
        <v>4919</v>
      </c>
      <c r="S65" s="93">
        <v>1808</v>
      </c>
      <c r="T65" s="53">
        <f t="shared" si="51"/>
        <v>4731</v>
      </c>
      <c r="U65" s="53">
        <f>2454+2277</f>
        <v>4731</v>
      </c>
      <c r="V65" s="53" t="s">
        <v>13</v>
      </c>
      <c r="W65" s="53">
        <f t="shared" si="52"/>
        <v>6652</v>
      </c>
      <c r="X65" s="53">
        <v>4709</v>
      </c>
      <c r="Y65" s="53">
        <v>1943</v>
      </c>
      <c r="Z65" s="53">
        <f t="shared" si="53"/>
        <v>6562</v>
      </c>
      <c r="AA65" s="53">
        <v>4703</v>
      </c>
      <c r="AB65" s="53">
        <v>1859</v>
      </c>
      <c r="AC65" s="53">
        <f t="shared" si="54"/>
        <v>6990</v>
      </c>
      <c r="AD65" s="51">
        <v>4800</v>
      </c>
      <c r="AE65" s="53">
        <v>2190</v>
      </c>
      <c r="AF65" s="53">
        <f t="shared" si="55"/>
        <v>5088</v>
      </c>
      <c r="AG65" s="51">
        <v>5088</v>
      </c>
      <c r="AH65" s="53" t="s">
        <v>13</v>
      </c>
      <c r="AI65" s="53">
        <f t="shared" si="56"/>
        <v>5214</v>
      </c>
      <c r="AJ65" s="51">
        <f>[1]Elem!$I$12+[1]Elem!$J$12</f>
        <v>5214</v>
      </c>
      <c r="AK65" s="53" t="s">
        <v>13</v>
      </c>
      <c r="AL65" s="113">
        <f t="shared" si="57"/>
        <v>7847</v>
      </c>
      <c r="AM65" s="53">
        <v>5535</v>
      </c>
      <c r="AN65" s="53">
        <v>2312</v>
      </c>
      <c r="AO65" s="113">
        <f t="shared" si="58"/>
        <v>7646</v>
      </c>
      <c r="AP65" s="53">
        <v>5398</v>
      </c>
      <c r="AQ65" s="53">
        <v>2248</v>
      </c>
      <c r="AR65" s="113">
        <f t="shared" si="59"/>
        <v>8143</v>
      </c>
      <c r="AS65" s="53">
        <v>5516</v>
      </c>
      <c r="AT65" s="113">
        <v>2627</v>
      </c>
      <c r="AU65" s="113" t="s">
        <v>13</v>
      </c>
      <c r="AV65" s="113" t="s">
        <v>13</v>
      </c>
      <c r="AW65" s="113" t="s">
        <v>13</v>
      </c>
      <c r="AX65" s="104"/>
      <c r="AY65" s="110"/>
      <c r="AZ65" s="104"/>
      <c r="BA65" s="104"/>
    </row>
    <row r="66" spans="1:53" s="33" customFormat="1" x14ac:dyDescent="0.2">
      <c r="A66" s="49" t="s">
        <v>23</v>
      </c>
      <c r="B66" s="50">
        <f t="shared" si="60"/>
        <v>6142</v>
      </c>
      <c r="C66" s="50">
        <v>4395</v>
      </c>
      <c r="D66" s="50">
        <v>1747</v>
      </c>
      <c r="E66" s="22">
        <f t="shared" si="46"/>
        <v>13544</v>
      </c>
      <c r="F66" s="22">
        <v>5185</v>
      </c>
      <c r="G66" s="22">
        <v>1727</v>
      </c>
      <c r="H66" s="22">
        <f t="shared" si="47"/>
        <v>6632</v>
      </c>
      <c r="I66" s="22">
        <v>5015</v>
      </c>
      <c r="J66" s="22">
        <v>1617</v>
      </c>
      <c r="K66" s="51">
        <f t="shared" si="48"/>
        <v>6533</v>
      </c>
      <c r="L66" s="51">
        <v>4936</v>
      </c>
      <c r="M66" s="51">
        <v>1597</v>
      </c>
      <c r="N66" s="93">
        <f t="shared" si="49"/>
        <v>6632</v>
      </c>
      <c r="O66" s="93">
        <v>5021</v>
      </c>
      <c r="P66" s="93">
        <v>1611</v>
      </c>
      <c r="Q66" s="97">
        <f t="shared" si="50"/>
        <v>6748</v>
      </c>
      <c r="R66" s="93">
        <v>5004</v>
      </c>
      <c r="S66" s="93">
        <v>1744</v>
      </c>
      <c r="T66" s="53">
        <f t="shared" si="51"/>
        <v>4871</v>
      </c>
      <c r="U66" s="53">
        <f>2493+2378</f>
        <v>4871</v>
      </c>
      <c r="V66" s="53" t="s">
        <v>13</v>
      </c>
      <c r="W66" s="53">
        <f t="shared" si="52"/>
        <v>6505</v>
      </c>
      <c r="X66" s="53">
        <v>4687</v>
      </c>
      <c r="Y66" s="53">
        <v>1818</v>
      </c>
      <c r="Z66" s="53">
        <f t="shared" si="53"/>
        <v>6529</v>
      </c>
      <c r="AA66" s="53">
        <v>4729</v>
      </c>
      <c r="AB66" s="53">
        <v>1800</v>
      </c>
      <c r="AC66" s="53">
        <f t="shared" si="54"/>
        <v>6679</v>
      </c>
      <c r="AD66" s="51">
        <v>4655</v>
      </c>
      <c r="AE66" s="53">
        <v>2024</v>
      </c>
      <c r="AF66" s="53">
        <f t="shared" si="55"/>
        <v>4735</v>
      </c>
      <c r="AG66" s="51">
        <v>4735</v>
      </c>
      <c r="AH66" s="53" t="s">
        <v>13</v>
      </c>
      <c r="AI66" s="53">
        <f t="shared" si="56"/>
        <v>5055</v>
      </c>
      <c r="AJ66" s="51">
        <f>[1]Elem!$K$12+[1]Elem!$L$12</f>
        <v>5055</v>
      </c>
      <c r="AK66" s="53" t="s">
        <v>13</v>
      </c>
      <c r="AL66" s="113">
        <f t="shared" si="57"/>
        <v>7504</v>
      </c>
      <c r="AM66" s="53">
        <v>5226</v>
      </c>
      <c r="AN66" s="53">
        <v>2278</v>
      </c>
      <c r="AO66" s="113">
        <f t="shared" si="58"/>
        <v>7735</v>
      </c>
      <c r="AP66" s="53">
        <v>5449</v>
      </c>
      <c r="AQ66" s="53">
        <v>2286</v>
      </c>
      <c r="AR66" s="113">
        <f t="shared" si="59"/>
        <v>8038</v>
      </c>
      <c r="AS66" s="53">
        <v>5354</v>
      </c>
      <c r="AT66" s="113">
        <v>2684</v>
      </c>
      <c r="AU66" s="113" t="s">
        <v>13</v>
      </c>
      <c r="AV66" s="113" t="s">
        <v>13</v>
      </c>
      <c r="AW66" s="113" t="s">
        <v>13</v>
      </c>
      <c r="AX66" s="104"/>
      <c r="AY66" s="110"/>
      <c r="AZ66" s="104"/>
      <c r="BA66" s="104"/>
    </row>
    <row r="67" spans="1:53" s="33" customFormat="1" x14ac:dyDescent="0.2">
      <c r="A67" s="49" t="s">
        <v>24</v>
      </c>
      <c r="B67" s="50">
        <f t="shared" si="60"/>
        <v>5588</v>
      </c>
      <c r="C67" s="50">
        <v>3927</v>
      </c>
      <c r="D67" s="50">
        <v>1661</v>
      </c>
      <c r="E67" s="22">
        <f t="shared" si="46"/>
        <v>12743</v>
      </c>
      <c r="F67" s="22">
        <v>4333</v>
      </c>
      <c r="G67" s="22">
        <v>1649</v>
      </c>
      <c r="H67" s="22">
        <f t="shared" si="47"/>
        <v>6761</v>
      </c>
      <c r="I67" s="22">
        <v>5070</v>
      </c>
      <c r="J67" s="22">
        <v>1691</v>
      </c>
      <c r="K67" s="51">
        <f t="shared" si="48"/>
        <v>6473</v>
      </c>
      <c r="L67" s="51">
        <v>4867</v>
      </c>
      <c r="M67" s="51">
        <v>1606</v>
      </c>
      <c r="N67" s="93">
        <f t="shared" si="49"/>
        <v>6347</v>
      </c>
      <c r="O67" s="93">
        <v>4847</v>
      </c>
      <c r="P67" s="93">
        <v>1500</v>
      </c>
      <c r="Q67" s="97">
        <f t="shared" si="50"/>
        <v>6679</v>
      </c>
      <c r="R67" s="93">
        <v>4889</v>
      </c>
      <c r="S67" s="93">
        <v>1790</v>
      </c>
      <c r="T67" s="53">
        <f t="shared" si="51"/>
        <v>4829</v>
      </c>
      <c r="U67" s="53">
        <f>2413+2416</f>
        <v>4829</v>
      </c>
      <c r="V67" s="53" t="s">
        <v>13</v>
      </c>
      <c r="W67" s="53">
        <f t="shared" si="52"/>
        <v>6446</v>
      </c>
      <c r="X67" s="53">
        <v>4608</v>
      </c>
      <c r="Y67" s="53">
        <v>1838</v>
      </c>
      <c r="Z67" s="53">
        <f t="shared" si="53"/>
        <v>6182</v>
      </c>
      <c r="AA67" s="53">
        <v>4531</v>
      </c>
      <c r="AB67" s="53">
        <v>1651</v>
      </c>
      <c r="AC67" s="53">
        <f t="shared" si="54"/>
        <v>6399</v>
      </c>
      <c r="AD67" s="51">
        <v>4443</v>
      </c>
      <c r="AE67" s="53">
        <v>1956</v>
      </c>
      <c r="AF67" s="53">
        <f t="shared" si="55"/>
        <v>4628</v>
      </c>
      <c r="AG67" s="51">
        <v>4628</v>
      </c>
      <c r="AH67" s="53" t="s">
        <v>13</v>
      </c>
      <c r="AI67" s="53">
        <f t="shared" si="56"/>
        <v>4625</v>
      </c>
      <c r="AJ67" s="51">
        <f>[1]Elem!$M$12+[1]Elem!$N$12</f>
        <v>4625</v>
      </c>
      <c r="AK67" s="53" t="s">
        <v>13</v>
      </c>
      <c r="AL67" s="113">
        <f t="shared" si="57"/>
        <v>7111</v>
      </c>
      <c r="AM67" s="53">
        <v>4928</v>
      </c>
      <c r="AN67" s="53">
        <v>2183</v>
      </c>
      <c r="AO67" s="113">
        <f t="shared" si="58"/>
        <v>7249</v>
      </c>
      <c r="AP67" s="53">
        <v>5059</v>
      </c>
      <c r="AQ67" s="53">
        <v>2190</v>
      </c>
      <c r="AR67" s="113">
        <f t="shared" si="59"/>
        <v>7857</v>
      </c>
      <c r="AS67" s="53">
        <v>5212</v>
      </c>
      <c r="AT67" s="113">
        <v>2645</v>
      </c>
      <c r="AU67" s="113" t="s">
        <v>13</v>
      </c>
      <c r="AV67" s="113" t="s">
        <v>13</v>
      </c>
      <c r="AW67" s="113" t="s">
        <v>13</v>
      </c>
      <c r="AX67" s="104"/>
      <c r="AY67" s="110"/>
      <c r="AZ67" s="104"/>
      <c r="BA67" s="104"/>
    </row>
    <row r="68" spans="1:53" s="87" customFormat="1" x14ac:dyDescent="0.2">
      <c r="A68" s="10" t="s">
        <v>15</v>
      </c>
      <c r="B68" s="78">
        <f t="shared" si="60"/>
        <v>25822</v>
      </c>
      <c r="C68" s="78">
        <v>15627</v>
      </c>
      <c r="D68" s="78">
        <v>10195</v>
      </c>
      <c r="E68" s="79">
        <f t="shared" si="46"/>
        <v>50292</v>
      </c>
      <c r="F68" s="79">
        <v>16564</v>
      </c>
      <c r="G68" s="79">
        <v>8048</v>
      </c>
      <c r="H68" s="79">
        <f t="shared" si="47"/>
        <v>25680</v>
      </c>
      <c r="I68" s="79">
        <v>17742</v>
      </c>
      <c r="J68" s="79">
        <v>7938</v>
      </c>
      <c r="K68" s="77">
        <f t="shared" si="48"/>
        <v>27055</v>
      </c>
      <c r="L68" s="77">
        <v>19061</v>
      </c>
      <c r="M68" s="77">
        <v>7994</v>
      </c>
      <c r="N68" s="99">
        <f t="shared" si="49"/>
        <v>28004</v>
      </c>
      <c r="O68" s="99">
        <v>20464</v>
      </c>
      <c r="P68" s="99">
        <v>7540</v>
      </c>
      <c r="Q68" s="99">
        <f t="shared" si="50"/>
        <v>29115</v>
      </c>
      <c r="R68" s="99">
        <f>SUM(R70:R73)</f>
        <v>21512</v>
      </c>
      <c r="S68" s="99">
        <f>SUM(S70:S73)</f>
        <v>7603</v>
      </c>
      <c r="T68" s="81">
        <f t="shared" si="51"/>
        <v>21124</v>
      </c>
      <c r="U68" s="81">
        <f>SUM(U69:U73)</f>
        <v>21124</v>
      </c>
      <c r="V68" s="81" t="s">
        <v>13</v>
      </c>
      <c r="W68" s="81">
        <f t="shared" si="52"/>
        <v>28791</v>
      </c>
      <c r="X68" s="81">
        <f>SUM(X69:X73)</f>
        <v>19925</v>
      </c>
      <c r="Y68" s="81">
        <f>SUM(Y69:Y73)</f>
        <v>8866</v>
      </c>
      <c r="Z68" s="81">
        <f t="shared" si="53"/>
        <v>27908</v>
      </c>
      <c r="AA68" s="81">
        <f>SUM(AA69:AA73)</f>
        <v>19768</v>
      </c>
      <c r="AB68" s="81">
        <f>SUM(AB69:AB73)</f>
        <v>8140</v>
      </c>
      <c r="AC68" s="81">
        <f t="shared" si="54"/>
        <v>29468</v>
      </c>
      <c r="AD68" s="81">
        <f>SUM(AD69:AD73)</f>
        <v>19160</v>
      </c>
      <c r="AE68" s="81">
        <f>SUM(AE69:AE73)</f>
        <v>10308</v>
      </c>
      <c r="AF68" s="81">
        <f t="shared" si="55"/>
        <v>29726</v>
      </c>
      <c r="AG68" s="81">
        <f>SUM(AG69:AG73)</f>
        <v>19523</v>
      </c>
      <c r="AH68" s="81">
        <v>10203</v>
      </c>
      <c r="AI68" s="81">
        <f t="shared" si="56"/>
        <v>29975</v>
      </c>
      <c r="AJ68" s="81">
        <f>SUM(AJ69:AJ73)</f>
        <v>19035</v>
      </c>
      <c r="AK68" s="81">
        <v>10940</v>
      </c>
      <c r="AL68" s="115">
        <f t="shared" ref="AL68:AL73" si="61">SUM(AM68:AN68)</f>
        <v>28468</v>
      </c>
      <c r="AM68" s="115">
        <f>SUM(AM69:AM73)</f>
        <v>19050</v>
      </c>
      <c r="AN68" s="115">
        <f>SUM(AN69:AN73)</f>
        <v>9418</v>
      </c>
      <c r="AO68" s="115">
        <f t="shared" ref="AO68:AO73" si="62">SUM(AP68:AQ68)</f>
        <v>29033</v>
      </c>
      <c r="AP68" s="115">
        <f>SUM(AP69:AP73)</f>
        <v>19226</v>
      </c>
      <c r="AQ68" s="115">
        <f>SUM(AQ69:AQ73)</f>
        <v>9807</v>
      </c>
      <c r="AR68" s="115">
        <f t="shared" si="59"/>
        <v>30259</v>
      </c>
      <c r="AS68" s="115">
        <v>20238</v>
      </c>
      <c r="AT68" s="115">
        <v>10021</v>
      </c>
      <c r="AU68" s="115">
        <f t="shared" ref="AU68:AU69" si="63">SUM(AV68:AW68)</f>
        <v>30210</v>
      </c>
      <c r="AV68" s="115">
        <v>19869</v>
      </c>
      <c r="AW68" s="115">
        <v>10341</v>
      </c>
      <c r="AX68" s="103"/>
      <c r="AY68" s="109"/>
      <c r="AZ68" s="103"/>
      <c r="BA68" s="103"/>
    </row>
    <row r="69" spans="1:53" s="33" customFormat="1" x14ac:dyDescent="0.2">
      <c r="A69" s="52" t="s">
        <v>49</v>
      </c>
      <c r="B69" s="50" t="s">
        <v>51</v>
      </c>
      <c r="C69" s="50" t="s">
        <v>51</v>
      </c>
      <c r="D69" s="50" t="s">
        <v>51</v>
      </c>
      <c r="E69" s="50" t="s">
        <v>51</v>
      </c>
      <c r="F69" s="50" t="s">
        <v>51</v>
      </c>
      <c r="G69" s="50" t="s">
        <v>51</v>
      </c>
      <c r="H69" s="50" t="s">
        <v>51</v>
      </c>
      <c r="I69" s="50" t="s">
        <v>51</v>
      </c>
      <c r="J69" s="50" t="s">
        <v>51</v>
      </c>
      <c r="K69" s="50" t="s">
        <v>51</v>
      </c>
      <c r="L69" s="50" t="s">
        <v>51</v>
      </c>
      <c r="M69" s="50" t="s">
        <v>51</v>
      </c>
      <c r="N69" s="93" t="s">
        <v>51</v>
      </c>
      <c r="O69" s="93" t="s">
        <v>51</v>
      </c>
      <c r="P69" s="93" t="s">
        <v>51</v>
      </c>
      <c r="Q69" s="93" t="s">
        <v>51</v>
      </c>
      <c r="R69" s="93" t="s">
        <v>51</v>
      </c>
      <c r="S69" s="93" t="s">
        <v>51</v>
      </c>
      <c r="T69" s="53">
        <f t="shared" si="51"/>
        <v>561</v>
      </c>
      <c r="U69" s="53">
        <f>316+245</f>
        <v>561</v>
      </c>
      <c r="V69" s="53"/>
      <c r="W69" s="53">
        <f t="shared" si="52"/>
        <v>0</v>
      </c>
      <c r="X69" s="53">
        <v>0</v>
      </c>
      <c r="Y69" s="53">
        <v>0</v>
      </c>
      <c r="Z69" s="53">
        <f t="shared" si="53"/>
        <v>0</v>
      </c>
      <c r="AA69" s="53">
        <v>0</v>
      </c>
      <c r="AB69" s="53">
        <v>0</v>
      </c>
      <c r="AC69" s="53">
        <f t="shared" si="54"/>
        <v>0</v>
      </c>
      <c r="AD69" s="53">
        <v>0</v>
      </c>
      <c r="AE69" s="53">
        <v>0</v>
      </c>
      <c r="AF69" s="53">
        <f t="shared" si="55"/>
        <v>0</v>
      </c>
      <c r="AG69" s="53">
        <v>0</v>
      </c>
      <c r="AH69" s="113" t="s">
        <v>13</v>
      </c>
      <c r="AI69" s="53">
        <f t="shared" si="56"/>
        <v>0</v>
      </c>
      <c r="AJ69" s="53">
        <v>0</v>
      </c>
      <c r="AK69" s="53">
        <v>0</v>
      </c>
      <c r="AL69" s="113">
        <f t="shared" si="61"/>
        <v>0</v>
      </c>
      <c r="AM69" s="113"/>
      <c r="AN69" s="113"/>
      <c r="AO69" s="113">
        <f t="shared" si="62"/>
        <v>0</v>
      </c>
      <c r="AP69" s="113"/>
      <c r="AQ69" s="113"/>
      <c r="AR69" s="113">
        <f t="shared" si="59"/>
        <v>0</v>
      </c>
      <c r="AS69" s="113"/>
      <c r="AT69" s="113"/>
      <c r="AU69" s="113">
        <f t="shared" si="63"/>
        <v>0</v>
      </c>
      <c r="AV69" s="113"/>
      <c r="AW69" s="113"/>
      <c r="AX69" s="104"/>
      <c r="AY69" s="110"/>
      <c r="AZ69" s="104"/>
      <c r="BA69" s="104"/>
    </row>
    <row r="70" spans="1:53" s="33" customFormat="1" x14ac:dyDescent="0.2">
      <c r="A70" s="49" t="s">
        <v>25</v>
      </c>
      <c r="B70" s="50">
        <f t="shared" si="60"/>
        <v>6938</v>
      </c>
      <c r="C70" s="50">
        <v>4533</v>
      </c>
      <c r="D70" s="50">
        <v>2405</v>
      </c>
      <c r="E70" s="22">
        <f t="shared" si="46"/>
        <v>14021</v>
      </c>
      <c r="F70" s="22">
        <v>4732</v>
      </c>
      <c r="G70" s="22">
        <v>2045</v>
      </c>
      <c r="H70" s="22">
        <f t="shared" si="47"/>
        <v>7244</v>
      </c>
      <c r="I70" s="22">
        <v>5185</v>
      </c>
      <c r="J70" s="22">
        <v>2059</v>
      </c>
      <c r="K70" s="51">
        <f t="shared" si="48"/>
        <v>8047</v>
      </c>
      <c r="L70" s="51">
        <v>5865</v>
      </c>
      <c r="M70" s="51">
        <v>2182</v>
      </c>
      <c r="N70" s="93">
        <f t="shared" si="49"/>
        <v>7944</v>
      </c>
      <c r="O70" s="93">
        <v>6016</v>
      </c>
      <c r="P70" s="93">
        <v>1928</v>
      </c>
      <c r="Q70" s="97">
        <f t="shared" si="50"/>
        <v>7780</v>
      </c>
      <c r="R70" s="93">
        <v>5920</v>
      </c>
      <c r="S70" s="93">
        <v>1860</v>
      </c>
      <c r="T70" s="53">
        <f t="shared" si="51"/>
        <v>4614</v>
      </c>
      <c r="U70" s="53">
        <f>2306+2308</f>
        <v>4614</v>
      </c>
      <c r="V70" s="53" t="s">
        <v>13</v>
      </c>
      <c r="W70" s="53">
        <f t="shared" si="52"/>
        <v>8211</v>
      </c>
      <c r="X70" s="53">
        <v>5750</v>
      </c>
      <c r="Y70" s="53">
        <v>2461</v>
      </c>
      <c r="Z70" s="53">
        <f t="shared" si="53"/>
        <v>7636</v>
      </c>
      <c r="AA70" s="53">
        <v>5488</v>
      </c>
      <c r="AB70" s="53">
        <v>2148</v>
      </c>
      <c r="AC70" s="53">
        <f t="shared" si="54"/>
        <v>7870</v>
      </c>
      <c r="AD70" s="51">
        <v>5143</v>
      </c>
      <c r="AE70" s="53">
        <v>2727</v>
      </c>
      <c r="AF70" s="53">
        <f t="shared" si="55"/>
        <v>5351</v>
      </c>
      <c r="AG70" s="51">
        <v>5351</v>
      </c>
      <c r="AH70" s="53" t="s">
        <v>13</v>
      </c>
      <c r="AI70" s="53">
        <f t="shared" si="56"/>
        <v>5296</v>
      </c>
      <c r="AJ70" s="51">
        <f>[1]Sec!$C$12+[1]Sec!$D$12</f>
        <v>5296</v>
      </c>
      <c r="AK70" s="53" t="s">
        <v>13</v>
      </c>
      <c r="AL70" s="113">
        <f t="shared" si="61"/>
        <v>7861</v>
      </c>
      <c r="AM70" s="113">
        <v>5379</v>
      </c>
      <c r="AN70" s="113">
        <v>2482</v>
      </c>
      <c r="AO70" s="113">
        <f t="shared" si="62"/>
        <v>8106</v>
      </c>
      <c r="AP70" s="53">
        <v>5503</v>
      </c>
      <c r="AQ70" s="53">
        <v>2603</v>
      </c>
      <c r="AR70" s="113">
        <f t="shared" si="59"/>
        <v>8134</v>
      </c>
      <c r="AS70" s="53">
        <v>5512</v>
      </c>
      <c r="AT70" s="53">
        <v>2622</v>
      </c>
      <c r="AU70" s="113" t="s">
        <v>13</v>
      </c>
      <c r="AV70" s="113" t="s">
        <v>13</v>
      </c>
      <c r="AW70" s="113" t="s">
        <v>13</v>
      </c>
      <c r="AX70" s="104"/>
      <c r="AY70" s="110"/>
      <c r="AZ70" s="104"/>
      <c r="BA70" s="104"/>
    </row>
    <row r="71" spans="1:53" s="33" customFormat="1" x14ac:dyDescent="0.2">
      <c r="A71" s="49" t="s">
        <v>26</v>
      </c>
      <c r="B71" s="50">
        <f t="shared" si="60"/>
        <v>6572</v>
      </c>
      <c r="C71" s="50">
        <v>4131</v>
      </c>
      <c r="D71" s="50">
        <v>2441</v>
      </c>
      <c r="E71" s="22">
        <f t="shared" si="46"/>
        <v>12731</v>
      </c>
      <c r="F71" s="22">
        <v>4364</v>
      </c>
      <c r="G71" s="22">
        <v>1891</v>
      </c>
      <c r="H71" s="22">
        <f t="shared" si="47"/>
        <v>6476</v>
      </c>
      <c r="I71" s="22">
        <v>4551</v>
      </c>
      <c r="J71" s="22">
        <v>1925</v>
      </c>
      <c r="K71" s="51">
        <f t="shared" si="48"/>
        <v>6920</v>
      </c>
      <c r="L71" s="51">
        <v>4871</v>
      </c>
      <c r="M71" s="51">
        <v>2049</v>
      </c>
      <c r="N71" s="93">
        <f t="shared" si="49"/>
        <v>7610</v>
      </c>
      <c r="O71" s="93">
        <v>5595</v>
      </c>
      <c r="P71" s="93">
        <v>2015</v>
      </c>
      <c r="Q71" s="97">
        <f t="shared" si="50"/>
        <v>7580</v>
      </c>
      <c r="R71" s="93">
        <v>5661</v>
      </c>
      <c r="S71" s="93">
        <v>1919</v>
      </c>
      <c r="T71" s="53">
        <f t="shared" si="51"/>
        <v>5484</v>
      </c>
      <c r="U71" s="53">
        <f>2649+2835</f>
        <v>5484</v>
      </c>
      <c r="V71" s="53" t="s">
        <v>13</v>
      </c>
      <c r="W71" s="53">
        <f t="shared" si="52"/>
        <v>6899</v>
      </c>
      <c r="X71" s="53">
        <v>4530</v>
      </c>
      <c r="Y71" s="53">
        <v>2369</v>
      </c>
      <c r="Z71" s="53">
        <f t="shared" si="53"/>
        <v>7390</v>
      </c>
      <c r="AA71" s="53">
        <v>5266</v>
      </c>
      <c r="AB71" s="53">
        <v>2124</v>
      </c>
      <c r="AC71" s="53">
        <f t="shared" si="54"/>
        <v>7546</v>
      </c>
      <c r="AD71" s="51">
        <v>4937</v>
      </c>
      <c r="AE71" s="53">
        <v>2609</v>
      </c>
      <c r="AF71" s="53">
        <f t="shared" si="55"/>
        <v>4783</v>
      </c>
      <c r="AG71" s="51">
        <v>4783</v>
      </c>
      <c r="AH71" s="53" t="s">
        <v>13</v>
      </c>
      <c r="AI71" s="53">
        <f t="shared" si="56"/>
        <v>4947</v>
      </c>
      <c r="AJ71" s="51">
        <f>[1]Sec!$E$12+[1]Sec!$F$12</f>
        <v>4947</v>
      </c>
      <c r="AK71" s="53" t="s">
        <v>13</v>
      </c>
      <c r="AL71" s="113">
        <f t="shared" si="61"/>
        <v>7289</v>
      </c>
      <c r="AM71" s="113">
        <v>4974</v>
      </c>
      <c r="AN71" s="113">
        <v>2315</v>
      </c>
      <c r="AO71" s="113">
        <f t="shared" si="62"/>
        <v>7476</v>
      </c>
      <c r="AP71" s="53">
        <v>4956</v>
      </c>
      <c r="AQ71" s="53">
        <v>2520</v>
      </c>
      <c r="AR71" s="113">
        <f t="shared" si="59"/>
        <v>8635</v>
      </c>
      <c r="AS71" s="53">
        <v>6039</v>
      </c>
      <c r="AT71" s="53">
        <v>2596</v>
      </c>
      <c r="AU71" s="113" t="s">
        <v>13</v>
      </c>
      <c r="AV71" s="113" t="s">
        <v>13</v>
      </c>
      <c r="AW71" s="113" t="s">
        <v>13</v>
      </c>
      <c r="AX71" s="104"/>
      <c r="AY71" s="110"/>
      <c r="AZ71" s="104"/>
      <c r="BA71" s="104"/>
    </row>
    <row r="72" spans="1:53" s="33" customFormat="1" x14ac:dyDescent="0.2">
      <c r="A72" s="49" t="s">
        <v>27</v>
      </c>
      <c r="B72" s="50">
        <f>C72+D72</f>
        <v>6300</v>
      </c>
      <c r="C72" s="50">
        <v>3647</v>
      </c>
      <c r="D72" s="50">
        <v>2653</v>
      </c>
      <c r="E72" s="22">
        <f t="shared" si="46"/>
        <v>12263</v>
      </c>
      <c r="F72" s="22">
        <v>4036</v>
      </c>
      <c r="G72" s="22">
        <v>2041</v>
      </c>
      <c r="H72" s="22">
        <f>SUM(I72:J72)</f>
        <v>6186</v>
      </c>
      <c r="I72" s="22">
        <v>4135</v>
      </c>
      <c r="J72" s="22">
        <v>2051</v>
      </c>
      <c r="K72" s="51">
        <f t="shared" si="48"/>
        <v>6391</v>
      </c>
      <c r="L72" s="51">
        <v>4443</v>
      </c>
      <c r="M72" s="51">
        <v>1948</v>
      </c>
      <c r="N72" s="93">
        <f t="shared" si="49"/>
        <v>6553</v>
      </c>
      <c r="O72" s="93">
        <v>4707</v>
      </c>
      <c r="P72" s="93">
        <v>1846</v>
      </c>
      <c r="Q72" s="97">
        <f t="shared" si="50"/>
        <v>7437</v>
      </c>
      <c r="R72" s="93">
        <v>5462</v>
      </c>
      <c r="S72" s="93">
        <v>1975</v>
      </c>
      <c r="T72" s="53">
        <f t="shared" si="51"/>
        <v>5439</v>
      </c>
      <c r="U72" s="53">
        <f>2615+2824</f>
        <v>5439</v>
      </c>
      <c r="V72" s="53" t="s">
        <v>13</v>
      </c>
      <c r="W72" s="53">
        <f t="shared" si="52"/>
        <v>7104</v>
      </c>
      <c r="X72" s="53">
        <v>5061</v>
      </c>
      <c r="Y72" s="53">
        <v>2043</v>
      </c>
      <c r="Z72" s="53">
        <f t="shared" si="53"/>
        <v>6474</v>
      </c>
      <c r="AA72" s="53">
        <v>4425</v>
      </c>
      <c r="AB72" s="53">
        <v>2049</v>
      </c>
      <c r="AC72" s="53">
        <f t="shared" si="54"/>
        <v>7741</v>
      </c>
      <c r="AD72" s="51">
        <v>5047</v>
      </c>
      <c r="AE72" s="53">
        <v>2694</v>
      </c>
      <c r="AF72" s="53">
        <f t="shared" si="55"/>
        <v>4752</v>
      </c>
      <c r="AG72" s="51">
        <v>4752</v>
      </c>
      <c r="AH72" s="53" t="s">
        <v>13</v>
      </c>
      <c r="AI72" s="53">
        <f t="shared" si="56"/>
        <v>4510</v>
      </c>
      <c r="AJ72" s="51">
        <f>[1]Sec!$G$12+[1]Sec!$H$12</f>
        <v>4510</v>
      </c>
      <c r="AK72" s="53" t="s">
        <v>13</v>
      </c>
      <c r="AL72" s="113">
        <f t="shared" si="61"/>
        <v>6957</v>
      </c>
      <c r="AM72" s="113">
        <v>4604</v>
      </c>
      <c r="AN72" s="113">
        <v>2353</v>
      </c>
      <c r="AO72" s="113">
        <f t="shared" si="62"/>
        <v>6897</v>
      </c>
      <c r="AP72" s="53">
        <v>4540</v>
      </c>
      <c r="AQ72" s="53">
        <v>2357</v>
      </c>
      <c r="AR72" s="113">
        <f t="shared" si="59"/>
        <v>7128</v>
      </c>
      <c r="AS72" s="53">
        <v>4633</v>
      </c>
      <c r="AT72" s="53">
        <v>2495</v>
      </c>
      <c r="AU72" s="113" t="s">
        <v>13</v>
      </c>
      <c r="AV72" s="113" t="s">
        <v>13</v>
      </c>
      <c r="AW72" s="113" t="s">
        <v>13</v>
      </c>
      <c r="AX72" s="104"/>
      <c r="AY72" s="110"/>
      <c r="AZ72" s="104"/>
      <c r="BA72" s="104"/>
    </row>
    <row r="73" spans="1:53" s="33" customFormat="1" x14ac:dyDescent="0.2">
      <c r="A73" s="49" t="s">
        <v>28</v>
      </c>
      <c r="B73" s="50">
        <f>C73+D73</f>
        <v>6012</v>
      </c>
      <c r="C73" s="50">
        <v>3316</v>
      </c>
      <c r="D73" s="50">
        <v>2696</v>
      </c>
      <c r="E73" s="22">
        <f t="shared" si="46"/>
        <v>11277</v>
      </c>
      <c r="F73" s="22">
        <v>3432</v>
      </c>
      <c r="G73" s="22">
        <v>2071</v>
      </c>
      <c r="H73" s="22">
        <f>SUM(I73:J73)</f>
        <v>5774</v>
      </c>
      <c r="I73" s="22">
        <v>3871</v>
      </c>
      <c r="J73" s="22">
        <v>1903</v>
      </c>
      <c r="K73" s="51">
        <f t="shared" si="48"/>
        <v>5697</v>
      </c>
      <c r="L73" s="51">
        <v>3882</v>
      </c>
      <c r="M73" s="51">
        <v>1815</v>
      </c>
      <c r="N73" s="93">
        <f t="shared" si="49"/>
        <v>5897</v>
      </c>
      <c r="O73" s="93">
        <v>4146</v>
      </c>
      <c r="P73" s="93">
        <v>1751</v>
      </c>
      <c r="Q73" s="97">
        <f t="shared" si="50"/>
        <v>6318</v>
      </c>
      <c r="R73" s="93">
        <v>4469</v>
      </c>
      <c r="S73" s="93">
        <v>1849</v>
      </c>
      <c r="T73" s="53">
        <f t="shared" si="51"/>
        <v>5026</v>
      </c>
      <c r="U73" s="53">
        <f>2293+2733</f>
        <v>5026</v>
      </c>
      <c r="V73" s="53" t="s">
        <v>13</v>
      </c>
      <c r="W73" s="53">
        <f t="shared" si="52"/>
        <v>6577</v>
      </c>
      <c r="X73" s="53">
        <v>4584</v>
      </c>
      <c r="Y73" s="53">
        <v>1993</v>
      </c>
      <c r="Z73" s="53">
        <f t="shared" si="53"/>
        <v>6408</v>
      </c>
      <c r="AA73" s="53">
        <v>4589</v>
      </c>
      <c r="AB73" s="53">
        <v>1819</v>
      </c>
      <c r="AC73" s="53">
        <f t="shared" si="54"/>
        <v>6311</v>
      </c>
      <c r="AD73" s="51">
        <v>4033</v>
      </c>
      <c r="AE73" s="53">
        <v>2278</v>
      </c>
      <c r="AF73" s="53">
        <f t="shared" si="55"/>
        <v>4637</v>
      </c>
      <c r="AG73" s="51">
        <v>4637</v>
      </c>
      <c r="AH73" s="53" t="s">
        <v>13</v>
      </c>
      <c r="AI73" s="53">
        <f t="shared" si="56"/>
        <v>4282</v>
      </c>
      <c r="AJ73" s="51">
        <f>[1]Sec!$I$12+[1]Sec!$J$12</f>
        <v>4282</v>
      </c>
      <c r="AK73" s="53" t="s">
        <v>13</v>
      </c>
      <c r="AL73" s="113">
        <f t="shared" si="61"/>
        <v>6361</v>
      </c>
      <c r="AM73" s="113">
        <v>4093</v>
      </c>
      <c r="AN73" s="113">
        <v>2268</v>
      </c>
      <c r="AO73" s="113">
        <f t="shared" si="62"/>
        <v>6554</v>
      </c>
      <c r="AP73" s="53">
        <v>4227</v>
      </c>
      <c r="AQ73" s="53">
        <v>2327</v>
      </c>
      <c r="AR73" s="113">
        <f t="shared" si="59"/>
        <v>6362</v>
      </c>
      <c r="AS73" s="53">
        <v>4054</v>
      </c>
      <c r="AT73" s="53">
        <v>2308</v>
      </c>
      <c r="AU73" s="113" t="s">
        <v>13</v>
      </c>
      <c r="AV73" s="113" t="s">
        <v>13</v>
      </c>
      <c r="AW73" s="113" t="s">
        <v>13</v>
      </c>
      <c r="AX73" s="104"/>
      <c r="AY73" s="110"/>
      <c r="AZ73" s="104"/>
      <c r="BA73" s="104"/>
    </row>
    <row r="74" spans="1:53" s="80" customFormat="1" x14ac:dyDescent="0.2">
      <c r="A74" s="10" t="s">
        <v>38</v>
      </c>
      <c r="B74" s="78">
        <v>61504</v>
      </c>
      <c r="C74" s="78">
        <v>2874</v>
      </c>
      <c r="D74" s="78">
        <v>58630</v>
      </c>
      <c r="E74" s="79">
        <f t="shared" si="46"/>
        <v>124184</v>
      </c>
      <c r="F74" s="79">
        <v>3074</v>
      </c>
      <c r="G74" s="79">
        <v>58879</v>
      </c>
      <c r="H74" s="79">
        <f>SUM(I74:J74)</f>
        <v>62231</v>
      </c>
      <c r="I74" s="79">
        <v>3089</v>
      </c>
      <c r="J74" s="79">
        <v>59142</v>
      </c>
      <c r="K74" s="77">
        <f t="shared" si="48"/>
        <v>58094</v>
      </c>
      <c r="L74" s="77">
        <v>1860</v>
      </c>
      <c r="M74" s="77">
        <v>56234</v>
      </c>
      <c r="N74" s="91">
        <v>58659</v>
      </c>
      <c r="O74" s="92">
        <v>1872</v>
      </c>
      <c r="P74" s="92">
        <f>N74-O74</f>
        <v>56787</v>
      </c>
      <c r="Q74" s="92">
        <v>61444</v>
      </c>
      <c r="R74" s="92">
        <v>1915</v>
      </c>
      <c r="S74" s="92">
        <f>Q74-R74</f>
        <v>59529</v>
      </c>
      <c r="T74" s="115">
        <v>65920</v>
      </c>
      <c r="U74" s="115">
        <v>1834</v>
      </c>
      <c r="V74" s="81">
        <v>60653</v>
      </c>
      <c r="W74" s="115">
        <f t="shared" si="52"/>
        <v>65927</v>
      </c>
      <c r="X74" s="115">
        <v>2151</v>
      </c>
      <c r="Y74" s="115">
        <v>63776</v>
      </c>
      <c r="Z74" s="115">
        <f>SUM(AA74:AB74)</f>
        <v>67562</v>
      </c>
      <c r="AA74" s="115">
        <v>2246</v>
      </c>
      <c r="AB74" s="115">
        <v>65316</v>
      </c>
      <c r="AC74" s="116">
        <f>SUM(AD74:AE74)</f>
        <v>68481</v>
      </c>
      <c r="AD74" s="116">
        <v>2344</v>
      </c>
      <c r="AE74" s="116">
        <v>66137</v>
      </c>
      <c r="AF74" s="116">
        <f>SUM(AG74:AH74)</f>
        <v>68511</v>
      </c>
      <c r="AG74" s="116">
        <v>2240</v>
      </c>
      <c r="AH74" s="116">
        <v>66271</v>
      </c>
      <c r="AI74" s="115">
        <f>AJ74+AK74</f>
        <v>67625</v>
      </c>
      <c r="AJ74" s="115">
        <v>2333</v>
      </c>
      <c r="AK74" s="115">
        <v>65292</v>
      </c>
      <c r="AL74" s="81">
        <f>AM74+AN74</f>
        <v>69656</v>
      </c>
      <c r="AM74" s="81">
        <f>925+2382</f>
        <v>3307</v>
      </c>
      <c r="AN74" s="81">
        <f>69656-AM74</f>
        <v>66349</v>
      </c>
      <c r="AO74" s="116">
        <f>SUM(AP74:AQ74)</f>
        <v>66313</v>
      </c>
      <c r="AP74" s="81">
        <v>3306</v>
      </c>
      <c r="AQ74" s="81">
        <v>63007</v>
      </c>
      <c r="AR74" s="116">
        <f>SUM(AS74:AT74)</f>
        <v>64948</v>
      </c>
      <c r="AS74" s="81">
        <f>717+2593</f>
        <v>3310</v>
      </c>
      <c r="AT74" s="81">
        <f>64948-AS74</f>
        <v>61638</v>
      </c>
      <c r="AU74" s="116">
        <f>SUM(AV74:AW74)</f>
        <v>65774</v>
      </c>
      <c r="AV74" s="81">
        <v>3282</v>
      </c>
      <c r="AW74" s="81">
        <v>62492</v>
      </c>
      <c r="AX74" s="102"/>
      <c r="AY74" s="108">
        <f>AU74/AU13*100</f>
        <v>59.638401276657483</v>
      </c>
      <c r="AZ74" s="102"/>
      <c r="BA74" s="102"/>
    </row>
    <row r="75" spans="1:53" ht="9" customHeight="1" x14ac:dyDescent="0.2">
      <c r="A75" s="49"/>
      <c r="B75" s="50"/>
      <c r="C75" s="50"/>
      <c r="D75" s="50"/>
      <c r="E75" s="22"/>
      <c r="F75" s="22"/>
      <c r="G75" s="22"/>
      <c r="H75" s="22"/>
      <c r="I75" s="22"/>
      <c r="J75" s="22"/>
      <c r="K75" s="51"/>
      <c r="L75" s="51"/>
      <c r="M75" s="51"/>
      <c r="N75" s="58"/>
      <c r="O75" s="58"/>
      <c r="P75" s="58"/>
      <c r="Q75" s="58"/>
      <c r="R75" s="58"/>
      <c r="S75" s="58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4"/>
      <c r="AE75" s="114"/>
      <c r="AF75" s="113"/>
      <c r="AG75" s="114"/>
      <c r="AH75" s="114"/>
      <c r="AI75" s="113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</row>
    <row r="76" spans="1:53" x14ac:dyDescent="0.2">
      <c r="A76" s="10" t="s">
        <v>32</v>
      </c>
      <c r="B76" s="50"/>
      <c r="C76" s="50"/>
      <c r="D76" s="50"/>
      <c r="E76" s="22"/>
      <c r="F76" s="22"/>
      <c r="G76" s="22"/>
      <c r="H76" s="22"/>
      <c r="I76" s="22"/>
      <c r="J76" s="22"/>
      <c r="K76" s="51"/>
      <c r="L76" s="51"/>
      <c r="M76" s="51"/>
      <c r="N76" s="58"/>
      <c r="O76" s="58"/>
      <c r="P76" s="58"/>
      <c r="Q76" s="58"/>
      <c r="R76" s="58"/>
      <c r="S76" s="58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4"/>
      <c r="AE76" s="114"/>
      <c r="AF76" s="113"/>
      <c r="AG76" s="114"/>
      <c r="AH76" s="114"/>
      <c r="AI76" s="113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</row>
    <row r="77" spans="1:53" x14ac:dyDescent="0.2">
      <c r="A77" s="49" t="s">
        <v>12</v>
      </c>
      <c r="B77" s="50">
        <f t="shared" ref="B77:B90" si="64">C77+D77</f>
        <v>1411</v>
      </c>
      <c r="C77" s="50">
        <v>443</v>
      </c>
      <c r="D77" s="50">
        <v>968</v>
      </c>
      <c r="E77" s="22">
        <f t="shared" ref="E77:E91" si="65">SUM(F77:H77)</f>
        <v>2258</v>
      </c>
      <c r="F77" s="50">
        <v>0</v>
      </c>
      <c r="G77" s="22">
        <v>859</v>
      </c>
      <c r="H77" s="22">
        <f t="shared" ref="H77:H91" si="66">SUM(I77:J77)</f>
        <v>1399</v>
      </c>
      <c r="I77" s="22">
        <v>641</v>
      </c>
      <c r="J77" s="22">
        <v>758</v>
      </c>
      <c r="K77" s="51">
        <f t="shared" ref="K77:K90" si="67">SUM(L77:M77)</f>
        <v>1656</v>
      </c>
      <c r="L77" s="51">
        <v>528</v>
      </c>
      <c r="M77" s="51">
        <v>1128</v>
      </c>
      <c r="N77" s="58">
        <f t="shared" ref="N77:N90" si="68">SUM(O77:P77)</f>
        <v>1718</v>
      </c>
      <c r="O77" s="58">
        <v>504</v>
      </c>
      <c r="P77" s="58">
        <v>1214</v>
      </c>
      <c r="Q77" s="97">
        <f t="shared" ref="Q77:Q90" si="69">SUM(R77:S77)</f>
        <v>1965</v>
      </c>
      <c r="R77" s="58">
        <v>642</v>
      </c>
      <c r="S77" s="58">
        <v>1323</v>
      </c>
      <c r="T77" s="53" t="s">
        <v>13</v>
      </c>
      <c r="U77" s="53" t="s">
        <v>13</v>
      </c>
      <c r="V77" s="53" t="s">
        <v>13</v>
      </c>
      <c r="W77" s="53">
        <f t="shared" ref="W77:W90" si="70">SUM(X77:Y77)</f>
        <v>1996</v>
      </c>
      <c r="X77" s="53">
        <v>620</v>
      </c>
      <c r="Y77" s="53">
        <v>1376</v>
      </c>
      <c r="Z77" s="53">
        <f t="shared" ref="Z77:Z90" si="71">SUM(AA77:AB77)</f>
        <v>2518</v>
      </c>
      <c r="AA77" s="53">
        <v>951</v>
      </c>
      <c r="AB77" s="53">
        <v>1567</v>
      </c>
      <c r="AC77" s="53">
        <f t="shared" ref="AC77:AC90" si="72">SUM(AD77:AE77)</f>
        <v>2762</v>
      </c>
      <c r="AD77" s="53">
        <v>1064</v>
      </c>
      <c r="AE77" s="53">
        <v>1698</v>
      </c>
      <c r="AF77" s="53">
        <f t="shared" ref="AF77:AF90" si="73">SUM(AG77:AH77)</f>
        <v>2987</v>
      </c>
      <c r="AG77" s="53">
        <v>1254</v>
      </c>
      <c r="AH77" s="53">
        <v>1733</v>
      </c>
      <c r="AI77" s="53">
        <f t="shared" ref="AI77:AI90" si="74">SUM(AJ77:AK77)</f>
        <v>4910</v>
      </c>
      <c r="AJ77" s="53">
        <v>3063</v>
      </c>
      <c r="AK77" s="53">
        <v>1847</v>
      </c>
      <c r="AL77" s="113">
        <f>SUM(AM77:AN77)</f>
        <v>6474</v>
      </c>
      <c r="AM77" s="53">
        <v>4706</v>
      </c>
      <c r="AN77" s="53">
        <v>1768</v>
      </c>
      <c r="AO77" s="113">
        <f>SUM(AP77:AQ77)</f>
        <v>9332</v>
      </c>
      <c r="AP77" s="53">
        <v>7383</v>
      </c>
      <c r="AQ77" s="53">
        <v>1949</v>
      </c>
      <c r="AR77" s="113">
        <f>SUM(AS77:AT77)</f>
        <v>8915</v>
      </c>
      <c r="AS77" s="53">
        <v>6934</v>
      </c>
      <c r="AT77" s="53">
        <v>1981</v>
      </c>
      <c r="AU77" s="113">
        <f>SUM(AV77:AW77)</f>
        <v>8793</v>
      </c>
      <c r="AV77" s="53">
        <v>7178</v>
      </c>
      <c r="AW77" s="53">
        <v>1615</v>
      </c>
    </row>
    <row r="78" spans="1:53" s="80" customFormat="1" x14ac:dyDescent="0.2">
      <c r="A78" s="10" t="s">
        <v>14</v>
      </c>
      <c r="B78" s="78">
        <f t="shared" si="64"/>
        <v>59387</v>
      </c>
      <c r="C78" s="78">
        <v>54547</v>
      </c>
      <c r="D78" s="78">
        <v>4840</v>
      </c>
      <c r="E78" s="79">
        <f t="shared" si="65"/>
        <v>115155</v>
      </c>
      <c r="F78" s="77">
        <v>53003</v>
      </c>
      <c r="G78" s="79">
        <v>4806</v>
      </c>
      <c r="H78" s="79">
        <f t="shared" si="66"/>
        <v>57346</v>
      </c>
      <c r="I78" s="79">
        <v>52675</v>
      </c>
      <c r="J78" s="79">
        <v>4671</v>
      </c>
      <c r="K78" s="77">
        <f t="shared" si="67"/>
        <v>56266</v>
      </c>
      <c r="L78" s="77">
        <v>51831</v>
      </c>
      <c r="M78" s="77">
        <v>4435</v>
      </c>
      <c r="N78" s="91">
        <f t="shared" si="68"/>
        <v>56020</v>
      </c>
      <c r="O78" s="91">
        <v>51643</v>
      </c>
      <c r="P78" s="91">
        <v>4377</v>
      </c>
      <c r="Q78" s="99">
        <f t="shared" si="69"/>
        <v>55289</v>
      </c>
      <c r="R78" s="91">
        <f>SUM(R79:R84)</f>
        <v>50842</v>
      </c>
      <c r="S78" s="91">
        <f>SUM(S79:S84)</f>
        <v>4447</v>
      </c>
      <c r="T78" s="81">
        <f t="shared" ref="T78:T90" si="75">SUM(U78:V78)</f>
        <v>49869</v>
      </c>
      <c r="U78" s="115">
        <f>SUM(U79:U84)</f>
        <v>49869</v>
      </c>
      <c r="V78" s="81" t="s">
        <v>13</v>
      </c>
      <c r="W78" s="81">
        <f t="shared" si="70"/>
        <v>52824</v>
      </c>
      <c r="X78" s="115">
        <f>SUM(X79:X84)</f>
        <v>48598</v>
      </c>
      <c r="Y78" s="115">
        <f>SUM(Y79:Y84)</f>
        <v>4226</v>
      </c>
      <c r="Z78" s="81">
        <f t="shared" si="71"/>
        <v>53312</v>
      </c>
      <c r="AA78" s="115">
        <f>SUM(AA79:AA84)</f>
        <v>48905</v>
      </c>
      <c r="AB78" s="115">
        <f>SUM(AB79:AB84)</f>
        <v>4407</v>
      </c>
      <c r="AC78" s="81">
        <f t="shared" si="72"/>
        <v>53549</v>
      </c>
      <c r="AD78" s="115">
        <f>SUM(AD79:AD84)</f>
        <v>48816</v>
      </c>
      <c r="AE78" s="115">
        <f>SUM(AE79:AE84)</f>
        <v>4733</v>
      </c>
      <c r="AF78" s="81">
        <f t="shared" si="73"/>
        <v>53419</v>
      </c>
      <c r="AG78" s="115">
        <v>48583</v>
      </c>
      <c r="AH78" s="115">
        <v>4836</v>
      </c>
      <c r="AI78" s="81">
        <f t="shared" si="74"/>
        <v>53486</v>
      </c>
      <c r="AJ78" s="115">
        <f>SUM(AJ79:AJ84)</f>
        <v>48541</v>
      </c>
      <c r="AK78" s="115">
        <v>4945</v>
      </c>
      <c r="AL78" s="115">
        <f>SUM(AM78:AN78)</f>
        <v>53355</v>
      </c>
      <c r="AM78" s="115">
        <f>SUM(AM79:AM84)</f>
        <v>48290</v>
      </c>
      <c r="AN78" s="115">
        <f>SUM(AN79:AN84)</f>
        <v>5065</v>
      </c>
      <c r="AO78" s="115">
        <f>SUM(AP78:AQ78)</f>
        <v>53074</v>
      </c>
      <c r="AP78" s="115">
        <f>SUM(AP79:AP84)</f>
        <v>47781</v>
      </c>
      <c r="AQ78" s="115">
        <f>SUM(AQ79:AQ84)</f>
        <v>5293</v>
      </c>
      <c r="AR78" s="115">
        <f>SUM(AS78:AT78)</f>
        <v>52780</v>
      </c>
      <c r="AS78" s="115">
        <v>47323</v>
      </c>
      <c r="AT78" s="115">
        <v>5457</v>
      </c>
      <c r="AU78" s="115">
        <f>SUM(AV78:AW78)</f>
        <v>53025</v>
      </c>
      <c r="AV78" s="115">
        <v>47362</v>
      </c>
      <c r="AW78" s="115">
        <v>5663</v>
      </c>
      <c r="AX78" s="102"/>
      <c r="AY78" s="108"/>
      <c r="AZ78" s="102"/>
      <c r="BA78" s="102"/>
    </row>
    <row r="79" spans="1:53" x14ac:dyDescent="0.2">
      <c r="A79" s="49" t="s">
        <v>19</v>
      </c>
      <c r="B79" s="50">
        <f t="shared" si="64"/>
        <v>11506</v>
      </c>
      <c r="C79" s="50">
        <v>10579</v>
      </c>
      <c r="D79" s="50">
        <v>927</v>
      </c>
      <c r="E79" s="22">
        <f t="shared" si="65"/>
        <v>21878</v>
      </c>
      <c r="F79" s="22">
        <v>10256</v>
      </c>
      <c r="G79" s="22">
        <v>865</v>
      </c>
      <c r="H79" s="22">
        <f t="shared" si="66"/>
        <v>10757</v>
      </c>
      <c r="I79" s="22">
        <v>9956</v>
      </c>
      <c r="J79" s="22">
        <v>801</v>
      </c>
      <c r="K79" s="51">
        <f t="shared" si="67"/>
        <v>10743</v>
      </c>
      <c r="L79" s="51">
        <v>9938</v>
      </c>
      <c r="M79" s="51">
        <v>805</v>
      </c>
      <c r="N79" s="59">
        <f t="shared" si="68"/>
        <v>10717</v>
      </c>
      <c r="O79" s="59">
        <v>9880</v>
      </c>
      <c r="P79" s="59">
        <v>837</v>
      </c>
      <c r="Q79" s="97">
        <f t="shared" si="69"/>
        <v>10348</v>
      </c>
      <c r="R79" s="59">
        <v>9463</v>
      </c>
      <c r="S79" s="59">
        <v>885</v>
      </c>
      <c r="T79" s="53">
        <f t="shared" si="75"/>
        <v>9690</v>
      </c>
      <c r="U79" s="113">
        <f>5265+4425</f>
        <v>9690</v>
      </c>
      <c r="V79" s="53" t="s">
        <v>13</v>
      </c>
      <c r="W79" s="53">
        <f t="shared" si="70"/>
        <v>10428</v>
      </c>
      <c r="X79" s="113">
        <v>9664</v>
      </c>
      <c r="Y79" s="53">
        <v>764</v>
      </c>
      <c r="Z79" s="53">
        <f t="shared" si="71"/>
        <v>10788</v>
      </c>
      <c r="AA79" s="113">
        <v>9864</v>
      </c>
      <c r="AB79" s="53">
        <v>924</v>
      </c>
      <c r="AC79" s="53">
        <f t="shared" si="72"/>
        <v>10964</v>
      </c>
      <c r="AD79" s="114">
        <v>10021</v>
      </c>
      <c r="AE79" s="53">
        <v>943</v>
      </c>
      <c r="AF79" s="53">
        <f t="shared" si="73"/>
        <v>9960</v>
      </c>
      <c r="AG79" s="114">
        <v>9960</v>
      </c>
      <c r="AH79" s="53" t="s">
        <v>13</v>
      </c>
      <c r="AI79" s="53">
        <f t="shared" si="74"/>
        <v>9760</v>
      </c>
      <c r="AJ79" s="114">
        <f>[1]Elem!$C$13+[1]Elem!$D$13</f>
        <v>9760</v>
      </c>
      <c r="AK79" s="53" t="s">
        <v>13</v>
      </c>
      <c r="AL79" s="113">
        <f t="shared" ref="AL79:AL84" si="76">SUM(AM79:AN79)</f>
        <v>10886</v>
      </c>
      <c r="AM79" s="53">
        <v>9856</v>
      </c>
      <c r="AN79" s="53">
        <v>1030</v>
      </c>
      <c r="AO79" s="113">
        <f t="shared" ref="AO79:AO84" si="77">SUM(AP79:AQ79)</f>
        <v>10555</v>
      </c>
      <c r="AP79" s="53">
        <v>9429</v>
      </c>
      <c r="AQ79" s="53">
        <v>1126</v>
      </c>
      <c r="AR79" s="113">
        <f t="shared" ref="AR79:AR90" si="78">SUM(AS79:AT79)</f>
        <v>10372</v>
      </c>
      <c r="AS79" s="53">
        <v>9259</v>
      </c>
      <c r="AT79" s="113">
        <v>1113</v>
      </c>
      <c r="AU79" s="113" t="s">
        <v>13</v>
      </c>
      <c r="AV79" s="113" t="s">
        <v>13</v>
      </c>
      <c r="AW79" s="113" t="s">
        <v>13</v>
      </c>
    </row>
    <row r="80" spans="1:53" x14ac:dyDescent="0.2">
      <c r="A80" s="49" t="s">
        <v>20</v>
      </c>
      <c r="B80" s="50">
        <f t="shared" si="64"/>
        <v>11332</v>
      </c>
      <c r="C80" s="50">
        <v>10492</v>
      </c>
      <c r="D80" s="50">
        <v>840</v>
      </c>
      <c r="E80" s="22">
        <f t="shared" si="65"/>
        <v>19112</v>
      </c>
      <c r="F80" s="22">
        <v>8821</v>
      </c>
      <c r="G80" s="22">
        <v>792</v>
      </c>
      <c r="H80" s="22">
        <f t="shared" si="66"/>
        <v>9499</v>
      </c>
      <c r="I80" s="22">
        <v>8743</v>
      </c>
      <c r="J80" s="22">
        <v>756</v>
      </c>
      <c r="K80" s="51">
        <f t="shared" si="67"/>
        <v>9454</v>
      </c>
      <c r="L80" s="51">
        <v>8661</v>
      </c>
      <c r="M80" s="51">
        <v>793</v>
      </c>
      <c r="N80" s="59">
        <f t="shared" si="68"/>
        <v>9558</v>
      </c>
      <c r="O80" s="59">
        <v>8822</v>
      </c>
      <c r="P80" s="59">
        <v>736</v>
      </c>
      <c r="Q80" s="97">
        <f t="shared" si="69"/>
        <v>9351</v>
      </c>
      <c r="R80" s="59">
        <v>8571</v>
      </c>
      <c r="S80" s="59">
        <v>780</v>
      </c>
      <c r="T80" s="53">
        <f t="shared" si="75"/>
        <v>8033</v>
      </c>
      <c r="U80" s="113">
        <f>4243+3790</f>
        <v>8033</v>
      </c>
      <c r="V80" s="53" t="s">
        <v>13</v>
      </c>
      <c r="W80" s="53">
        <f t="shared" si="70"/>
        <v>8950</v>
      </c>
      <c r="X80" s="113">
        <v>8167</v>
      </c>
      <c r="Y80" s="53">
        <v>783</v>
      </c>
      <c r="Z80" s="53">
        <f t="shared" si="71"/>
        <v>9151</v>
      </c>
      <c r="AA80" s="113">
        <v>8405</v>
      </c>
      <c r="AB80" s="53">
        <v>746</v>
      </c>
      <c r="AC80" s="53">
        <f t="shared" si="72"/>
        <v>9405</v>
      </c>
      <c r="AD80" s="114">
        <v>8525</v>
      </c>
      <c r="AE80" s="53">
        <v>880</v>
      </c>
      <c r="AF80" s="53">
        <f t="shared" si="73"/>
        <v>8558</v>
      </c>
      <c r="AG80" s="114">
        <v>8558</v>
      </c>
      <c r="AH80" s="53" t="s">
        <v>13</v>
      </c>
      <c r="AI80" s="53">
        <f t="shared" si="74"/>
        <v>8444</v>
      </c>
      <c r="AJ80" s="114">
        <f>[1]Elem!$E$13+[1]Elem!$F$13</f>
        <v>8444</v>
      </c>
      <c r="AK80" s="53" t="s">
        <v>13</v>
      </c>
      <c r="AL80" s="113">
        <f t="shared" si="76"/>
        <v>9075</v>
      </c>
      <c r="AM80" s="53">
        <v>8151</v>
      </c>
      <c r="AN80" s="53">
        <v>924</v>
      </c>
      <c r="AO80" s="113">
        <f t="shared" si="77"/>
        <v>9341</v>
      </c>
      <c r="AP80" s="53">
        <v>8377</v>
      </c>
      <c r="AQ80" s="53">
        <v>964</v>
      </c>
      <c r="AR80" s="113">
        <f t="shared" si="78"/>
        <v>9261</v>
      </c>
      <c r="AS80" s="53">
        <v>8202</v>
      </c>
      <c r="AT80" s="113">
        <v>1059</v>
      </c>
      <c r="AU80" s="113" t="s">
        <v>13</v>
      </c>
      <c r="AV80" s="113" t="s">
        <v>13</v>
      </c>
      <c r="AW80" s="113" t="s">
        <v>13</v>
      </c>
    </row>
    <row r="81" spans="1:53" x14ac:dyDescent="0.2">
      <c r="A81" s="49" t="s">
        <v>21</v>
      </c>
      <c r="B81" s="50">
        <f t="shared" si="64"/>
        <v>9976</v>
      </c>
      <c r="C81" s="50">
        <v>9224</v>
      </c>
      <c r="D81" s="50">
        <v>752</v>
      </c>
      <c r="E81" s="22">
        <f t="shared" si="65"/>
        <v>18822</v>
      </c>
      <c r="F81" s="22">
        <v>8761</v>
      </c>
      <c r="G81" s="22">
        <v>749</v>
      </c>
      <c r="H81" s="22">
        <f t="shared" si="66"/>
        <v>9312</v>
      </c>
      <c r="I81" s="22">
        <v>8577</v>
      </c>
      <c r="J81" s="22">
        <v>735</v>
      </c>
      <c r="K81" s="51">
        <f t="shared" si="67"/>
        <v>9241</v>
      </c>
      <c r="L81" s="51">
        <v>8513</v>
      </c>
      <c r="M81" s="51">
        <v>728</v>
      </c>
      <c r="N81" s="59">
        <f t="shared" si="68"/>
        <v>9110</v>
      </c>
      <c r="O81" s="59">
        <v>8384</v>
      </c>
      <c r="P81" s="59">
        <v>726</v>
      </c>
      <c r="Q81" s="97">
        <f t="shared" si="69"/>
        <v>9275</v>
      </c>
      <c r="R81" s="59">
        <v>8569</v>
      </c>
      <c r="S81" s="59">
        <v>706</v>
      </c>
      <c r="T81" s="53">
        <f t="shared" si="75"/>
        <v>8346</v>
      </c>
      <c r="U81" s="113">
        <f>4400+3946</f>
        <v>8346</v>
      </c>
      <c r="V81" s="53" t="s">
        <v>13</v>
      </c>
      <c r="W81" s="53">
        <f t="shared" si="70"/>
        <v>8462</v>
      </c>
      <c r="X81" s="113">
        <v>7728</v>
      </c>
      <c r="Y81" s="53">
        <v>734</v>
      </c>
      <c r="Z81" s="53">
        <f t="shared" si="71"/>
        <v>8769</v>
      </c>
      <c r="AA81" s="113">
        <v>7996</v>
      </c>
      <c r="AB81" s="53">
        <v>773</v>
      </c>
      <c r="AC81" s="53">
        <f t="shared" si="72"/>
        <v>8849</v>
      </c>
      <c r="AD81" s="114">
        <v>8097</v>
      </c>
      <c r="AE81" s="53">
        <v>752</v>
      </c>
      <c r="AF81" s="53">
        <f t="shared" si="73"/>
        <v>7962</v>
      </c>
      <c r="AG81" s="114">
        <v>7962</v>
      </c>
      <c r="AH81" s="53" t="s">
        <v>13</v>
      </c>
      <c r="AI81" s="53">
        <f t="shared" si="74"/>
        <v>8160</v>
      </c>
      <c r="AJ81" s="114">
        <f>[1]Elem!$G$13+[1]Elem!$H$13</f>
        <v>8160</v>
      </c>
      <c r="AK81" s="53" t="s">
        <v>13</v>
      </c>
      <c r="AL81" s="113">
        <f t="shared" si="76"/>
        <v>8857</v>
      </c>
      <c r="AM81" s="53">
        <v>7973</v>
      </c>
      <c r="AN81" s="53">
        <v>884</v>
      </c>
      <c r="AO81" s="113">
        <f t="shared" si="77"/>
        <v>8588</v>
      </c>
      <c r="AP81" s="53">
        <v>7731</v>
      </c>
      <c r="AQ81" s="53">
        <v>857</v>
      </c>
      <c r="AR81" s="113">
        <f t="shared" si="78"/>
        <v>8852</v>
      </c>
      <c r="AS81" s="53">
        <v>7918</v>
      </c>
      <c r="AT81" s="113">
        <v>934</v>
      </c>
      <c r="AU81" s="113" t="s">
        <v>13</v>
      </c>
      <c r="AV81" s="113" t="s">
        <v>13</v>
      </c>
      <c r="AW81" s="113" t="s">
        <v>13</v>
      </c>
    </row>
    <row r="82" spans="1:53" x14ac:dyDescent="0.2">
      <c r="A82" s="49" t="s">
        <v>22</v>
      </c>
      <c r="B82" s="50">
        <f t="shared" si="64"/>
        <v>10439</v>
      </c>
      <c r="C82" s="50">
        <v>9371</v>
      </c>
      <c r="D82" s="50">
        <v>1068</v>
      </c>
      <c r="E82" s="22">
        <f t="shared" si="65"/>
        <v>18882</v>
      </c>
      <c r="F82" s="22">
        <v>8828</v>
      </c>
      <c r="G82" s="22">
        <v>717</v>
      </c>
      <c r="H82" s="22">
        <f t="shared" si="66"/>
        <v>9337</v>
      </c>
      <c r="I82" s="22">
        <v>8619</v>
      </c>
      <c r="J82" s="22">
        <v>718</v>
      </c>
      <c r="K82" s="51">
        <f t="shared" si="67"/>
        <v>9080</v>
      </c>
      <c r="L82" s="51">
        <v>8345</v>
      </c>
      <c r="M82" s="51">
        <v>735</v>
      </c>
      <c r="N82" s="59">
        <f t="shared" si="68"/>
        <v>9177</v>
      </c>
      <c r="O82" s="59">
        <v>8470</v>
      </c>
      <c r="P82" s="59">
        <v>707</v>
      </c>
      <c r="Q82" s="97">
        <f t="shared" si="69"/>
        <v>9055</v>
      </c>
      <c r="R82" s="59">
        <v>8328</v>
      </c>
      <c r="S82" s="59">
        <v>727</v>
      </c>
      <c r="T82" s="53">
        <f t="shared" si="75"/>
        <v>8320</v>
      </c>
      <c r="U82" s="113">
        <f>4379+3941</f>
        <v>8320</v>
      </c>
      <c r="V82" s="53" t="s">
        <v>13</v>
      </c>
      <c r="W82" s="53">
        <f t="shared" si="70"/>
        <v>8671</v>
      </c>
      <c r="X82" s="113">
        <v>7993</v>
      </c>
      <c r="Y82" s="53">
        <v>678</v>
      </c>
      <c r="Z82" s="53">
        <f t="shared" si="71"/>
        <v>8289</v>
      </c>
      <c r="AA82" s="113">
        <v>7580</v>
      </c>
      <c r="AB82" s="53">
        <v>709</v>
      </c>
      <c r="AC82" s="53">
        <f t="shared" si="72"/>
        <v>8495</v>
      </c>
      <c r="AD82" s="114">
        <v>7689</v>
      </c>
      <c r="AE82" s="53">
        <v>806</v>
      </c>
      <c r="AF82" s="53">
        <f t="shared" si="73"/>
        <v>7789</v>
      </c>
      <c r="AG82" s="114">
        <v>7789</v>
      </c>
      <c r="AH82" s="53" t="s">
        <v>13</v>
      </c>
      <c r="AI82" s="53">
        <f t="shared" si="74"/>
        <v>7810</v>
      </c>
      <c r="AJ82" s="114">
        <f>[1]Elem!$I$13+[1]Elem!$J$13</f>
        <v>7810</v>
      </c>
      <c r="AK82" s="53" t="s">
        <v>13</v>
      </c>
      <c r="AL82" s="113">
        <f t="shared" si="76"/>
        <v>8608</v>
      </c>
      <c r="AM82" s="53">
        <v>7829</v>
      </c>
      <c r="AN82" s="53">
        <v>779</v>
      </c>
      <c r="AO82" s="113">
        <f t="shared" si="77"/>
        <v>8564</v>
      </c>
      <c r="AP82" s="53">
        <v>7693</v>
      </c>
      <c r="AQ82" s="53">
        <v>871</v>
      </c>
      <c r="AR82" s="113">
        <f t="shared" si="78"/>
        <v>8278</v>
      </c>
      <c r="AS82" s="53">
        <v>7465</v>
      </c>
      <c r="AT82" s="113">
        <v>813</v>
      </c>
      <c r="AU82" s="113" t="s">
        <v>13</v>
      </c>
      <c r="AV82" s="113" t="s">
        <v>13</v>
      </c>
      <c r="AW82" s="113" t="s">
        <v>13</v>
      </c>
    </row>
    <row r="83" spans="1:53" x14ac:dyDescent="0.2">
      <c r="A83" s="49" t="s">
        <v>23</v>
      </c>
      <c r="B83" s="50">
        <f t="shared" si="64"/>
        <v>8786</v>
      </c>
      <c r="C83" s="50">
        <v>8081</v>
      </c>
      <c r="D83" s="50">
        <v>705</v>
      </c>
      <c r="E83" s="22">
        <f t="shared" si="65"/>
        <v>19064</v>
      </c>
      <c r="F83" s="22">
        <v>8895</v>
      </c>
      <c r="G83" s="22">
        <v>1005</v>
      </c>
      <c r="H83" s="22">
        <f t="shared" si="66"/>
        <v>9164</v>
      </c>
      <c r="I83" s="22">
        <v>8481</v>
      </c>
      <c r="J83" s="22">
        <v>683</v>
      </c>
      <c r="K83" s="51">
        <f t="shared" si="67"/>
        <v>9132</v>
      </c>
      <c r="L83" s="51">
        <v>8428</v>
      </c>
      <c r="M83" s="51">
        <v>704</v>
      </c>
      <c r="N83" s="59">
        <f t="shared" si="68"/>
        <v>8939</v>
      </c>
      <c r="O83" s="59">
        <v>8243</v>
      </c>
      <c r="P83" s="59">
        <v>696</v>
      </c>
      <c r="Q83" s="97">
        <f t="shared" si="69"/>
        <v>8886</v>
      </c>
      <c r="R83" s="59">
        <v>8224</v>
      </c>
      <c r="S83" s="59">
        <v>662</v>
      </c>
      <c r="T83" s="53">
        <f t="shared" si="75"/>
        <v>8004</v>
      </c>
      <c r="U83" s="113">
        <f>4059+3945</f>
        <v>8004</v>
      </c>
      <c r="V83" s="53" t="s">
        <v>13</v>
      </c>
      <c r="W83" s="53">
        <f t="shared" si="70"/>
        <v>8559</v>
      </c>
      <c r="X83" s="113">
        <v>7923</v>
      </c>
      <c r="Y83" s="53">
        <v>636</v>
      </c>
      <c r="Z83" s="53">
        <f t="shared" si="71"/>
        <v>8420</v>
      </c>
      <c r="AA83" s="113">
        <v>7768</v>
      </c>
      <c r="AB83" s="53">
        <v>652</v>
      </c>
      <c r="AC83" s="53">
        <f t="shared" si="72"/>
        <v>8091</v>
      </c>
      <c r="AD83" s="114">
        <v>7391</v>
      </c>
      <c r="AE83" s="53">
        <v>700</v>
      </c>
      <c r="AF83" s="53">
        <f t="shared" si="73"/>
        <v>7423</v>
      </c>
      <c r="AG83" s="114">
        <v>7423</v>
      </c>
      <c r="AH83" s="53" t="s">
        <v>13</v>
      </c>
      <c r="AI83" s="53">
        <f t="shared" si="74"/>
        <v>7501</v>
      </c>
      <c r="AJ83" s="114">
        <f>[1]Elem!$K$13+[1]Elem!$L$13</f>
        <v>7501</v>
      </c>
      <c r="AK83" s="53" t="s">
        <v>13</v>
      </c>
      <c r="AL83" s="113">
        <f t="shared" si="76"/>
        <v>8270</v>
      </c>
      <c r="AM83" s="53">
        <v>7494</v>
      </c>
      <c r="AN83" s="53">
        <v>776</v>
      </c>
      <c r="AO83" s="113">
        <f t="shared" si="77"/>
        <v>8308</v>
      </c>
      <c r="AP83" s="53">
        <v>7573</v>
      </c>
      <c r="AQ83" s="53">
        <v>735</v>
      </c>
      <c r="AR83" s="113">
        <f t="shared" si="78"/>
        <v>8174</v>
      </c>
      <c r="AS83" s="53">
        <v>7343</v>
      </c>
      <c r="AT83" s="113">
        <v>831</v>
      </c>
      <c r="AU83" s="113" t="s">
        <v>13</v>
      </c>
      <c r="AV83" s="113" t="s">
        <v>13</v>
      </c>
      <c r="AW83" s="113" t="s">
        <v>13</v>
      </c>
    </row>
    <row r="84" spans="1:53" x14ac:dyDescent="0.2">
      <c r="A84" s="49" t="s">
        <v>24</v>
      </c>
      <c r="B84" s="50">
        <f t="shared" si="64"/>
        <v>7370</v>
      </c>
      <c r="C84" s="50">
        <v>6800</v>
      </c>
      <c r="D84" s="50">
        <v>570</v>
      </c>
      <c r="E84" s="22">
        <f t="shared" si="65"/>
        <v>17397</v>
      </c>
      <c r="F84" s="22">
        <v>7442</v>
      </c>
      <c r="G84" s="22">
        <v>678</v>
      </c>
      <c r="H84" s="22">
        <f t="shared" si="66"/>
        <v>9277</v>
      </c>
      <c r="I84" s="22">
        <v>8299</v>
      </c>
      <c r="J84" s="22">
        <v>978</v>
      </c>
      <c r="K84" s="51">
        <f t="shared" si="67"/>
        <v>8616</v>
      </c>
      <c r="L84" s="51">
        <v>7946</v>
      </c>
      <c r="M84" s="51">
        <v>670</v>
      </c>
      <c r="N84" s="59">
        <f t="shared" si="68"/>
        <v>8519</v>
      </c>
      <c r="O84" s="59">
        <v>7844</v>
      </c>
      <c r="P84" s="59">
        <v>675</v>
      </c>
      <c r="Q84" s="97">
        <f t="shared" si="69"/>
        <v>8374</v>
      </c>
      <c r="R84" s="59">
        <v>7687</v>
      </c>
      <c r="S84" s="59">
        <v>687</v>
      </c>
      <c r="T84" s="53">
        <f t="shared" si="75"/>
        <v>7476</v>
      </c>
      <c r="U84" s="113">
        <f>3671+3805</f>
        <v>7476</v>
      </c>
      <c r="V84" s="53" t="s">
        <v>13</v>
      </c>
      <c r="W84" s="53">
        <f t="shared" si="70"/>
        <v>7754</v>
      </c>
      <c r="X84" s="113">
        <v>7123</v>
      </c>
      <c r="Y84" s="53">
        <v>631</v>
      </c>
      <c r="Z84" s="53">
        <f t="shared" si="71"/>
        <v>7895</v>
      </c>
      <c r="AA84" s="113">
        <v>7292</v>
      </c>
      <c r="AB84" s="53">
        <v>603</v>
      </c>
      <c r="AC84" s="53">
        <f t="shared" si="72"/>
        <v>7745</v>
      </c>
      <c r="AD84" s="114">
        <v>7093</v>
      </c>
      <c r="AE84" s="53">
        <v>652</v>
      </c>
      <c r="AF84" s="53">
        <f t="shared" si="73"/>
        <v>6734</v>
      </c>
      <c r="AG84" s="114">
        <v>6734</v>
      </c>
      <c r="AH84" s="53" t="s">
        <v>13</v>
      </c>
      <c r="AI84" s="53">
        <f t="shared" si="74"/>
        <v>6866</v>
      </c>
      <c r="AJ84" s="114">
        <f>[1]Elem!$M$13+[1]Elem!$N$13</f>
        <v>6866</v>
      </c>
      <c r="AK84" s="53" t="s">
        <v>13</v>
      </c>
      <c r="AL84" s="113">
        <f t="shared" si="76"/>
        <v>7659</v>
      </c>
      <c r="AM84" s="53">
        <v>6987</v>
      </c>
      <c r="AN84" s="53">
        <v>672</v>
      </c>
      <c r="AO84" s="113">
        <f t="shared" si="77"/>
        <v>7718</v>
      </c>
      <c r="AP84" s="53">
        <v>6978</v>
      </c>
      <c r="AQ84" s="53">
        <v>740</v>
      </c>
      <c r="AR84" s="113">
        <f t="shared" si="78"/>
        <v>7843</v>
      </c>
      <c r="AS84" s="53">
        <v>7136</v>
      </c>
      <c r="AT84" s="113">
        <v>707</v>
      </c>
      <c r="AU84" s="113" t="s">
        <v>13</v>
      </c>
      <c r="AV84" s="113" t="s">
        <v>13</v>
      </c>
      <c r="AW84" s="113" t="s">
        <v>13</v>
      </c>
    </row>
    <row r="85" spans="1:53" s="80" customFormat="1" x14ac:dyDescent="0.2">
      <c r="A85" s="10" t="s">
        <v>15</v>
      </c>
      <c r="B85" s="78">
        <f t="shared" si="64"/>
        <v>22325</v>
      </c>
      <c r="C85" s="78">
        <v>15501</v>
      </c>
      <c r="D85" s="78">
        <v>6824</v>
      </c>
      <c r="E85" s="79">
        <f t="shared" si="65"/>
        <v>47151</v>
      </c>
      <c r="F85" s="79">
        <v>16304</v>
      </c>
      <c r="G85" s="79">
        <v>6813</v>
      </c>
      <c r="H85" s="79">
        <f t="shared" si="66"/>
        <v>24034</v>
      </c>
      <c r="I85" s="79">
        <v>16878</v>
      </c>
      <c r="J85" s="79">
        <v>7156</v>
      </c>
      <c r="K85" s="77">
        <f t="shared" si="67"/>
        <v>25531</v>
      </c>
      <c r="L85" s="77">
        <v>17778</v>
      </c>
      <c r="M85" s="77">
        <v>7753</v>
      </c>
      <c r="N85" s="91">
        <f t="shared" si="68"/>
        <v>26541</v>
      </c>
      <c r="O85" s="91">
        <v>18556</v>
      </c>
      <c r="P85" s="91">
        <v>7985</v>
      </c>
      <c r="Q85" s="99">
        <f t="shared" si="69"/>
        <v>27461</v>
      </c>
      <c r="R85" s="91">
        <f>SUM(R87:R90)</f>
        <v>19435</v>
      </c>
      <c r="S85" s="91">
        <f>SUM(S87:S90)</f>
        <v>8026</v>
      </c>
      <c r="T85" s="81">
        <f t="shared" si="75"/>
        <v>19320</v>
      </c>
      <c r="U85" s="115">
        <f>SUM(U86:U90)</f>
        <v>19320</v>
      </c>
      <c r="V85" s="81" t="s">
        <v>13</v>
      </c>
      <c r="W85" s="81">
        <f t="shared" si="70"/>
        <v>25911</v>
      </c>
      <c r="X85" s="115">
        <f>SUM(X86:X90)</f>
        <v>18534</v>
      </c>
      <c r="Y85" s="115">
        <f>SUM(Y86:Y90)</f>
        <v>7377</v>
      </c>
      <c r="Z85" s="81">
        <f t="shared" si="71"/>
        <v>23584</v>
      </c>
      <c r="AA85" s="115">
        <f>SUM(AA86:AA90)</f>
        <v>16137</v>
      </c>
      <c r="AB85" s="115">
        <f>SUM(AB86:AB90)</f>
        <v>7447</v>
      </c>
      <c r="AC85" s="81">
        <f t="shared" si="72"/>
        <v>25879</v>
      </c>
      <c r="AD85" s="115">
        <f>SUM(AD86:AD90)</f>
        <v>18334</v>
      </c>
      <c r="AE85" s="115">
        <f>SUM(AE86:AE90)</f>
        <v>7545</v>
      </c>
      <c r="AF85" s="81">
        <f t="shared" si="73"/>
        <v>26036</v>
      </c>
      <c r="AG85" s="115">
        <f>SUM(AG86:AG90)</f>
        <v>18699</v>
      </c>
      <c r="AH85" s="115">
        <v>7337</v>
      </c>
      <c r="AI85" s="81">
        <f t="shared" si="74"/>
        <v>25382</v>
      </c>
      <c r="AJ85" s="115">
        <f>SUM(AJ86:AJ90)</f>
        <v>18106</v>
      </c>
      <c r="AK85" s="115">
        <v>7276</v>
      </c>
      <c r="AL85" s="115">
        <f t="shared" ref="AL85:AL90" si="79">SUM(AM85:AN85)</f>
        <v>25251</v>
      </c>
      <c r="AM85" s="115">
        <f>SUM(AM86:AM90)</f>
        <v>18063</v>
      </c>
      <c r="AN85" s="115">
        <f>SUM(AN86:AN90)</f>
        <v>7188</v>
      </c>
      <c r="AO85" s="115">
        <f t="shared" ref="AO85:AO90" si="80">SUM(AP85:AQ85)</f>
        <v>24915</v>
      </c>
      <c r="AP85" s="115">
        <f>SUM(AP86:AP90)</f>
        <v>17768</v>
      </c>
      <c r="AQ85" s="115">
        <f>SUM(AQ86:AQ90)</f>
        <v>7147</v>
      </c>
      <c r="AR85" s="115">
        <f t="shared" si="78"/>
        <v>25670</v>
      </c>
      <c r="AS85" s="115">
        <v>18368</v>
      </c>
      <c r="AT85" s="115">
        <v>7302</v>
      </c>
      <c r="AU85" s="115">
        <f t="shared" ref="AU85:AU86" si="81">SUM(AV85:AW85)</f>
        <v>26442</v>
      </c>
      <c r="AV85" s="115">
        <v>18981</v>
      </c>
      <c r="AW85" s="115">
        <v>7461</v>
      </c>
      <c r="AX85" s="102"/>
      <c r="AY85" s="108"/>
      <c r="AZ85" s="102"/>
      <c r="BA85" s="102"/>
    </row>
    <row r="86" spans="1:53" x14ac:dyDescent="0.2">
      <c r="A86" s="52" t="s">
        <v>49</v>
      </c>
      <c r="B86" s="50" t="s">
        <v>51</v>
      </c>
      <c r="C86" s="50" t="s">
        <v>51</v>
      </c>
      <c r="D86" s="50" t="s">
        <v>51</v>
      </c>
      <c r="E86" s="50" t="s">
        <v>51</v>
      </c>
      <c r="F86" s="50" t="s">
        <v>51</v>
      </c>
      <c r="G86" s="50" t="s">
        <v>51</v>
      </c>
      <c r="H86" s="50" t="s">
        <v>51</v>
      </c>
      <c r="I86" s="50" t="s">
        <v>51</v>
      </c>
      <c r="J86" s="50" t="s">
        <v>51</v>
      </c>
      <c r="K86" s="50" t="s">
        <v>51</v>
      </c>
      <c r="L86" s="50" t="s">
        <v>51</v>
      </c>
      <c r="M86" s="50" t="s">
        <v>51</v>
      </c>
      <c r="N86" s="93" t="s">
        <v>51</v>
      </c>
      <c r="O86" s="93" t="s">
        <v>51</v>
      </c>
      <c r="P86" s="93" t="s">
        <v>51</v>
      </c>
      <c r="Q86" s="93" t="s">
        <v>51</v>
      </c>
      <c r="R86" s="93" t="s">
        <v>51</v>
      </c>
      <c r="S86" s="93" t="s">
        <v>51</v>
      </c>
      <c r="T86" s="53">
        <f t="shared" si="75"/>
        <v>144</v>
      </c>
      <c r="U86" s="113">
        <f>86+58</f>
        <v>144</v>
      </c>
      <c r="V86" s="53"/>
      <c r="W86" s="53">
        <f t="shared" si="70"/>
        <v>56</v>
      </c>
      <c r="X86" s="113">
        <v>56</v>
      </c>
      <c r="Y86" s="53">
        <v>0</v>
      </c>
      <c r="Z86" s="53">
        <f t="shared" si="71"/>
        <v>0</v>
      </c>
      <c r="AA86" s="113"/>
      <c r="AB86" s="53">
        <v>0</v>
      </c>
      <c r="AC86" s="53">
        <f t="shared" si="72"/>
        <v>0</v>
      </c>
      <c r="AD86" s="113">
        <v>0</v>
      </c>
      <c r="AE86" s="53">
        <v>0</v>
      </c>
      <c r="AF86" s="53">
        <f t="shared" si="73"/>
        <v>0</v>
      </c>
      <c r="AG86" s="113">
        <v>0</v>
      </c>
      <c r="AH86" s="53">
        <v>0</v>
      </c>
      <c r="AI86" s="53">
        <f t="shared" si="74"/>
        <v>0</v>
      </c>
      <c r="AJ86" s="113">
        <v>0</v>
      </c>
      <c r="AK86" s="53">
        <v>0</v>
      </c>
      <c r="AL86" s="113">
        <f t="shared" si="79"/>
        <v>0</v>
      </c>
      <c r="AM86" s="113"/>
      <c r="AN86" s="113"/>
      <c r="AO86" s="113">
        <f t="shared" si="80"/>
        <v>0</v>
      </c>
      <c r="AP86" s="113"/>
      <c r="AQ86" s="113"/>
      <c r="AR86" s="113">
        <f t="shared" si="78"/>
        <v>0</v>
      </c>
      <c r="AS86" s="113"/>
      <c r="AT86" s="113"/>
      <c r="AU86" s="113">
        <f t="shared" si="81"/>
        <v>0</v>
      </c>
      <c r="AV86" s="113"/>
      <c r="AW86" s="113"/>
    </row>
    <row r="87" spans="1:53" x14ac:dyDescent="0.2">
      <c r="A87" s="49" t="s">
        <v>25</v>
      </c>
      <c r="B87" s="50">
        <f t="shared" si="64"/>
        <v>6984</v>
      </c>
      <c r="C87" s="50">
        <v>4977</v>
      </c>
      <c r="D87" s="50">
        <f>978+1029</f>
        <v>2007</v>
      </c>
      <c r="E87" s="22">
        <f t="shared" si="65"/>
        <v>14760</v>
      </c>
      <c r="F87" s="22">
        <v>5070</v>
      </c>
      <c r="G87" s="22">
        <v>2016</v>
      </c>
      <c r="H87" s="22">
        <f t="shared" si="66"/>
        <v>7674</v>
      </c>
      <c r="I87" s="22">
        <v>5494</v>
      </c>
      <c r="J87" s="22">
        <v>2180</v>
      </c>
      <c r="K87" s="51">
        <f t="shared" si="67"/>
        <v>8695</v>
      </c>
      <c r="L87" s="51">
        <v>6047</v>
      </c>
      <c r="M87" s="51">
        <v>2648</v>
      </c>
      <c r="N87" s="59">
        <f t="shared" si="68"/>
        <v>8065</v>
      </c>
      <c r="O87" s="59">
        <v>5827</v>
      </c>
      <c r="P87" s="59">
        <v>2238</v>
      </c>
      <c r="Q87" s="97">
        <f t="shared" si="69"/>
        <v>7790</v>
      </c>
      <c r="R87" s="59">
        <v>5771</v>
      </c>
      <c r="S87" s="59">
        <v>2019</v>
      </c>
      <c r="T87" s="53">
        <f t="shared" si="75"/>
        <v>4965</v>
      </c>
      <c r="U87" s="113">
        <f>2493+2472</f>
        <v>4965</v>
      </c>
      <c r="V87" s="53" t="s">
        <v>13</v>
      </c>
      <c r="W87" s="53">
        <f t="shared" si="70"/>
        <v>7758</v>
      </c>
      <c r="X87" s="113">
        <v>5773</v>
      </c>
      <c r="Y87" s="53">
        <v>1985</v>
      </c>
      <c r="Z87" s="53">
        <f t="shared" si="71"/>
        <v>6665</v>
      </c>
      <c r="AA87" s="113">
        <v>4645</v>
      </c>
      <c r="AB87" s="53">
        <v>2020</v>
      </c>
      <c r="AC87" s="53">
        <f t="shared" si="72"/>
        <v>7488</v>
      </c>
      <c r="AD87" s="114">
        <v>5423</v>
      </c>
      <c r="AE87" s="53">
        <v>2065</v>
      </c>
      <c r="AF87" s="53">
        <f t="shared" si="73"/>
        <v>5271</v>
      </c>
      <c r="AG87" s="114">
        <v>5271</v>
      </c>
      <c r="AH87" s="113" t="s">
        <v>13</v>
      </c>
      <c r="AI87" s="53">
        <f t="shared" si="74"/>
        <v>5022</v>
      </c>
      <c r="AJ87" s="114">
        <f>[1]Sec!$C$13+[1]Sec!$D$13</f>
        <v>5022</v>
      </c>
      <c r="AK87" s="113" t="s">
        <v>13</v>
      </c>
      <c r="AL87" s="113">
        <f t="shared" si="79"/>
        <v>7227</v>
      </c>
      <c r="AM87" s="113">
        <v>5114</v>
      </c>
      <c r="AN87" s="113">
        <v>2113</v>
      </c>
      <c r="AO87" s="113">
        <f t="shared" si="80"/>
        <v>7242</v>
      </c>
      <c r="AP87" s="113">
        <v>5224</v>
      </c>
      <c r="AQ87" s="113">
        <v>2018</v>
      </c>
      <c r="AR87" s="113">
        <f t="shared" si="78"/>
        <v>7601</v>
      </c>
      <c r="AS87" s="113">
        <v>5516</v>
      </c>
      <c r="AT87" s="53">
        <v>2085</v>
      </c>
      <c r="AU87" s="113" t="s">
        <v>13</v>
      </c>
      <c r="AV87" s="113" t="s">
        <v>13</v>
      </c>
      <c r="AW87" s="113" t="s">
        <v>13</v>
      </c>
    </row>
    <row r="88" spans="1:53" x14ac:dyDescent="0.2">
      <c r="A88" s="49" t="s">
        <v>26</v>
      </c>
      <c r="B88" s="50">
        <f t="shared" si="64"/>
        <v>5934</v>
      </c>
      <c r="C88" s="50">
        <v>4188</v>
      </c>
      <c r="D88" s="50">
        <f>809+937</f>
        <v>1746</v>
      </c>
      <c r="E88" s="22">
        <f t="shared" si="65"/>
        <v>12012</v>
      </c>
      <c r="F88" s="22">
        <v>4273</v>
      </c>
      <c r="G88" s="22">
        <v>1692</v>
      </c>
      <c r="H88" s="22">
        <f t="shared" si="66"/>
        <v>6047</v>
      </c>
      <c r="I88" s="22">
        <v>4261</v>
      </c>
      <c r="J88" s="22">
        <v>1786</v>
      </c>
      <c r="K88" s="51">
        <f t="shared" si="67"/>
        <v>6587</v>
      </c>
      <c r="L88" s="51">
        <v>4618</v>
      </c>
      <c r="M88" s="51">
        <v>1969</v>
      </c>
      <c r="N88" s="59">
        <f t="shared" si="68"/>
        <v>7568</v>
      </c>
      <c r="O88" s="59">
        <v>5191</v>
      </c>
      <c r="P88" s="59">
        <v>2377</v>
      </c>
      <c r="Q88" s="97">
        <f t="shared" si="69"/>
        <v>7114</v>
      </c>
      <c r="R88" s="59">
        <v>5106</v>
      </c>
      <c r="S88" s="59">
        <v>2008</v>
      </c>
      <c r="T88" s="53">
        <f t="shared" si="75"/>
        <v>5159</v>
      </c>
      <c r="U88" s="113">
        <f>2509+2650</f>
        <v>5159</v>
      </c>
      <c r="V88" s="53" t="s">
        <v>13</v>
      </c>
      <c r="W88" s="53">
        <f t="shared" si="70"/>
        <v>6230</v>
      </c>
      <c r="X88" s="113">
        <v>4206</v>
      </c>
      <c r="Y88" s="53">
        <v>2024</v>
      </c>
      <c r="Z88" s="53">
        <f t="shared" si="71"/>
        <v>6376</v>
      </c>
      <c r="AA88" s="113">
        <v>4495</v>
      </c>
      <c r="AB88" s="53">
        <v>1881</v>
      </c>
      <c r="AC88" s="53">
        <f t="shared" si="72"/>
        <v>6664</v>
      </c>
      <c r="AD88" s="114">
        <v>4794</v>
      </c>
      <c r="AE88" s="53">
        <v>1870</v>
      </c>
      <c r="AF88" s="53">
        <f t="shared" si="73"/>
        <v>4856</v>
      </c>
      <c r="AG88" s="114">
        <v>4856</v>
      </c>
      <c r="AH88" s="113" t="s">
        <v>13</v>
      </c>
      <c r="AI88" s="53">
        <f t="shared" si="74"/>
        <v>4636</v>
      </c>
      <c r="AJ88" s="114">
        <f>[1]Sec!$E$13+[1]Sec!$F$13</f>
        <v>4636</v>
      </c>
      <c r="AK88" s="113" t="s">
        <v>13</v>
      </c>
      <c r="AL88" s="113">
        <f t="shared" si="79"/>
        <v>6340</v>
      </c>
      <c r="AM88" s="113">
        <v>4562</v>
      </c>
      <c r="AN88" s="113">
        <v>1778</v>
      </c>
      <c r="AO88" s="113">
        <f t="shared" si="80"/>
        <v>6436</v>
      </c>
      <c r="AP88" s="113">
        <v>4527</v>
      </c>
      <c r="AQ88" s="113">
        <v>1909</v>
      </c>
      <c r="AR88" s="113">
        <f t="shared" si="78"/>
        <v>6616</v>
      </c>
      <c r="AS88" s="113">
        <v>4745</v>
      </c>
      <c r="AT88" s="53">
        <v>1871</v>
      </c>
      <c r="AU88" s="113" t="s">
        <v>13</v>
      </c>
      <c r="AV88" s="113" t="s">
        <v>13</v>
      </c>
      <c r="AW88" s="113" t="s">
        <v>13</v>
      </c>
    </row>
    <row r="89" spans="1:53" x14ac:dyDescent="0.2">
      <c r="A89" s="49" t="s">
        <v>27</v>
      </c>
      <c r="B89" s="50">
        <f t="shared" si="64"/>
        <v>5078</v>
      </c>
      <c r="C89" s="50">
        <v>3472</v>
      </c>
      <c r="D89" s="50">
        <f>721+885</f>
        <v>1606</v>
      </c>
      <c r="E89" s="22">
        <f t="shared" si="65"/>
        <v>10779</v>
      </c>
      <c r="F89" s="22">
        <v>3773</v>
      </c>
      <c r="G89" s="22">
        <v>1617</v>
      </c>
      <c r="H89" s="22">
        <f t="shared" si="66"/>
        <v>5389</v>
      </c>
      <c r="I89" s="22">
        <v>3761</v>
      </c>
      <c r="J89" s="22">
        <v>1628</v>
      </c>
      <c r="K89" s="51">
        <f t="shared" si="67"/>
        <v>5390</v>
      </c>
      <c r="L89" s="51">
        <v>3747</v>
      </c>
      <c r="M89" s="51">
        <v>1643</v>
      </c>
      <c r="N89" s="59">
        <f t="shared" si="68"/>
        <v>5978</v>
      </c>
      <c r="O89" s="59">
        <v>4144</v>
      </c>
      <c r="P89" s="59">
        <v>1834</v>
      </c>
      <c r="Q89" s="97">
        <f t="shared" si="69"/>
        <v>7034</v>
      </c>
      <c r="R89" s="59">
        <v>4802</v>
      </c>
      <c r="S89" s="59">
        <v>2232</v>
      </c>
      <c r="T89" s="53">
        <f t="shared" si="75"/>
        <v>4681</v>
      </c>
      <c r="U89" s="113">
        <f>2087+2594</f>
        <v>4681</v>
      </c>
      <c r="V89" s="53" t="s">
        <v>13</v>
      </c>
      <c r="W89" s="53">
        <f t="shared" si="70"/>
        <v>6134</v>
      </c>
      <c r="X89" s="113">
        <v>4410</v>
      </c>
      <c r="Y89" s="53">
        <v>1724</v>
      </c>
      <c r="Z89" s="53">
        <f t="shared" si="71"/>
        <v>5294</v>
      </c>
      <c r="AA89" s="113">
        <v>3388</v>
      </c>
      <c r="AB89" s="53">
        <v>1906</v>
      </c>
      <c r="AC89" s="53">
        <f t="shared" si="72"/>
        <v>6434</v>
      </c>
      <c r="AD89" s="114">
        <v>4619</v>
      </c>
      <c r="AE89" s="53">
        <v>1815</v>
      </c>
      <c r="AF89" s="53">
        <f t="shared" si="73"/>
        <v>4352</v>
      </c>
      <c r="AG89" s="114">
        <v>4352</v>
      </c>
      <c r="AH89" s="113" t="s">
        <v>13</v>
      </c>
      <c r="AI89" s="53">
        <f t="shared" si="74"/>
        <v>4399</v>
      </c>
      <c r="AJ89" s="114">
        <f>[1]Sec!$G$13+[1]Sec!$H$13</f>
        <v>4399</v>
      </c>
      <c r="AK89" s="113" t="s">
        <v>13</v>
      </c>
      <c r="AL89" s="113">
        <f t="shared" si="79"/>
        <v>6017</v>
      </c>
      <c r="AM89" s="113">
        <v>4354</v>
      </c>
      <c r="AN89" s="113">
        <v>1663</v>
      </c>
      <c r="AO89" s="113">
        <f t="shared" si="80"/>
        <v>5811</v>
      </c>
      <c r="AP89" s="113">
        <v>4184</v>
      </c>
      <c r="AQ89" s="113">
        <v>1627</v>
      </c>
      <c r="AR89" s="113">
        <f t="shared" si="78"/>
        <v>6014</v>
      </c>
      <c r="AS89" s="113">
        <v>4228</v>
      </c>
      <c r="AT89" s="53">
        <v>1786</v>
      </c>
      <c r="AU89" s="113" t="s">
        <v>13</v>
      </c>
      <c r="AV89" s="113" t="s">
        <v>13</v>
      </c>
      <c r="AW89" s="113" t="s">
        <v>13</v>
      </c>
    </row>
    <row r="90" spans="1:53" x14ac:dyDescent="0.2">
      <c r="A90" s="49" t="s">
        <v>28</v>
      </c>
      <c r="B90" s="50">
        <f t="shared" si="64"/>
        <v>4329</v>
      </c>
      <c r="C90" s="50">
        <v>2864</v>
      </c>
      <c r="D90" s="50">
        <f>608+857</f>
        <v>1465</v>
      </c>
      <c r="E90" s="22">
        <f t="shared" si="65"/>
        <v>9656</v>
      </c>
      <c r="F90" s="22">
        <v>3188</v>
      </c>
      <c r="G90" s="22">
        <v>1488</v>
      </c>
      <c r="H90" s="22">
        <f t="shared" si="66"/>
        <v>4980</v>
      </c>
      <c r="I90" s="22">
        <v>3418</v>
      </c>
      <c r="J90" s="22">
        <v>1562</v>
      </c>
      <c r="K90" s="51">
        <f t="shared" si="67"/>
        <v>4770</v>
      </c>
      <c r="L90" s="51">
        <v>3277</v>
      </c>
      <c r="M90" s="51">
        <v>1493</v>
      </c>
      <c r="N90" s="59">
        <f t="shared" si="68"/>
        <v>4930</v>
      </c>
      <c r="O90" s="59">
        <v>3394</v>
      </c>
      <c r="P90" s="59">
        <v>1536</v>
      </c>
      <c r="Q90" s="97">
        <f t="shared" si="69"/>
        <v>5523</v>
      </c>
      <c r="R90" s="59">
        <v>3756</v>
      </c>
      <c r="S90" s="59">
        <v>1767</v>
      </c>
      <c r="T90" s="53">
        <f t="shared" si="75"/>
        <v>4371</v>
      </c>
      <c r="U90" s="113">
        <f>1843+2528</f>
        <v>4371</v>
      </c>
      <c r="V90" s="53" t="s">
        <v>13</v>
      </c>
      <c r="W90" s="53">
        <f t="shared" si="70"/>
        <v>5733</v>
      </c>
      <c r="X90" s="113">
        <v>4089</v>
      </c>
      <c r="Y90" s="53">
        <v>1644</v>
      </c>
      <c r="Z90" s="53">
        <f t="shared" si="71"/>
        <v>5249</v>
      </c>
      <c r="AA90" s="113">
        <v>3609</v>
      </c>
      <c r="AB90" s="53">
        <v>1640</v>
      </c>
      <c r="AC90" s="53">
        <f t="shared" si="72"/>
        <v>5293</v>
      </c>
      <c r="AD90" s="114">
        <v>3498</v>
      </c>
      <c r="AE90" s="53">
        <v>1795</v>
      </c>
      <c r="AF90" s="53">
        <f t="shared" si="73"/>
        <v>4220</v>
      </c>
      <c r="AG90" s="114">
        <v>4220</v>
      </c>
      <c r="AH90" s="113" t="s">
        <v>13</v>
      </c>
      <c r="AI90" s="53">
        <f t="shared" si="74"/>
        <v>4049</v>
      </c>
      <c r="AJ90" s="114">
        <f>[1]Sec!$I$13+[1]Sec!$J$13</f>
        <v>4049</v>
      </c>
      <c r="AK90" s="113" t="s">
        <v>13</v>
      </c>
      <c r="AL90" s="113">
        <f t="shared" si="79"/>
        <v>5667</v>
      </c>
      <c r="AM90" s="113">
        <v>4033</v>
      </c>
      <c r="AN90" s="113">
        <v>1634</v>
      </c>
      <c r="AO90" s="113">
        <f t="shared" si="80"/>
        <v>5426</v>
      </c>
      <c r="AP90" s="113">
        <v>3833</v>
      </c>
      <c r="AQ90" s="113">
        <v>1593</v>
      </c>
      <c r="AR90" s="113">
        <f t="shared" si="78"/>
        <v>5439</v>
      </c>
      <c r="AS90" s="113">
        <v>3879</v>
      </c>
      <c r="AT90" s="53">
        <v>1560</v>
      </c>
      <c r="AU90" s="113" t="s">
        <v>13</v>
      </c>
      <c r="AV90" s="113" t="s">
        <v>13</v>
      </c>
      <c r="AW90" s="113" t="s">
        <v>13</v>
      </c>
    </row>
    <row r="91" spans="1:53" s="80" customFormat="1" x14ac:dyDescent="0.2">
      <c r="A91" s="10" t="s">
        <v>38</v>
      </c>
      <c r="B91" s="78">
        <v>7957</v>
      </c>
      <c r="C91" s="78">
        <v>5047</v>
      </c>
      <c r="D91" s="78">
        <v>2910</v>
      </c>
      <c r="E91" s="79">
        <f t="shared" si="65"/>
        <v>19811</v>
      </c>
      <c r="F91" s="79">
        <v>6189</v>
      </c>
      <c r="G91" s="79">
        <v>3296</v>
      </c>
      <c r="H91" s="79">
        <f t="shared" si="66"/>
        <v>10326</v>
      </c>
      <c r="I91" s="79">
        <v>6638</v>
      </c>
      <c r="J91" s="79">
        <v>3688</v>
      </c>
      <c r="K91" s="77">
        <f>SUM(L91:M91)</f>
        <v>10280</v>
      </c>
      <c r="L91" s="77">
        <v>6705</v>
      </c>
      <c r="M91" s="77">
        <v>3575</v>
      </c>
      <c r="N91" s="91">
        <v>10131</v>
      </c>
      <c r="O91" s="92">
        <v>6796</v>
      </c>
      <c r="P91" s="92">
        <f>N91-O91</f>
        <v>3335</v>
      </c>
      <c r="Q91" s="92">
        <v>10267</v>
      </c>
      <c r="R91" s="92">
        <v>7464</v>
      </c>
      <c r="S91" s="92">
        <f>Q91-R91</f>
        <v>2803</v>
      </c>
      <c r="T91" s="115">
        <v>9875</v>
      </c>
      <c r="U91" s="115">
        <v>7664</v>
      </c>
      <c r="V91" s="81">
        <v>2857</v>
      </c>
      <c r="W91" s="81">
        <f>SUM(X91:Y91)</f>
        <v>9875</v>
      </c>
      <c r="X91" s="115">
        <v>7728</v>
      </c>
      <c r="Y91" s="115">
        <v>2147</v>
      </c>
      <c r="Z91" s="81">
        <f>SUM(AA91:AB91)</f>
        <v>9550</v>
      </c>
      <c r="AA91" s="115">
        <v>7538</v>
      </c>
      <c r="AB91" s="115">
        <v>2012</v>
      </c>
      <c r="AC91" s="115">
        <v>9627</v>
      </c>
      <c r="AD91" s="115">
        <v>7396</v>
      </c>
      <c r="AE91" s="115">
        <v>2269</v>
      </c>
      <c r="AF91" s="115">
        <f>SUM(AG91:AH91)</f>
        <v>9627</v>
      </c>
      <c r="AG91" s="115">
        <v>7348</v>
      </c>
      <c r="AH91" s="115">
        <v>2279</v>
      </c>
      <c r="AI91" s="115">
        <f>AJ91+AK91</f>
        <v>9678</v>
      </c>
      <c r="AJ91" s="115">
        <v>7027</v>
      </c>
      <c r="AK91" s="115">
        <v>2651</v>
      </c>
      <c r="AL91" s="81">
        <f>AM91+AN91</f>
        <v>11456</v>
      </c>
      <c r="AM91" s="81">
        <f>11456-AN91</f>
        <v>7718</v>
      </c>
      <c r="AN91" s="81">
        <f>29+2028+1497+11+50+119+4</f>
        <v>3738</v>
      </c>
      <c r="AO91" s="116">
        <f>SUM(AP91:AQ91)</f>
        <v>12218</v>
      </c>
      <c r="AP91" s="81">
        <v>7802</v>
      </c>
      <c r="AQ91" s="81">
        <v>4416</v>
      </c>
      <c r="AR91" s="116">
        <f>SUM(AS91:AT91)</f>
        <v>13224</v>
      </c>
      <c r="AS91" s="81">
        <v>8551</v>
      </c>
      <c r="AT91" s="81">
        <f>13224-AS91</f>
        <v>4673</v>
      </c>
      <c r="AU91" s="116">
        <f>SUM(AV91:AW91)</f>
        <v>15737</v>
      </c>
      <c r="AV91" s="81">
        <v>10533</v>
      </c>
      <c r="AW91" s="81">
        <v>5204</v>
      </c>
      <c r="AX91" s="102"/>
      <c r="AY91" s="108"/>
      <c r="AZ91" s="102"/>
      <c r="BA91" s="102"/>
    </row>
    <row r="92" spans="1:53" ht="7.5" customHeight="1" x14ac:dyDescent="0.2">
      <c r="A92" s="49"/>
      <c r="B92" s="50"/>
      <c r="C92" s="50"/>
      <c r="D92" s="50"/>
      <c r="E92" s="22"/>
      <c r="F92" s="22"/>
      <c r="G92" s="22"/>
      <c r="H92" s="22"/>
      <c r="I92" s="22"/>
      <c r="J92" s="22"/>
      <c r="K92" s="51"/>
      <c r="L92" s="51"/>
      <c r="M92" s="51"/>
      <c r="N92" s="58"/>
      <c r="O92" s="58"/>
      <c r="P92" s="58"/>
      <c r="Q92" s="58"/>
      <c r="R92" s="58"/>
      <c r="S92" s="58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4"/>
      <c r="AE92" s="114"/>
      <c r="AF92" s="113"/>
      <c r="AG92" s="114"/>
      <c r="AH92" s="114"/>
      <c r="AI92" s="113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</row>
    <row r="93" spans="1:53" x14ac:dyDescent="0.2">
      <c r="A93" s="10" t="s">
        <v>33</v>
      </c>
      <c r="B93" s="50"/>
      <c r="C93" s="50"/>
      <c r="D93" s="50"/>
      <c r="E93" s="22"/>
      <c r="F93" s="22"/>
      <c r="G93" s="22"/>
      <c r="H93" s="22"/>
      <c r="I93" s="22"/>
      <c r="J93" s="22"/>
      <c r="K93" s="51"/>
      <c r="L93" s="51"/>
      <c r="M93" s="51"/>
      <c r="N93" s="58"/>
      <c r="O93" s="58"/>
      <c r="P93" s="58"/>
      <c r="Q93" s="58"/>
      <c r="R93" s="58"/>
      <c r="S93" s="58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4"/>
      <c r="AE93" s="114"/>
      <c r="AF93" s="113"/>
      <c r="AG93" s="114"/>
      <c r="AH93" s="114"/>
      <c r="AI93" s="113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</row>
    <row r="94" spans="1:53" ht="13.5" customHeight="1" x14ac:dyDescent="0.2">
      <c r="A94" s="49" t="s">
        <v>12</v>
      </c>
      <c r="B94" s="50">
        <v>895</v>
      </c>
      <c r="C94" s="50">
        <v>895</v>
      </c>
      <c r="D94" s="50" t="s">
        <v>30</v>
      </c>
      <c r="E94" s="22">
        <f t="shared" ref="E94:E101" si="82">SUM(F94:H94)</f>
        <v>1793</v>
      </c>
      <c r="F94" s="22">
        <v>627</v>
      </c>
      <c r="G94" s="22">
        <v>227</v>
      </c>
      <c r="H94" s="22">
        <f t="shared" ref="H94:H101" si="83">SUM(I94:J94)</f>
        <v>939</v>
      </c>
      <c r="I94" s="22">
        <v>772</v>
      </c>
      <c r="J94" s="22">
        <v>167</v>
      </c>
      <c r="K94" s="51">
        <f t="shared" ref="K94:K101" si="84">SUM(L94:M94)</f>
        <v>1143</v>
      </c>
      <c r="L94" s="51">
        <v>837</v>
      </c>
      <c r="M94" s="51">
        <v>306</v>
      </c>
      <c r="N94" s="97">
        <f t="shared" ref="N94:N101" si="85">SUM(O94:P94)</f>
        <v>1135</v>
      </c>
      <c r="O94" s="97">
        <v>835</v>
      </c>
      <c r="P94" s="97">
        <v>300</v>
      </c>
      <c r="Q94" s="97">
        <f t="shared" ref="Q94:Q101" si="86">SUM(R94:S94)</f>
        <v>1115</v>
      </c>
      <c r="R94" s="97">
        <v>898</v>
      </c>
      <c r="S94" s="97">
        <v>217</v>
      </c>
      <c r="T94" s="53" t="s">
        <v>13</v>
      </c>
      <c r="U94" s="53" t="s">
        <v>13</v>
      </c>
      <c r="V94" s="53" t="s">
        <v>13</v>
      </c>
      <c r="W94" s="53">
        <f t="shared" ref="W94:W101" si="87">SUM(X94:Y94)</f>
        <v>1150</v>
      </c>
      <c r="X94" s="53">
        <v>880</v>
      </c>
      <c r="Y94" s="53">
        <v>270</v>
      </c>
      <c r="Z94" s="53">
        <f t="shared" ref="Z94:Z101" si="88">SUM(AA94:AB94)</f>
        <v>1398</v>
      </c>
      <c r="AA94" s="53">
        <v>1151</v>
      </c>
      <c r="AB94" s="53">
        <v>247</v>
      </c>
      <c r="AC94" s="53">
        <f t="shared" ref="AC94:AC101" si="89">SUM(AD94:AE94)</f>
        <v>1633</v>
      </c>
      <c r="AD94" s="53">
        <v>1332</v>
      </c>
      <c r="AE94" s="53">
        <v>301</v>
      </c>
      <c r="AF94" s="53">
        <f t="shared" ref="AF94:AF101" si="90">SUM(AG94:AH94)</f>
        <v>1594</v>
      </c>
      <c r="AG94" s="53">
        <v>1390</v>
      </c>
      <c r="AH94" s="53">
        <v>204</v>
      </c>
      <c r="AI94" s="53">
        <f t="shared" ref="AI94:AI101" si="91">SUM(AJ94:AK94)</f>
        <v>2741</v>
      </c>
      <c r="AJ94" s="53">
        <v>2509</v>
      </c>
      <c r="AK94" s="53">
        <v>232</v>
      </c>
      <c r="AL94" s="113">
        <f>SUM(AM94:AN94)</f>
        <v>3330</v>
      </c>
      <c r="AM94" s="53">
        <v>3220</v>
      </c>
      <c r="AN94" s="53">
        <v>110</v>
      </c>
      <c r="AO94" s="53">
        <f t="shared" ref="AO94:AO101" si="92">SUM(AP94:AQ94)</f>
        <v>4586</v>
      </c>
      <c r="AP94" s="53">
        <v>4291</v>
      </c>
      <c r="AQ94" s="53">
        <v>295</v>
      </c>
      <c r="AR94" s="53">
        <f t="shared" ref="AR94:AR101" si="93">SUM(AS94:AT94)</f>
        <v>4816</v>
      </c>
      <c r="AS94" s="53">
        <v>4646</v>
      </c>
      <c r="AT94" s="53">
        <v>170</v>
      </c>
      <c r="AU94" s="53">
        <f t="shared" ref="AU94:AU95" si="94">SUM(AV94:AW94)</f>
        <v>4851</v>
      </c>
      <c r="AV94" s="53">
        <v>4728</v>
      </c>
      <c r="AW94" s="53">
        <v>123</v>
      </c>
    </row>
    <row r="95" spans="1:53" s="80" customFormat="1" x14ac:dyDescent="0.2">
      <c r="A95" s="10" t="s">
        <v>14</v>
      </c>
      <c r="B95" s="78">
        <f t="shared" ref="B95:B101" si="95">SUM(C95:D95)</f>
        <v>30107</v>
      </c>
      <c r="C95" s="78">
        <v>30107</v>
      </c>
      <c r="D95" s="78" t="s">
        <v>30</v>
      </c>
      <c r="E95" s="79">
        <f t="shared" si="82"/>
        <v>61177</v>
      </c>
      <c r="F95" s="79">
        <v>30488</v>
      </c>
      <c r="G95" s="78" t="s">
        <v>30</v>
      </c>
      <c r="H95" s="79">
        <f t="shared" si="83"/>
        <v>30689</v>
      </c>
      <c r="I95" s="79">
        <v>30622</v>
      </c>
      <c r="J95" s="79">
        <v>67</v>
      </c>
      <c r="K95" s="77">
        <f t="shared" si="84"/>
        <v>30343</v>
      </c>
      <c r="L95" s="77">
        <v>30256</v>
      </c>
      <c r="M95" s="77">
        <v>87</v>
      </c>
      <c r="N95" s="91">
        <f t="shared" si="85"/>
        <v>30441</v>
      </c>
      <c r="O95" s="91">
        <v>30354</v>
      </c>
      <c r="P95" s="91">
        <v>87</v>
      </c>
      <c r="Q95" s="99">
        <f t="shared" si="86"/>
        <v>30525</v>
      </c>
      <c r="R95" s="91">
        <f>SUM(R96:R101)</f>
        <v>30400</v>
      </c>
      <c r="S95" s="91">
        <f>SUM(S96:S101)</f>
        <v>125</v>
      </c>
      <c r="T95" s="81">
        <f t="shared" ref="T95:T101" si="96">SUM(U95:V95)</f>
        <v>30273</v>
      </c>
      <c r="U95" s="115">
        <f>SUM(U96:U101)</f>
        <v>30273</v>
      </c>
      <c r="V95" s="81" t="s">
        <v>13</v>
      </c>
      <c r="W95" s="81">
        <f t="shared" si="87"/>
        <v>29376</v>
      </c>
      <c r="X95" s="115">
        <f>SUM(X96:X101)</f>
        <v>29279</v>
      </c>
      <c r="Y95" s="115">
        <f>SUM(Y96:Y101)</f>
        <v>97</v>
      </c>
      <c r="Z95" s="81">
        <f t="shared" si="88"/>
        <v>29280</v>
      </c>
      <c r="AA95" s="115">
        <f>SUM(AA96:AA101)</f>
        <v>29188</v>
      </c>
      <c r="AB95" s="115">
        <f>SUM(AB96:AB101)</f>
        <v>92</v>
      </c>
      <c r="AC95" s="81">
        <f t="shared" si="89"/>
        <v>28813</v>
      </c>
      <c r="AD95" s="115">
        <f>SUM(AD96:AD101)</f>
        <v>28690</v>
      </c>
      <c r="AE95" s="115">
        <f>SUM(AE96:AE101)</f>
        <v>123</v>
      </c>
      <c r="AF95" s="81">
        <f t="shared" si="90"/>
        <v>28623</v>
      </c>
      <c r="AG95" s="115">
        <f>SUM(AG96:AG101)</f>
        <v>28475</v>
      </c>
      <c r="AH95" s="115">
        <f>SUM(AH96:AH101)</f>
        <v>148</v>
      </c>
      <c r="AI95" s="81">
        <f t="shared" si="91"/>
        <v>28519</v>
      </c>
      <c r="AJ95" s="115">
        <f>SUM(AJ96:AJ101)</f>
        <v>28371</v>
      </c>
      <c r="AK95" s="115">
        <v>148</v>
      </c>
      <c r="AL95" s="81">
        <f t="shared" ref="AL95:AL101" si="97">SUM(AM95:AN95)</f>
        <v>28176</v>
      </c>
      <c r="AM95" s="115">
        <f>SUM(AM96:AM101)</f>
        <v>28012</v>
      </c>
      <c r="AN95" s="115">
        <f>SUM(AN96:AN101)</f>
        <v>164</v>
      </c>
      <c r="AO95" s="81">
        <f t="shared" si="92"/>
        <v>28220</v>
      </c>
      <c r="AP95" s="115">
        <f>SUM(AP96:AP101)</f>
        <v>28060</v>
      </c>
      <c r="AQ95" s="115">
        <f>SUM(AQ96:AQ101)</f>
        <v>160</v>
      </c>
      <c r="AR95" s="81">
        <f t="shared" si="93"/>
        <v>28336</v>
      </c>
      <c r="AS95" s="115">
        <v>28293</v>
      </c>
      <c r="AT95" s="115">
        <v>43</v>
      </c>
      <c r="AU95" s="81">
        <f t="shared" si="94"/>
        <v>29278</v>
      </c>
      <c r="AV95" s="115">
        <v>29106</v>
      </c>
      <c r="AW95" s="115">
        <v>172</v>
      </c>
      <c r="AX95" s="102"/>
      <c r="AY95" s="108"/>
      <c r="AZ95" s="102"/>
      <c r="BA95" s="102"/>
    </row>
    <row r="96" spans="1:53" x14ac:dyDescent="0.2">
      <c r="A96" s="49" t="s">
        <v>19</v>
      </c>
      <c r="B96" s="50">
        <f t="shared" si="95"/>
        <v>6817</v>
      </c>
      <c r="C96" s="50">
        <v>6817</v>
      </c>
      <c r="D96" s="50" t="s">
        <v>30</v>
      </c>
      <c r="E96" s="22">
        <f t="shared" si="82"/>
        <v>13337</v>
      </c>
      <c r="F96" s="22">
        <v>6755</v>
      </c>
      <c r="G96" s="50" t="s">
        <v>30</v>
      </c>
      <c r="H96" s="22">
        <f t="shared" si="83"/>
        <v>6582</v>
      </c>
      <c r="I96" s="22">
        <v>6559</v>
      </c>
      <c r="J96" s="22">
        <v>23</v>
      </c>
      <c r="K96" s="51">
        <f t="shared" si="84"/>
        <v>6511</v>
      </c>
      <c r="L96" s="51">
        <v>6485</v>
      </c>
      <c r="M96" s="51">
        <v>26</v>
      </c>
      <c r="N96" s="59">
        <f t="shared" si="85"/>
        <v>6603</v>
      </c>
      <c r="O96" s="59">
        <v>6603</v>
      </c>
      <c r="P96" s="97">
        <v>0</v>
      </c>
      <c r="Q96" s="97">
        <f t="shared" si="86"/>
        <v>6412</v>
      </c>
      <c r="R96" s="59">
        <v>6383</v>
      </c>
      <c r="S96" s="59">
        <v>29</v>
      </c>
      <c r="T96" s="53">
        <f t="shared" si="96"/>
        <v>6337</v>
      </c>
      <c r="U96" s="113">
        <f>3447+2890</f>
        <v>6337</v>
      </c>
      <c r="V96" s="53" t="s">
        <v>13</v>
      </c>
      <c r="W96" s="53">
        <f t="shared" si="87"/>
        <v>6190</v>
      </c>
      <c r="X96" s="113">
        <v>6169</v>
      </c>
      <c r="Y96" s="53">
        <v>21</v>
      </c>
      <c r="Z96" s="53">
        <f t="shared" si="88"/>
        <v>6334</v>
      </c>
      <c r="AA96" s="113">
        <v>6319</v>
      </c>
      <c r="AB96" s="53">
        <v>15</v>
      </c>
      <c r="AC96" s="53">
        <f t="shared" si="89"/>
        <v>6277</v>
      </c>
      <c r="AD96" s="114">
        <v>6241</v>
      </c>
      <c r="AE96" s="53">
        <v>36</v>
      </c>
      <c r="AF96" s="53">
        <f t="shared" si="90"/>
        <v>6206</v>
      </c>
      <c r="AG96" s="114">
        <v>6171</v>
      </c>
      <c r="AH96" s="53">
        <v>35</v>
      </c>
      <c r="AI96" s="53">
        <f t="shared" si="91"/>
        <v>5918</v>
      </c>
      <c r="AJ96" s="114">
        <f>[1]Elem!$C$14+[1]Elem!$D$14</f>
        <v>5918</v>
      </c>
      <c r="AK96" s="53" t="s">
        <v>13</v>
      </c>
      <c r="AL96" s="53">
        <f t="shared" si="97"/>
        <v>5839</v>
      </c>
      <c r="AM96" s="53">
        <v>5801</v>
      </c>
      <c r="AN96" s="53">
        <v>38</v>
      </c>
      <c r="AO96" s="53">
        <f t="shared" si="92"/>
        <v>5894</v>
      </c>
      <c r="AP96" s="53">
        <v>5864</v>
      </c>
      <c r="AQ96" s="53">
        <v>30</v>
      </c>
      <c r="AR96" s="53">
        <f t="shared" si="93"/>
        <v>5697</v>
      </c>
      <c r="AS96" s="53">
        <v>5680</v>
      </c>
      <c r="AT96" s="113">
        <v>17</v>
      </c>
      <c r="AU96" s="113" t="s">
        <v>13</v>
      </c>
      <c r="AV96" s="113" t="s">
        <v>13</v>
      </c>
      <c r="AW96" s="113" t="s">
        <v>13</v>
      </c>
    </row>
    <row r="97" spans="1:53" x14ac:dyDescent="0.2">
      <c r="A97" s="49" t="s">
        <v>20</v>
      </c>
      <c r="B97" s="50">
        <f t="shared" si="95"/>
        <v>5488</v>
      </c>
      <c r="C97" s="50">
        <v>5488</v>
      </c>
      <c r="D97" s="50" t="s">
        <v>30</v>
      </c>
      <c r="E97" s="22">
        <f t="shared" si="82"/>
        <v>10970</v>
      </c>
      <c r="F97" s="22">
        <v>5464</v>
      </c>
      <c r="G97" s="50" t="s">
        <v>30</v>
      </c>
      <c r="H97" s="22">
        <f t="shared" si="83"/>
        <v>5506</v>
      </c>
      <c r="I97" s="22">
        <v>5489</v>
      </c>
      <c r="J97" s="22">
        <v>17</v>
      </c>
      <c r="K97" s="51">
        <f t="shared" si="84"/>
        <v>5400</v>
      </c>
      <c r="L97" s="51">
        <v>5376</v>
      </c>
      <c r="M97" s="51">
        <v>24</v>
      </c>
      <c r="N97" s="59">
        <f t="shared" si="85"/>
        <v>5411</v>
      </c>
      <c r="O97" s="59">
        <v>5385</v>
      </c>
      <c r="P97" s="59">
        <v>26</v>
      </c>
      <c r="Q97" s="97">
        <f t="shared" si="86"/>
        <v>5481</v>
      </c>
      <c r="R97" s="59">
        <v>5465</v>
      </c>
      <c r="S97" s="59">
        <v>16</v>
      </c>
      <c r="T97" s="53">
        <f t="shared" si="96"/>
        <v>5363</v>
      </c>
      <c r="U97" s="113">
        <f>2876+2487</f>
        <v>5363</v>
      </c>
      <c r="V97" s="53" t="s">
        <v>13</v>
      </c>
      <c r="W97" s="53">
        <f t="shared" si="87"/>
        <v>5156</v>
      </c>
      <c r="X97" s="113">
        <v>5132</v>
      </c>
      <c r="Y97" s="53">
        <v>24</v>
      </c>
      <c r="Z97" s="53">
        <f t="shared" si="88"/>
        <v>5199</v>
      </c>
      <c r="AA97" s="113">
        <v>5180</v>
      </c>
      <c r="AB97" s="53">
        <v>19</v>
      </c>
      <c r="AC97" s="53">
        <f t="shared" si="89"/>
        <v>5123</v>
      </c>
      <c r="AD97" s="114">
        <v>5105</v>
      </c>
      <c r="AE97" s="53">
        <v>18</v>
      </c>
      <c r="AF97" s="53">
        <f t="shared" si="90"/>
        <v>5131</v>
      </c>
      <c r="AG97" s="114">
        <v>5091</v>
      </c>
      <c r="AH97" s="53">
        <v>40</v>
      </c>
      <c r="AI97" s="53">
        <f t="shared" si="91"/>
        <v>5220</v>
      </c>
      <c r="AJ97" s="114">
        <f>[1]Elem!$E$14+[1]Elem!$F$14</f>
        <v>5220</v>
      </c>
      <c r="AK97" s="53" t="s">
        <v>13</v>
      </c>
      <c r="AL97" s="53">
        <f t="shared" si="97"/>
        <v>5045</v>
      </c>
      <c r="AM97" s="53">
        <v>5010</v>
      </c>
      <c r="AN97" s="53">
        <v>35</v>
      </c>
      <c r="AO97" s="53">
        <f t="shared" si="92"/>
        <v>4954</v>
      </c>
      <c r="AP97" s="53">
        <v>4919</v>
      </c>
      <c r="AQ97" s="53">
        <v>35</v>
      </c>
      <c r="AR97" s="53">
        <f t="shared" si="93"/>
        <v>5231</v>
      </c>
      <c r="AS97" s="53">
        <v>5217</v>
      </c>
      <c r="AT97" s="113">
        <v>14</v>
      </c>
      <c r="AU97" s="113" t="s">
        <v>13</v>
      </c>
      <c r="AV97" s="113" t="s">
        <v>13</v>
      </c>
      <c r="AW97" s="113" t="s">
        <v>13</v>
      </c>
    </row>
    <row r="98" spans="1:53" x14ac:dyDescent="0.2">
      <c r="A98" s="49" t="s">
        <v>21</v>
      </c>
      <c r="B98" s="50">
        <f t="shared" si="95"/>
        <v>5238</v>
      </c>
      <c r="C98" s="50">
        <v>5238</v>
      </c>
      <c r="D98" s="50" t="s">
        <v>30</v>
      </c>
      <c r="E98" s="22">
        <f t="shared" si="82"/>
        <v>9990</v>
      </c>
      <c r="F98" s="22">
        <v>4976</v>
      </c>
      <c r="G98" s="50" t="s">
        <v>30</v>
      </c>
      <c r="H98" s="22">
        <f t="shared" si="83"/>
        <v>5014</v>
      </c>
      <c r="I98" s="22">
        <v>5002</v>
      </c>
      <c r="J98" s="22">
        <v>12</v>
      </c>
      <c r="K98" s="51">
        <f t="shared" si="84"/>
        <v>5024</v>
      </c>
      <c r="L98" s="51">
        <v>5010</v>
      </c>
      <c r="M98" s="51">
        <v>14</v>
      </c>
      <c r="N98" s="59">
        <f t="shared" si="85"/>
        <v>4939</v>
      </c>
      <c r="O98" s="59">
        <v>4915</v>
      </c>
      <c r="P98" s="59">
        <v>24</v>
      </c>
      <c r="Q98" s="97">
        <f t="shared" si="86"/>
        <v>5105</v>
      </c>
      <c r="R98" s="59">
        <v>5089</v>
      </c>
      <c r="S98" s="59">
        <v>16</v>
      </c>
      <c r="T98" s="53">
        <f t="shared" si="96"/>
        <v>5057</v>
      </c>
      <c r="U98" s="113">
        <f>2662+2395</f>
        <v>5057</v>
      </c>
      <c r="V98" s="53" t="s">
        <v>13</v>
      </c>
      <c r="W98" s="53">
        <f t="shared" si="87"/>
        <v>4807</v>
      </c>
      <c r="X98" s="113">
        <v>4796</v>
      </c>
      <c r="Y98" s="53">
        <v>11</v>
      </c>
      <c r="Z98" s="53">
        <f t="shared" si="88"/>
        <v>4687</v>
      </c>
      <c r="AA98" s="113">
        <v>4665</v>
      </c>
      <c r="AB98" s="53">
        <v>22</v>
      </c>
      <c r="AC98" s="53">
        <f t="shared" si="89"/>
        <v>4701</v>
      </c>
      <c r="AD98" s="114">
        <v>4681</v>
      </c>
      <c r="AE98" s="53">
        <v>20</v>
      </c>
      <c r="AF98" s="53">
        <f t="shared" si="90"/>
        <v>4602</v>
      </c>
      <c r="AG98" s="114">
        <v>4580</v>
      </c>
      <c r="AH98" s="53">
        <v>22</v>
      </c>
      <c r="AI98" s="53">
        <f t="shared" si="91"/>
        <v>4632</v>
      </c>
      <c r="AJ98" s="114">
        <f>[1]Elem!$G$14+[1]Elem!$H$14</f>
        <v>4632</v>
      </c>
      <c r="AK98" s="53" t="s">
        <v>13</v>
      </c>
      <c r="AL98" s="53">
        <f t="shared" si="97"/>
        <v>4639</v>
      </c>
      <c r="AM98" s="53">
        <v>4615</v>
      </c>
      <c r="AN98" s="53">
        <v>24</v>
      </c>
      <c r="AO98" s="53">
        <f t="shared" si="92"/>
        <v>4644</v>
      </c>
      <c r="AP98" s="53">
        <v>4604</v>
      </c>
      <c r="AQ98" s="53">
        <v>40</v>
      </c>
      <c r="AR98" s="53">
        <f t="shared" si="93"/>
        <v>4648</v>
      </c>
      <c r="AS98" s="53">
        <v>4643</v>
      </c>
      <c r="AT98" s="113">
        <v>5</v>
      </c>
      <c r="AU98" s="113" t="s">
        <v>13</v>
      </c>
      <c r="AV98" s="113" t="s">
        <v>13</v>
      </c>
      <c r="AW98" s="113" t="s">
        <v>13</v>
      </c>
    </row>
    <row r="99" spans="1:53" x14ac:dyDescent="0.2">
      <c r="A99" s="49" t="s">
        <v>22</v>
      </c>
      <c r="B99" s="50">
        <f t="shared" si="95"/>
        <v>4790</v>
      </c>
      <c r="C99" s="50">
        <v>4790</v>
      </c>
      <c r="D99" s="50" t="s">
        <v>30</v>
      </c>
      <c r="E99" s="22">
        <f t="shared" si="82"/>
        <v>9606</v>
      </c>
      <c r="F99" s="22">
        <v>4813</v>
      </c>
      <c r="G99" s="50" t="s">
        <v>30</v>
      </c>
      <c r="H99" s="22">
        <f t="shared" si="83"/>
        <v>4793</v>
      </c>
      <c r="I99" s="22">
        <v>4778</v>
      </c>
      <c r="J99" s="22">
        <v>15</v>
      </c>
      <c r="K99" s="51">
        <f t="shared" si="84"/>
        <v>4748</v>
      </c>
      <c r="L99" s="51">
        <v>4738</v>
      </c>
      <c r="M99" s="51">
        <v>10</v>
      </c>
      <c r="N99" s="59">
        <f t="shared" si="85"/>
        <v>4791</v>
      </c>
      <c r="O99" s="59">
        <v>4777</v>
      </c>
      <c r="P99" s="59">
        <v>14</v>
      </c>
      <c r="Q99" s="97">
        <f t="shared" si="86"/>
        <v>4651</v>
      </c>
      <c r="R99" s="59">
        <v>4634</v>
      </c>
      <c r="S99" s="59">
        <v>17</v>
      </c>
      <c r="T99" s="53">
        <f t="shared" si="96"/>
        <v>4798</v>
      </c>
      <c r="U99" s="113">
        <f>2405+2393</f>
        <v>4798</v>
      </c>
      <c r="V99" s="53" t="s">
        <v>13</v>
      </c>
      <c r="W99" s="53">
        <f t="shared" si="87"/>
        <v>4641</v>
      </c>
      <c r="X99" s="113">
        <v>4628</v>
      </c>
      <c r="Y99" s="53">
        <v>13</v>
      </c>
      <c r="Z99" s="53">
        <f t="shared" si="88"/>
        <v>4582</v>
      </c>
      <c r="AA99" s="113">
        <v>4570</v>
      </c>
      <c r="AB99" s="53">
        <v>12</v>
      </c>
      <c r="AC99" s="53">
        <f t="shared" si="89"/>
        <v>4485</v>
      </c>
      <c r="AD99" s="114">
        <v>4467</v>
      </c>
      <c r="AE99" s="53">
        <v>18</v>
      </c>
      <c r="AF99" s="53">
        <f t="shared" si="90"/>
        <v>4523</v>
      </c>
      <c r="AG99" s="114">
        <v>4505</v>
      </c>
      <c r="AH99" s="53">
        <v>18</v>
      </c>
      <c r="AI99" s="53">
        <f t="shared" si="91"/>
        <v>4429</v>
      </c>
      <c r="AJ99" s="114">
        <f>[1]Elem!$I$14+[1]Elem!$J$14</f>
        <v>4429</v>
      </c>
      <c r="AK99" s="53" t="s">
        <v>13</v>
      </c>
      <c r="AL99" s="53">
        <f t="shared" si="97"/>
        <v>4407</v>
      </c>
      <c r="AM99" s="53">
        <v>4372</v>
      </c>
      <c r="AN99" s="53">
        <v>35</v>
      </c>
      <c r="AO99" s="53">
        <f t="shared" si="92"/>
        <v>4490</v>
      </c>
      <c r="AP99" s="53">
        <v>4473</v>
      </c>
      <c r="AQ99" s="53">
        <v>17</v>
      </c>
      <c r="AR99" s="53">
        <f t="shared" si="93"/>
        <v>4530</v>
      </c>
      <c r="AS99" s="53">
        <v>4523</v>
      </c>
      <c r="AT99" s="113">
        <v>7</v>
      </c>
      <c r="AU99" s="113" t="s">
        <v>13</v>
      </c>
      <c r="AV99" s="113" t="s">
        <v>13</v>
      </c>
      <c r="AW99" s="113" t="s">
        <v>13</v>
      </c>
    </row>
    <row r="100" spans="1:53" x14ac:dyDescent="0.2">
      <c r="A100" s="49" t="s">
        <v>23</v>
      </c>
      <c r="B100" s="50">
        <f t="shared" si="95"/>
        <v>4266</v>
      </c>
      <c r="C100" s="50">
        <v>4266</v>
      </c>
      <c r="D100" s="50" t="s">
        <v>30</v>
      </c>
      <c r="E100" s="22">
        <f t="shared" si="82"/>
        <v>9135</v>
      </c>
      <c r="F100" s="22">
        <v>4587</v>
      </c>
      <c r="G100" s="50" t="s">
        <v>30</v>
      </c>
      <c r="H100" s="22">
        <f t="shared" si="83"/>
        <v>4548</v>
      </c>
      <c r="I100" s="22">
        <v>4548</v>
      </c>
      <c r="J100" s="50" t="s">
        <v>30</v>
      </c>
      <c r="K100" s="51">
        <f t="shared" si="84"/>
        <v>4466</v>
      </c>
      <c r="L100" s="51">
        <v>4453</v>
      </c>
      <c r="M100" s="51">
        <v>13</v>
      </c>
      <c r="N100" s="59">
        <f t="shared" si="85"/>
        <v>4517</v>
      </c>
      <c r="O100" s="59">
        <v>4507</v>
      </c>
      <c r="P100" s="59">
        <v>10</v>
      </c>
      <c r="Q100" s="97">
        <f t="shared" si="86"/>
        <v>4560</v>
      </c>
      <c r="R100" s="59">
        <v>4545</v>
      </c>
      <c r="S100" s="59">
        <v>15</v>
      </c>
      <c r="T100" s="53">
        <f t="shared" si="96"/>
        <v>4456</v>
      </c>
      <c r="U100" s="113">
        <f>2180+2276</f>
        <v>4456</v>
      </c>
      <c r="V100" s="53" t="s">
        <v>13</v>
      </c>
      <c r="W100" s="53">
        <f t="shared" si="87"/>
        <v>4503</v>
      </c>
      <c r="X100" s="113">
        <v>4489</v>
      </c>
      <c r="Y100" s="53">
        <v>14</v>
      </c>
      <c r="Z100" s="53">
        <f t="shared" si="88"/>
        <v>4345</v>
      </c>
      <c r="AA100" s="113">
        <v>4333</v>
      </c>
      <c r="AB100" s="53">
        <v>12</v>
      </c>
      <c r="AC100" s="53">
        <f t="shared" si="89"/>
        <v>4207</v>
      </c>
      <c r="AD100" s="114">
        <v>4187</v>
      </c>
      <c r="AE100" s="53">
        <v>20</v>
      </c>
      <c r="AF100" s="53">
        <f t="shared" si="90"/>
        <v>4210</v>
      </c>
      <c r="AG100" s="114">
        <v>4196</v>
      </c>
      <c r="AH100" s="53">
        <v>14</v>
      </c>
      <c r="AI100" s="53">
        <f t="shared" si="91"/>
        <v>4267</v>
      </c>
      <c r="AJ100" s="114">
        <f>[1]Elem!$K$14+[1]Elem!$L$14</f>
        <v>4267</v>
      </c>
      <c r="AK100" s="53" t="s">
        <v>13</v>
      </c>
      <c r="AL100" s="53">
        <f t="shared" si="97"/>
        <v>4219</v>
      </c>
      <c r="AM100" s="53">
        <v>4204</v>
      </c>
      <c r="AN100" s="53">
        <v>15</v>
      </c>
      <c r="AO100" s="53">
        <f t="shared" si="92"/>
        <v>4259</v>
      </c>
      <c r="AP100" s="53">
        <v>4231</v>
      </c>
      <c r="AQ100" s="53">
        <v>28</v>
      </c>
      <c r="AR100" s="53">
        <f t="shared" si="93"/>
        <v>4271</v>
      </c>
      <c r="AS100" s="53">
        <v>4271</v>
      </c>
      <c r="AT100" s="113">
        <v>0</v>
      </c>
      <c r="AU100" s="113" t="s">
        <v>13</v>
      </c>
      <c r="AV100" s="113" t="s">
        <v>13</v>
      </c>
      <c r="AW100" s="113" t="s">
        <v>13</v>
      </c>
    </row>
    <row r="101" spans="1:53" s="33" customFormat="1" x14ac:dyDescent="0.2">
      <c r="A101" s="67" t="s">
        <v>24</v>
      </c>
      <c r="B101" s="54">
        <f t="shared" si="95"/>
        <v>3508</v>
      </c>
      <c r="C101" s="54">
        <v>3508</v>
      </c>
      <c r="D101" s="54" t="s">
        <v>30</v>
      </c>
      <c r="E101" s="55">
        <f t="shared" si="82"/>
        <v>8139</v>
      </c>
      <c r="F101" s="55">
        <v>3893</v>
      </c>
      <c r="G101" s="54" t="s">
        <v>30</v>
      </c>
      <c r="H101" s="55">
        <f t="shared" si="83"/>
        <v>4246</v>
      </c>
      <c r="I101" s="55">
        <v>4246</v>
      </c>
      <c r="J101" s="54" t="s">
        <v>30</v>
      </c>
      <c r="K101" s="56">
        <f t="shared" si="84"/>
        <v>4194</v>
      </c>
      <c r="L101" s="56">
        <v>4194</v>
      </c>
      <c r="M101" s="56">
        <v>0</v>
      </c>
      <c r="N101" s="96">
        <f t="shared" si="85"/>
        <v>4180</v>
      </c>
      <c r="O101" s="96">
        <v>4167</v>
      </c>
      <c r="P101" s="96">
        <v>13</v>
      </c>
      <c r="Q101" s="100">
        <f t="shared" si="86"/>
        <v>4316</v>
      </c>
      <c r="R101" s="96">
        <v>4284</v>
      </c>
      <c r="S101" s="96">
        <v>32</v>
      </c>
      <c r="T101" s="117">
        <f t="shared" si="96"/>
        <v>4262</v>
      </c>
      <c r="U101" s="117">
        <f>1989+2273</f>
        <v>4262</v>
      </c>
      <c r="V101" s="117" t="s">
        <v>13</v>
      </c>
      <c r="W101" s="117">
        <f t="shared" si="87"/>
        <v>4079</v>
      </c>
      <c r="X101" s="117">
        <v>4065</v>
      </c>
      <c r="Y101" s="117">
        <v>14</v>
      </c>
      <c r="Z101" s="117">
        <f t="shared" si="88"/>
        <v>4133</v>
      </c>
      <c r="AA101" s="117">
        <v>4121</v>
      </c>
      <c r="AB101" s="117">
        <v>12</v>
      </c>
      <c r="AC101" s="117">
        <f t="shared" si="89"/>
        <v>4020</v>
      </c>
      <c r="AD101" s="56">
        <v>4009</v>
      </c>
      <c r="AE101" s="117">
        <v>11</v>
      </c>
      <c r="AF101" s="117">
        <f t="shared" si="90"/>
        <v>3951</v>
      </c>
      <c r="AG101" s="56">
        <v>3932</v>
      </c>
      <c r="AH101" s="117">
        <v>19</v>
      </c>
      <c r="AI101" s="117">
        <f t="shared" si="91"/>
        <v>3905</v>
      </c>
      <c r="AJ101" s="56">
        <f>[1]Elem!$M$14+[1]Elem!$N$14</f>
        <v>3905</v>
      </c>
      <c r="AK101" s="117" t="s">
        <v>13</v>
      </c>
      <c r="AL101" s="117">
        <f t="shared" si="97"/>
        <v>4027</v>
      </c>
      <c r="AM101" s="117">
        <v>4010</v>
      </c>
      <c r="AN101" s="117">
        <v>17</v>
      </c>
      <c r="AO101" s="117">
        <f t="shared" si="92"/>
        <v>3979</v>
      </c>
      <c r="AP101" s="117">
        <v>3969</v>
      </c>
      <c r="AQ101" s="117">
        <v>10</v>
      </c>
      <c r="AR101" s="117">
        <f t="shared" si="93"/>
        <v>3959</v>
      </c>
      <c r="AS101" s="117">
        <v>3959</v>
      </c>
      <c r="AT101" s="117">
        <v>0</v>
      </c>
      <c r="AU101" s="117" t="s">
        <v>13</v>
      </c>
      <c r="AV101" s="117" t="s">
        <v>13</v>
      </c>
      <c r="AW101" s="117" t="s">
        <v>13</v>
      </c>
      <c r="AX101" s="104"/>
      <c r="AY101" s="110"/>
      <c r="AZ101" s="104"/>
      <c r="BA101" s="104"/>
    </row>
    <row r="102" spans="1:53" x14ac:dyDescent="0.2">
      <c r="A102" s="33" t="s">
        <v>1</v>
      </c>
      <c r="B102" s="30"/>
      <c r="C102" s="40"/>
      <c r="D102" s="40"/>
      <c r="E102" s="40"/>
      <c r="F102" s="40"/>
      <c r="G102" s="40"/>
      <c r="H102" s="40"/>
      <c r="I102" s="40"/>
      <c r="J102" s="40"/>
      <c r="L102" s="40"/>
      <c r="M102" s="40"/>
      <c r="N102" s="90"/>
      <c r="O102" s="58"/>
      <c r="P102" s="58"/>
      <c r="Q102" s="58"/>
      <c r="R102" s="58"/>
      <c r="S102" s="58"/>
      <c r="T102" s="113"/>
      <c r="U102" s="113"/>
      <c r="V102" s="113"/>
      <c r="W102" s="51"/>
      <c r="X102" s="113"/>
      <c r="Y102" s="113"/>
      <c r="Z102" s="47"/>
      <c r="AA102" s="113"/>
      <c r="AB102" s="113"/>
      <c r="AC102" s="51"/>
      <c r="AD102" s="114"/>
      <c r="AE102" s="114"/>
      <c r="AG102" s="114"/>
      <c r="AH102" s="114"/>
      <c r="AJ102" s="114"/>
      <c r="AK102" s="114"/>
      <c r="AL102" s="33" t="s">
        <v>1</v>
      </c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</row>
    <row r="103" spans="1:53" x14ac:dyDescent="0.2">
      <c r="A103" s="36" t="s">
        <v>41</v>
      </c>
      <c r="C103" s="40"/>
      <c r="D103" s="40"/>
      <c r="E103" s="60"/>
      <c r="F103" s="60"/>
      <c r="G103" s="60"/>
      <c r="H103" s="60"/>
      <c r="I103" s="60"/>
      <c r="J103" s="60"/>
      <c r="K103" s="36"/>
      <c r="L103" s="31"/>
      <c r="M103" s="37"/>
      <c r="N103" s="91"/>
      <c r="O103" s="58"/>
      <c r="P103" s="58"/>
      <c r="Q103" s="58"/>
      <c r="R103" s="58"/>
      <c r="S103" s="58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4"/>
      <c r="AE103" s="114"/>
      <c r="AF103" s="113"/>
      <c r="AG103" s="114"/>
      <c r="AH103" s="114"/>
      <c r="AI103" s="113"/>
      <c r="AJ103" s="114"/>
      <c r="AK103" s="114"/>
      <c r="AL103" s="113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</row>
    <row r="104" spans="1:53" x14ac:dyDescent="0.2">
      <c r="A104" s="36" t="s">
        <v>43</v>
      </c>
      <c r="C104" s="40"/>
      <c r="D104" s="40"/>
      <c r="E104" s="60"/>
      <c r="F104" s="60"/>
      <c r="G104" s="60"/>
      <c r="H104" s="60"/>
      <c r="I104" s="60"/>
      <c r="J104" s="60"/>
      <c r="K104" s="36"/>
      <c r="L104" s="31"/>
      <c r="M104" s="37"/>
      <c r="N104" s="91"/>
      <c r="O104" s="58"/>
      <c r="P104" s="58"/>
      <c r="Q104" s="58"/>
      <c r="R104" s="58"/>
      <c r="S104" s="58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4"/>
      <c r="AE104" s="114"/>
      <c r="AF104" s="113"/>
      <c r="AG104" s="114"/>
      <c r="AH104" s="114"/>
      <c r="AI104" s="113"/>
      <c r="AJ104" s="114"/>
      <c r="AK104" s="114"/>
      <c r="AL104" s="113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</row>
    <row r="105" spans="1:53" x14ac:dyDescent="0.2">
      <c r="A105" s="36" t="str">
        <f>A4</f>
        <v>SY 2007-2008 TO SY 2013-2014</v>
      </c>
      <c r="B105" s="37"/>
      <c r="C105" s="37"/>
      <c r="D105" s="37"/>
      <c r="E105" s="60"/>
      <c r="F105" s="60"/>
      <c r="G105" s="60"/>
      <c r="H105" s="60"/>
      <c r="I105" s="60"/>
      <c r="J105" s="60"/>
      <c r="K105" s="36"/>
      <c r="L105" s="37"/>
      <c r="M105" s="37"/>
      <c r="N105" s="91"/>
      <c r="O105" s="58"/>
      <c r="P105" s="58"/>
      <c r="Q105" s="58"/>
      <c r="R105" s="58"/>
      <c r="S105" s="58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4"/>
      <c r="AE105" s="114"/>
      <c r="AF105" s="113"/>
      <c r="AG105" s="114"/>
      <c r="AH105" s="114"/>
      <c r="AI105" s="113"/>
      <c r="AJ105" s="114"/>
      <c r="AK105" s="114"/>
      <c r="AL105" s="113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</row>
    <row r="106" spans="1:53" x14ac:dyDescent="0.2">
      <c r="A106" s="62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90"/>
      <c r="O106" s="58"/>
      <c r="P106" s="58"/>
      <c r="Q106" s="58"/>
      <c r="R106" s="58"/>
      <c r="S106" s="58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4"/>
      <c r="AE106" s="114"/>
      <c r="AF106" s="113"/>
      <c r="AG106" s="114"/>
      <c r="AH106" s="114"/>
      <c r="AI106" s="113"/>
      <c r="AJ106" s="114"/>
      <c r="AK106" s="114"/>
      <c r="AL106" s="113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</row>
    <row r="107" spans="1:53" s="34" customFormat="1" ht="13.5" customHeight="1" x14ac:dyDescent="0.2">
      <c r="A107" s="17" t="s">
        <v>2</v>
      </c>
      <c r="B107" s="135" t="s">
        <v>3</v>
      </c>
      <c r="C107" s="136"/>
      <c r="D107" s="137"/>
      <c r="E107" s="135" t="s">
        <v>4</v>
      </c>
      <c r="F107" s="136"/>
      <c r="G107" s="137"/>
      <c r="H107" s="139" t="s">
        <v>5</v>
      </c>
      <c r="I107" s="140"/>
      <c r="J107" s="141"/>
      <c r="K107" s="139" t="s">
        <v>39</v>
      </c>
      <c r="L107" s="140"/>
      <c r="M107" s="141"/>
      <c r="N107" s="132" t="s">
        <v>40</v>
      </c>
      <c r="O107" s="133"/>
      <c r="P107" s="134"/>
      <c r="Q107" s="132" t="s">
        <v>46</v>
      </c>
      <c r="R107" s="133"/>
      <c r="S107" s="134"/>
      <c r="T107" s="129" t="s">
        <v>48</v>
      </c>
      <c r="U107" s="130"/>
      <c r="V107" s="131"/>
      <c r="W107" s="129" t="s">
        <v>52</v>
      </c>
      <c r="X107" s="130"/>
      <c r="Y107" s="131"/>
      <c r="Z107" s="129" t="s">
        <v>54</v>
      </c>
      <c r="AA107" s="130"/>
      <c r="AB107" s="131"/>
      <c r="AC107" s="129" t="s">
        <v>57</v>
      </c>
      <c r="AD107" s="130"/>
      <c r="AE107" s="131"/>
      <c r="AF107" s="129" t="s">
        <v>58</v>
      </c>
      <c r="AG107" s="130"/>
      <c r="AH107" s="131"/>
      <c r="AI107" s="126" t="s">
        <v>60</v>
      </c>
      <c r="AJ107" s="127"/>
      <c r="AK107" s="128"/>
      <c r="AL107" s="126" t="s">
        <v>61</v>
      </c>
      <c r="AM107" s="127"/>
      <c r="AN107" s="128"/>
      <c r="AO107" s="123" t="s">
        <v>66</v>
      </c>
      <c r="AP107" s="124"/>
      <c r="AQ107" s="125"/>
      <c r="AR107" s="123" t="s">
        <v>67</v>
      </c>
      <c r="AS107" s="124"/>
      <c r="AT107" s="125"/>
      <c r="AU107" s="123" t="s">
        <v>70</v>
      </c>
      <c r="AV107" s="124"/>
      <c r="AW107" s="125"/>
      <c r="AX107" s="101"/>
      <c r="AY107" s="106"/>
      <c r="AZ107" s="101"/>
      <c r="BA107" s="101"/>
    </row>
    <row r="108" spans="1:53" s="34" customFormat="1" ht="12" x14ac:dyDescent="0.2">
      <c r="A108" s="19" t="s">
        <v>6</v>
      </c>
      <c r="B108" s="7" t="s">
        <v>7</v>
      </c>
      <c r="C108" s="7" t="s">
        <v>8</v>
      </c>
      <c r="D108" s="3" t="s">
        <v>9</v>
      </c>
      <c r="E108" s="7" t="s">
        <v>7</v>
      </c>
      <c r="F108" s="7" t="s">
        <v>8</v>
      </c>
      <c r="G108" s="7" t="s">
        <v>9</v>
      </c>
      <c r="H108" s="7" t="s">
        <v>7</v>
      </c>
      <c r="I108" s="3" t="s">
        <v>8</v>
      </c>
      <c r="J108" s="7" t="s">
        <v>9</v>
      </c>
      <c r="K108" s="42" t="s">
        <v>7</v>
      </c>
      <c r="L108" s="42" t="s">
        <v>10</v>
      </c>
      <c r="M108" s="42" t="s">
        <v>9</v>
      </c>
      <c r="N108" s="70" t="s">
        <v>11</v>
      </c>
      <c r="O108" s="70" t="s">
        <v>10</v>
      </c>
      <c r="P108" s="70" t="s">
        <v>9</v>
      </c>
      <c r="Q108" s="70" t="s">
        <v>11</v>
      </c>
      <c r="R108" s="70" t="s">
        <v>10</v>
      </c>
      <c r="S108" s="70" t="s">
        <v>9</v>
      </c>
      <c r="T108" s="120" t="s">
        <v>11</v>
      </c>
      <c r="U108" s="120" t="s">
        <v>10</v>
      </c>
      <c r="V108" s="120" t="s">
        <v>9</v>
      </c>
      <c r="W108" s="120" t="s">
        <v>11</v>
      </c>
      <c r="X108" s="120" t="s">
        <v>10</v>
      </c>
      <c r="Y108" s="120" t="s">
        <v>9</v>
      </c>
      <c r="Z108" s="120" t="s">
        <v>11</v>
      </c>
      <c r="AA108" s="120" t="s">
        <v>10</v>
      </c>
      <c r="AB108" s="120" t="s">
        <v>9</v>
      </c>
      <c r="AC108" s="118" t="s">
        <v>11</v>
      </c>
      <c r="AD108" s="118" t="s">
        <v>10</v>
      </c>
      <c r="AE108" s="118" t="s">
        <v>9</v>
      </c>
      <c r="AF108" s="118" t="s">
        <v>11</v>
      </c>
      <c r="AG108" s="118" t="s">
        <v>10</v>
      </c>
      <c r="AH108" s="118" t="s">
        <v>9</v>
      </c>
      <c r="AI108" s="118" t="s">
        <v>11</v>
      </c>
      <c r="AJ108" s="118" t="s">
        <v>10</v>
      </c>
      <c r="AK108" s="118" t="s">
        <v>9</v>
      </c>
      <c r="AL108" s="118" t="s">
        <v>11</v>
      </c>
      <c r="AM108" s="118" t="s">
        <v>10</v>
      </c>
      <c r="AN108" s="118" t="s">
        <v>9</v>
      </c>
      <c r="AO108" s="42" t="s">
        <v>11</v>
      </c>
      <c r="AP108" s="42" t="s">
        <v>10</v>
      </c>
      <c r="AQ108" s="42" t="s">
        <v>9</v>
      </c>
      <c r="AR108" s="42" t="s">
        <v>11</v>
      </c>
      <c r="AS108" s="42" t="s">
        <v>10</v>
      </c>
      <c r="AT108" s="42" t="s">
        <v>9</v>
      </c>
      <c r="AU108" s="42" t="s">
        <v>11</v>
      </c>
      <c r="AV108" s="42" t="s">
        <v>10</v>
      </c>
      <c r="AW108" s="42" t="s">
        <v>9</v>
      </c>
      <c r="AX108" s="101"/>
      <c r="AY108" s="106"/>
      <c r="AZ108" s="101"/>
      <c r="BA108" s="101"/>
    </row>
    <row r="109" spans="1:53" s="34" customFormat="1" ht="12" x14ac:dyDescent="0.2">
      <c r="A109" s="20"/>
      <c r="E109" s="11"/>
      <c r="F109" s="11"/>
      <c r="G109" s="11"/>
      <c r="H109" s="11"/>
      <c r="I109" s="11"/>
      <c r="J109" s="11"/>
      <c r="K109" s="20"/>
      <c r="L109" s="20"/>
      <c r="M109" s="20"/>
      <c r="N109" s="64"/>
      <c r="O109" s="64"/>
      <c r="P109" s="64"/>
      <c r="Q109" s="64"/>
      <c r="R109" s="64"/>
      <c r="S109" s="64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119"/>
      <c r="AE109" s="114"/>
      <c r="AF109" s="81"/>
      <c r="AG109" s="119"/>
      <c r="AH109" s="114"/>
      <c r="AI109" s="81"/>
      <c r="AJ109" s="119"/>
      <c r="AK109" s="114"/>
      <c r="AL109" s="81"/>
      <c r="AM109" s="119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01"/>
      <c r="AY109" s="106"/>
      <c r="AZ109" s="101"/>
      <c r="BA109" s="101"/>
    </row>
    <row r="110" spans="1:53" x14ac:dyDescent="0.2">
      <c r="A110" s="10" t="s">
        <v>55</v>
      </c>
      <c r="B110" s="50"/>
      <c r="C110" s="50"/>
      <c r="D110" s="50"/>
      <c r="E110" s="22"/>
      <c r="F110" s="22"/>
      <c r="G110" s="22"/>
      <c r="H110" s="22"/>
      <c r="I110" s="22"/>
      <c r="J110" s="22"/>
      <c r="K110" s="51"/>
      <c r="L110" s="51"/>
      <c r="M110" s="51"/>
      <c r="N110" s="58"/>
      <c r="O110" s="58"/>
      <c r="P110" s="58"/>
      <c r="Q110" s="58"/>
      <c r="R110" s="58"/>
      <c r="S110" s="58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4"/>
      <c r="AE110" s="114"/>
      <c r="AF110" s="113"/>
      <c r="AG110" s="114"/>
      <c r="AH110" s="114"/>
      <c r="AI110" s="113"/>
      <c r="AJ110" s="114"/>
      <c r="AK110" s="114"/>
      <c r="AL110" s="113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</row>
    <row r="111" spans="1:53" s="80" customFormat="1" x14ac:dyDescent="0.2">
      <c r="A111" s="10" t="s">
        <v>15</v>
      </c>
      <c r="B111" s="78">
        <f>C111+D111</f>
        <v>11610</v>
      </c>
      <c r="C111" s="78">
        <v>8042</v>
      </c>
      <c r="D111" s="78">
        <v>3568</v>
      </c>
      <c r="E111" s="79">
        <f t="shared" ref="E111:E117" si="98">SUM(F111:H111)</f>
        <v>25068</v>
      </c>
      <c r="F111" s="79">
        <v>8759</v>
      </c>
      <c r="G111" s="79">
        <v>3681</v>
      </c>
      <c r="H111" s="79">
        <f t="shared" ref="H111:H117" si="99">SUM(I111:J111)</f>
        <v>12628</v>
      </c>
      <c r="I111" s="79">
        <v>9026</v>
      </c>
      <c r="J111" s="78">
        <v>3602</v>
      </c>
      <c r="K111" s="77">
        <f t="shared" ref="K111:K117" si="100">SUM(L111:M111)</f>
        <v>13393</v>
      </c>
      <c r="L111" s="77">
        <v>9636</v>
      </c>
      <c r="M111" s="77">
        <v>3757</v>
      </c>
      <c r="N111" s="91">
        <f>SUM(O111:P111)</f>
        <v>14188</v>
      </c>
      <c r="O111" s="91">
        <v>10529</v>
      </c>
      <c r="P111" s="91">
        <v>3659</v>
      </c>
      <c r="Q111" s="91">
        <f>SUM(Q113:Q116)</f>
        <v>14277</v>
      </c>
      <c r="R111" s="91">
        <f>SUM(R113:R116)</f>
        <v>10892</v>
      </c>
      <c r="S111" s="91">
        <f>SUM(S113:S116)</f>
        <v>3385</v>
      </c>
      <c r="T111" s="115">
        <f>SUM(T112:T116)</f>
        <v>10071</v>
      </c>
      <c r="U111" s="115">
        <f>SUM(U112:U116)</f>
        <v>10071</v>
      </c>
      <c r="V111" s="115" t="s">
        <v>13</v>
      </c>
      <c r="W111" s="115">
        <f t="shared" ref="W111:AB111" si="101">SUM(W112:W116)</f>
        <v>13130</v>
      </c>
      <c r="X111" s="115">
        <f t="shared" si="101"/>
        <v>9435</v>
      </c>
      <c r="Y111" s="115">
        <f t="shared" si="101"/>
        <v>3695</v>
      </c>
      <c r="Z111" s="115">
        <f t="shared" si="101"/>
        <v>13230</v>
      </c>
      <c r="AA111" s="115">
        <f t="shared" si="101"/>
        <v>9528</v>
      </c>
      <c r="AB111" s="115">
        <f t="shared" si="101"/>
        <v>3702</v>
      </c>
      <c r="AC111" s="115">
        <f>SUM(AC112:AC116)</f>
        <v>13154</v>
      </c>
      <c r="AD111" s="115">
        <f>SUM(AD112:AD116)</f>
        <v>9437</v>
      </c>
      <c r="AE111" s="115">
        <f>SUM(AE112:AE116)</f>
        <v>3717</v>
      </c>
      <c r="AF111" s="115">
        <f>SUM(AG111:AH111)</f>
        <v>13219</v>
      </c>
      <c r="AG111" s="115">
        <f>SUM(AG113:AG116)</f>
        <v>9504</v>
      </c>
      <c r="AH111" s="115">
        <v>3715</v>
      </c>
      <c r="AI111" s="115">
        <f>SUM(AJ111:AK111)</f>
        <v>12964</v>
      </c>
      <c r="AJ111" s="115">
        <f>SUM(AJ113:AJ116)</f>
        <v>9303</v>
      </c>
      <c r="AK111" s="115">
        <v>3661</v>
      </c>
      <c r="AL111" s="115">
        <f t="shared" ref="AL111:AL116" si="102">SUM(AM111:AN111)</f>
        <v>12703</v>
      </c>
      <c r="AM111" s="115">
        <f>SUM(AM112:AM116)</f>
        <v>9136</v>
      </c>
      <c r="AN111" s="115">
        <f>SUM(AN112:AN116)</f>
        <v>3567</v>
      </c>
      <c r="AO111" s="115">
        <f t="shared" ref="AO111:AO117" si="103">SUM(AP111:AQ111)</f>
        <v>12733</v>
      </c>
      <c r="AP111" s="115">
        <f>SUM(AP112:AP116)</f>
        <v>8927</v>
      </c>
      <c r="AQ111" s="115">
        <f>SUM(AQ112:AQ116)</f>
        <v>3806</v>
      </c>
      <c r="AR111" s="115">
        <f t="shared" ref="AR111:AR117" si="104">SUM(AS111:AT111)</f>
        <v>12500</v>
      </c>
      <c r="AS111" s="115">
        <v>9095</v>
      </c>
      <c r="AT111" s="115">
        <v>3405</v>
      </c>
      <c r="AU111" s="115">
        <f t="shared" ref="AU111:AU117" si="105">SUM(AV111:AW111)</f>
        <v>12795</v>
      </c>
      <c r="AV111" s="115">
        <v>9231</v>
      </c>
      <c r="AW111" s="115">
        <v>3564</v>
      </c>
      <c r="AX111" s="102"/>
      <c r="AY111" s="108"/>
      <c r="AZ111" s="102"/>
      <c r="BA111" s="102"/>
    </row>
    <row r="112" spans="1:53" x14ac:dyDescent="0.2">
      <c r="A112" s="52" t="s">
        <v>49</v>
      </c>
      <c r="B112" s="50" t="s">
        <v>51</v>
      </c>
      <c r="C112" s="50" t="s">
        <v>51</v>
      </c>
      <c r="D112" s="50" t="s">
        <v>51</v>
      </c>
      <c r="E112" s="50" t="s">
        <v>51</v>
      </c>
      <c r="F112" s="50" t="s">
        <v>51</v>
      </c>
      <c r="G112" s="50" t="s">
        <v>51</v>
      </c>
      <c r="H112" s="50" t="s">
        <v>51</v>
      </c>
      <c r="I112" s="50" t="s">
        <v>51</v>
      </c>
      <c r="J112" s="50" t="s">
        <v>51</v>
      </c>
      <c r="K112" s="50" t="s">
        <v>51</v>
      </c>
      <c r="L112" s="50" t="s">
        <v>51</v>
      </c>
      <c r="M112" s="50" t="s">
        <v>51</v>
      </c>
      <c r="N112" s="93" t="s">
        <v>51</v>
      </c>
      <c r="O112" s="93" t="s">
        <v>51</v>
      </c>
      <c r="P112" s="93" t="s">
        <v>51</v>
      </c>
      <c r="Q112" s="93" t="s">
        <v>51</v>
      </c>
      <c r="R112" s="93" t="s">
        <v>51</v>
      </c>
      <c r="S112" s="93" t="s">
        <v>51</v>
      </c>
      <c r="T112" s="113">
        <f>SUM(U112:V112)</f>
        <v>106</v>
      </c>
      <c r="U112" s="113">
        <f>50+56</f>
        <v>106</v>
      </c>
      <c r="V112" s="113" t="s">
        <v>13</v>
      </c>
      <c r="W112" s="113">
        <f>SUM(X112:Y112)</f>
        <v>0</v>
      </c>
      <c r="X112" s="113">
        <v>0</v>
      </c>
      <c r="Y112" s="113">
        <v>0</v>
      </c>
      <c r="Z112" s="113">
        <f>SUM(AA112:AB112)</f>
        <v>0</v>
      </c>
      <c r="AA112" s="113">
        <v>0</v>
      </c>
      <c r="AB112" s="113">
        <v>0</v>
      </c>
      <c r="AC112" s="113">
        <f>SUM(AD112:AE112)</f>
        <v>0</v>
      </c>
      <c r="AD112" s="113">
        <v>0</v>
      </c>
      <c r="AE112" s="113">
        <v>0</v>
      </c>
      <c r="AF112" s="113">
        <v>0</v>
      </c>
      <c r="AG112" s="113">
        <v>0</v>
      </c>
      <c r="AH112" s="113">
        <v>0</v>
      </c>
      <c r="AI112" s="113">
        <v>0</v>
      </c>
      <c r="AJ112" s="113">
        <v>0</v>
      </c>
      <c r="AK112" s="113">
        <v>0</v>
      </c>
      <c r="AL112" s="113">
        <f t="shared" si="102"/>
        <v>0</v>
      </c>
      <c r="AM112" s="113"/>
      <c r="AN112" s="113"/>
      <c r="AO112" s="113">
        <f t="shared" si="103"/>
        <v>0</v>
      </c>
      <c r="AP112" s="113"/>
      <c r="AQ112" s="113"/>
      <c r="AR112" s="113">
        <f t="shared" si="104"/>
        <v>0</v>
      </c>
      <c r="AS112" s="113"/>
      <c r="AT112" s="113"/>
      <c r="AU112" s="113" t="s">
        <v>13</v>
      </c>
      <c r="AV112" s="113" t="s">
        <v>13</v>
      </c>
      <c r="AW112" s="113" t="s">
        <v>13</v>
      </c>
    </row>
    <row r="113" spans="1:53" x14ac:dyDescent="0.2">
      <c r="A113" s="49" t="s">
        <v>25</v>
      </c>
      <c r="B113" s="50">
        <f>C113+D113</f>
        <v>3841</v>
      </c>
      <c r="C113" s="50">
        <v>2885</v>
      </c>
      <c r="D113" s="50">
        <v>956</v>
      </c>
      <c r="E113" s="22">
        <f t="shared" si="98"/>
        <v>8000</v>
      </c>
      <c r="F113" s="22">
        <v>2790</v>
      </c>
      <c r="G113" s="22">
        <v>1058</v>
      </c>
      <c r="H113" s="22">
        <f t="shared" si="99"/>
        <v>4152</v>
      </c>
      <c r="I113" s="22">
        <v>3067</v>
      </c>
      <c r="J113" s="50">
        <v>1085</v>
      </c>
      <c r="K113" s="51">
        <f t="shared" si="100"/>
        <v>4506</v>
      </c>
      <c r="L113" s="51">
        <v>3323</v>
      </c>
      <c r="M113" s="51">
        <v>1183</v>
      </c>
      <c r="N113" s="59">
        <f>SUM(O113:P113)</f>
        <v>4599</v>
      </c>
      <c r="O113" s="59">
        <v>3506</v>
      </c>
      <c r="P113" s="59">
        <v>1093</v>
      </c>
      <c r="Q113" s="58">
        <f>SUM(R113:S113)</f>
        <v>4288</v>
      </c>
      <c r="R113" s="59">
        <v>3421</v>
      </c>
      <c r="S113" s="59">
        <v>867</v>
      </c>
      <c r="T113" s="113">
        <f>SUM(U113:V113)</f>
        <v>2915</v>
      </c>
      <c r="U113" s="113">
        <f>1284+1631</f>
        <v>2915</v>
      </c>
      <c r="V113" s="113" t="s">
        <v>13</v>
      </c>
      <c r="W113" s="113">
        <f>SUM(X113:Y113)</f>
        <v>4001</v>
      </c>
      <c r="X113" s="113">
        <v>2949</v>
      </c>
      <c r="Y113" s="113">
        <v>1052</v>
      </c>
      <c r="Z113" s="113">
        <f>SUM(AA113:AB113)</f>
        <v>4051</v>
      </c>
      <c r="AA113" s="113">
        <v>3003</v>
      </c>
      <c r="AB113" s="113">
        <v>1048</v>
      </c>
      <c r="AC113" s="113">
        <f>SUM(AD113:AE113)</f>
        <v>3962</v>
      </c>
      <c r="AD113" s="114">
        <v>2946</v>
      </c>
      <c r="AE113" s="113">
        <v>1016</v>
      </c>
      <c r="AF113" s="113">
        <f>SUM(AG113:AH113)</f>
        <v>2870</v>
      </c>
      <c r="AG113" s="113">
        <v>2870</v>
      </c>
      <c r="AH113" s="113" t="s">
        <v>13</v>
      </c>
      <c r="AI113" s="53">
        <f>SUM(AJ113:AK113)</f>
        <v>2693</v>
      </c>
      <c r="AJ113" s="113">
        <f>[1]Sec!$C$14+[1]Sec!$D$14</f>
        <v>2693</v>
      </c>
      <c r="AK113" s="113" t="s">
        <v>13</v>
      </c>
      <c r="AL113" s="113">
        <f t="shared" si="102"/>
        <v>3675</v>
      </c>
      <c r="AM113" s="113">
        <v>2665</v>
      </c>
      <c r="AN113" s="113">
        <v>1010</v>
      </c>
      <c r="AO113" s="113">
        <f t="shared" si="103"/>
        <v>3673</v>
      </c>
      <c r="AP113" s="113">
        <v>2477</v>
      </c>
      <c r="AQ113" s="113">
        <v>1196</v>
      </c>
      <c r="AR113" s="113">
        <f t="shared" si="104"/>
        <v>3933</v>
      </c>
      <c r="AS113" s="113">
        <v>2797</v>
      </c>
      <c r="AT113" s="53">
        <v>1136</v>
      </c>
      <c r="AU113" s="113" t="s">
        <v>13</v>
      </c>
      <c r="AV113" s="113" t="s">
        <v>13</v>
      </c>
      <c r="AW113" s="113" t="s">
        <v>13</v>
      </c>
    </row>
    <row r="114" spans="1:53" x14ac:dyDescent="0.2">
      <c r="A114" s="49" t="s">
        <v>26</v>
      </c>
      <c r="B114" s="50">
        <f>C114+D114</f>
        <v>2987</v>
      </c>
      <c r="C114" s="50">
        <v>2138</v>
      </c>
      <c r="D114" s="50">
        <v>849</v>
      </c>
      <c r="E114" s="22">
        <f t="shared" si="98"/>
        <v>6395</v>
      </c>
      <c r="F114" s="22">
        <v>2370</v>
      </c>
      <c r="G114" s="22">
        <v>910</v>
      </c>
      <c r="H114" s="22">
        <f t="shared" si="99"/>
        <v>3115</v>
      </c>
      <c r="I114" s="22">
        <v>2197</v>
      </c>
      <c r="J114" s="50">
        <v>918</v>
      </c>
      <c r="K114" s="51">
        <f t="shared" si="100"/>
        <v>3439</v>
      </c>
      <c r="L114" s="51">
        <v>2447</v>
      </c>
      <c r="M114" s="51">
        <v>992</v>
      </c>
      <c r="N114" s="59">
        <f>SUM(O114:P114)</f>
        <v>3761</v>
      </c>
      <c r="O114" s="59">
        <v>2803</v>
      </c>
      <c r="P114" s="59">
        <v>958</v>
      </c>
      <c r="Q114" s="58">
        <f>SUM(R114:S114)</f>
        <v>3715</v>
      </c>
      <c r="R114" s="59">
        <v>2850</v>
      </c>
      <c r="S114" s="59">
        <v>865</v>
      </c>
      <c r="T114" s="113">
        <f>SUM(U114:V114)</f>
        <v>2655</v>
      </c>
      <c r="U114" s="113">
        <f>1172+1483</f>
        <v>2655</v>
      </c>
      <c r="V114" s="113" t="s">
        <v>13</v>
      </c>
      <c r="W114" s="113">
        <f>SUM(X114:Y114)</f>
        <v>3337</v>
      </c>
      <c r="X114" s="113">
        <v>2346</v>
      </c>
      <c r="Y114" s="113">
        <v>991</v>
      </c>
      <c r="Z114" s="113">
        <f>SUM(AA114:AB114)</f>
        <v>3410</v>
      </c>
      <c r="AA114" s="113">
        <v>2422</v>
      </c>
      <c r="AB114" s="113">
        <v>988</v>
      </c>
      <c r="AC114" s="113">
        <f>SUM(AD114:AE114)</f>
        <v>3318</v>
      </c>
      <c r="AD114" s="114">
        <v>2421</v>
      </c>
      <c r="AE114" s="113">
        <v>897</v>
      </c>
      <c r="AF114" s="113">
        <f>SUM(AG114:AH114)</f>
        <v>2479</v>
      </c>
      <c r="AG114" s="114">
        <v>2479</v>
      </c>
      <c r="AH114" s="113" t="s">
        <v>13</v>
      </c>
      <c r="AI114" s="53">
        <f>SUM(AJ114:AK114)</f>
        <v>2407</v>
      </c>
      <c r="AJ114" s="114">
        <f>[1]Sec!$E$14+[1]Sec!$F$14</f>
        <v>2407</v>
      </c>
      <c r="AK114" s="113" t="s">
        <v>13</v>
      </c>
      <c r="AL114" s="113">
        <f t="shared" si="102"/>
        <v>3241</v>
      </c>
      <c r="AM114" s="113">
        <v>2324</v>
      </c>
      <c r="AN114" s="113">
        <v>917</v>
      </c>
      <c r="AO114" s="113">
        <f t="shared" si="103"/>
        <v>3307</v>
      </c>
      <c r="AP114" s="113">
        <v>2359</v>
      </c>
      <c r="AQ114" s="113">
        <v>948</v>
      </c>
      <c r="AR114" s="113">
        <f t="shared" si="104"/>
        <v>3241</v>
      </c>
      <c r="AS114" s="113">
        <v>2212</v>
      </c>
      <c r="AT114" s="53">
        <v>1029</v>
      </c>
      <c r="AU114" s="113" t="s">
        <v>13</v>
      </c>
      <c r="AV114" s="113" t="s">
        <v>13</v>
      </c>
      <c r="AW114" s="113" t="s">
        <v>13</v>
      </c>
    </row>
    <row r="115" spans="1:53" x14ac:dyDescent="0.2">
      <c r="A115" s="49" t="s">
        <v>27</v>
      </c>
      <c r="B115" s="50">
        <f>C115+D115</f>
        <v>2597</v>
      </c>
      <c r="C115" s="50">
        <v>1622</v>
      </c>
      <c r="D115" s="50">
        <v>975</v>
      </c>
      <c r="E115" s="22">
        <f t="shared" si="98"/>
        <v>5716</v>
      </c>
      <c r="F115" s="22">
        <v>1982</v>
      </c>
      <c r="G115" s="22">
        <v>829</v>
      </c>
      <c r="H115" s="22">
        <f t="shared" si="99"/>
        <v>2905</v>
      </c>
      <c r="I115" s="22">
        <v>2061</v>
      </c>
      <c r="J115" s="50">
        <v>844</v>
      </c>
      <c r="K115" s="51">
        <f t="shared" si="100"/>
        <v>2877</v>
      </c>
      <c r="L115" s="51">
        <v>2040</v>
      </c>
      <c r="M115" s="51">
        <v>837</v>
      </c>
      <c r="N115" s="59">
        <f>SUM(O115:P115)</f>
        <v>3167</v>
      </c>
      <c r="O115" s="59">
        <v>2308</v>
      </c>
      <c r="P115" s="59">
        <v>859</v>
      </c>
      <c r="Q115" s="58">
        <f>SUM(R115:S115)</f>
        <v>3401</v>
      </c>
      <c r="R115" s="59">
        <v>2530</v>
      </c>
      <c r="S115" s="59">
        <v>871</v>
      </c>
      <c r="T115" s="113">
        <f>SUM(U115:V115)</f>
        <v>2312</v>
      </c>
      <c r="U115" s="113">
        <f>926+1386</f>
        <v>2312</v>
      </c>
      <c r="V115" s="113" t="s">
        <v>13</v>
      </c>
      <c r="W115" s="113">
        <f>SUM(X115:Y115)</f>
        <v>3067</v>
      </c>
      <c r="X115" s="113">
        <v>2254</v>
      </c>
      <c r="Y115" s="113">
        <v>813</v>
      </c>
      <c r="Z115" s="113">
        <f>SUM(AA115:AB115)</f>
        <v>2941</v>
      </c>
      <c r="AA115" s="113">
        <v>2104</v>
      </c>
      <c r="AB115" s="113">
        <v>837</v>
      </c>
      <c r="AC115" s="113">
        <f>SUM(AD115:AE115)</f>
        <v>3113</v>
      </c>
      <c r="AD115" s="114">
        <v>2173</v>
      </c>
      <c r="AE115" s="113">
        <v>940</v>
      </c>
      <c r="AF115" s="113">
        <f>SUM(AG115:AH115)</f>
        <v>2225</v>
      </c>
      <c r="AG115" s="114">
        <v>2225</v>
      </c>
      <c r="AH115" s="113" t="s">
        <v>13</v>
      </c>
      <c r="AI115" s="53">
        <f>SUM(AJ115:AK115)</f>
        <v>2195</v>
      </c>
      <c r="AJ115" s="114">
        <f>[1]Sec!$G$14+[1]Sec!$H$14</f>
        <v>2195</v>
      </c>
      <c r="AK115" s="113" t="s">
        <v>13</v>
      </c>
      <c r="AL115" s="113">
        <f t="shared" si="102"/>
        <v>3032</v>
      </c>
      <c r="AM115" s="113">
        <v>2176</v>
      </c>
      <c r="AN115" s="113">
        <v>856</v>
      </c>
      <c r="AO115" s="113">
        <f t="shared" si="103"/>
        <v>2993</v>
      </c>
      <c r="AP115" s="113">
        <v>2121</v>
      </c>
      <c r="AQ115" s="113">
        <v>872</v>
      </c>
      <c r="AR115" s="113">
        <f t="shared" si="104"/>
        <v>2649</v>
      </c>
      <c r="AS115" s="113">
        <v>2188</v>
      </c>
      <c r="AT115" s="53">
        <v>461</v>
      </c>
      <c r="AU115" s="113" t="s">
        <v>13</v>
      </c>
      <c r="AV115" s="113" t="s">
        <v>13</v>
      </c>
      <c r="AW115" s="113" t="s">
        <v>13</v>
      </c>
    </row>
    <row r="116" spans="1:53" x14ac:dyDescent="0.2">
      <c r="A116" s="49" t="s">
        <v>28</v>
      </c>
      <c r="B116" s="50">
        <f>C116+D116</f>
        <v>2185</v>
      </c>
      <c r="C116" s="50">
        <v>1397</v>
      </c>
      <c r="D116" s="50">
        <v>788</v>
      </c>
      <c r="E116" s="22">
        <f t="shared" si="98"/>
        <v>4957</v>
      </c>
      <c r="F116" s="22">
        <v>1617</v>
      </c>
      <c r="G116" s="22">
        <v>884</v>
      </c>
      <c r="H116" s="22">
        <f t="shared" si="99"/>
        <v>2456</v>
      </c>
      <c r="I116" s="22">
        <v>1701</v>
      </c>
      <c r="J116" s="50">
        <v>755</v>
      </c>
      <c r="K116" s="51">
        <f t="shared" si="100"/>
        <v>2571</v>
      </c>
      <c r="L116" s="51">
        <v>1826</v>
      </c>
      <c r="M116" s="51">
        <v>745</v>
      </c>
      <c r="N116" s="59">
        <f>SUM(O116:P116)</f>
        <v>2661</v>
      </c>
      <c r="O116" s="59">
        <v>1912</v>
      </c>
      <c r="P116" s="59">
        <v>749</v>
      </c>
      <c r="Q116" s="58">
        <f>SUM(R116:S116)</f>
        <v>2873</v>
      </c>
      <c r="R116" s="59">
        <v>2091</v>
      </c>
      <c r="S116" s="59">
        <v>782</v>
      </c>
      <c r="T116" s="113">
        <f>SUM(U116:V116)</f>
        <v>2083</v>
      </c>
      <c r="U116" s="113">
        <f>822+1261</f>
        <v>2083</v>
      </c>
      <c r="V116" s="113" t="s">
        <v>13</v>
      </c>
      <c r="W116" s="113">
        <f>SUM(X116:Y116)</f>
        <v>2725</v>
      </c>
      <c r="X116" s="113">
        <v>1886</v>
      </c>
      <c r="Y116" s="113">
        <v>839</v>
      </c>
      <c r="Z116" s="113">
        <f>SUM(AA116:AB116)</f>
        <v>2828</v>
      </c>
      <c r="AA116" s="113">
        <v>1999</v>
      </c>
      <c r="AB116" s="113">
        <v>829</v>
      </c>
      <c r="AC116" s="113">
        <f>SUM(AD116:AE116)</f>
        <v>2761</v>
      </c>
      <c r="AD116" s="114">
        <v>1897</v>
      </c>
      <c r="AE116" s="113">
        <v>864</v>
      </c>
      <c r="AF116" s="113">
        <f>SUM(AG116:AH116)</f>
        <v>1930</v>
      </c>
      <c r="AG116" s="114">
        <v>1930</v>
      </c>
      <c r="AH116" s="113" t="s">
        <v>13</v>
      </c>
      <c r="AI116" s="53">
        <f>SUM(AJ116:AK116)</f>
        <v>2008</v>
      </c>
      <c r="AJ116" s="114">
        <f>[1]Sec!$I$14+[1]Sec!$J$14</f>
        <v>2008</v>
      </c>
      <c r="AK116" s="113" t="s">
        <v>13</v>
      </c>
      <c r="AL116" s="113">
        <f t="shared" si="102"/>
        <v>2755</v>
      </c>
      <c r="AM116" s="113">
        <v>1971</v>
      </c>
      <c r="AN116" s="113">
        <v>784</v>
      </c>
      <c r="AO116" s="113">
        <f t="shared" si="103"/>
        <v>2760</v>
      </c>
      <c r="AP116" s="113">
        <v>1970</v>
      </c>
      <c r="AQ116" s="113">
        <v>790</v>
      </c>
      <c r="AR116" s="113">
        <f t="shared" si="104"/>
        <v>2677</v>
      </c>
      <c r="AS116" s="113">
        <v>1898</v>
      </c>
      <c r="AT116" s="53">
        <v>779</v>
      </c>
      <c r="AU116" s="113" t="s">
        <v>13</v>
      </c>
      <c r="AV116" s="113" t="s">
        <v>13</v>
      </c>
      <c r="AW116" s="113" t="s">
        <v>13</v>
      </c>
    </row>
    <row r="117" spans="1:53" s="80" customFormat="1" x14ac:dyDescent="0.2">
      <c r="A117" s="10" t="s">
        <v>38</v>
      </c>
      <c r="B117" s="78">
        <v>1840</v>
      </c>
      <c r="C117" s="78">
        <v>1840</v>
      </c>
      <c r="D117" s="78" t="s">
        <v>30</v>
      </c>
      <c r="E117" s="79">
        <f t="shared" si="98"/>
        <v>4277</v>
      </c>
      <c r="F117" s="78" t="s">
        <v>30</v>
      </c>
      <c r="G117" s="79">
        <v>2106</v>
      </c>
      <c r="H117" s="79">
        <f t="shared" si="99"/>
        <v>2171</v>
      </c>
      <c r="I117" s="79">
        <v>2171</v>
      </c>
      <c r="J117" s="78" t="s">
        <v>30</v>
      </c>
      <c r="K117" s="77">
        <f t="shared" si="100"/>
        <v>2114</v>
      </c>
      <c r="L117" s="77">
        <v>2114</v>
      </c>
      <c r="M117" s="81">
        <v>0</v>
      </c>
      <c r="N117" s="91">
        <v>2167</v>
      </c>
      <c r="O117" s="92">
        <v>2167</v>
      </c>
      <c r="P117" s="65">
        <v>0</v>
      </c>
      <c r="Q117" s="92">
        <v>2079</v>
      </c>
      <c r="R117" s="92">
        <v>2079</v>
      </c>
      <c r="S117" s="92">
        <v>0</v>
      </c>
      <c r="T117" s="115">
        <v>2372</v>
      </c>
      <c r="U117" s="115">
        <v>2201</v>
      </c>
      <c r="V117" s="115">
        <v>0</v>
      </c>
      <c r="W117" s="115">
        <f>X117+Y117</f>
        <v>2359</v>
      </c>
      <c r="X117" s="115">
        <v>2359</v>
      </c>
      <c r="Y117" s="115">
        <v>0</v>
      </c>
      <c r="Z117" s="115">
        <f>AA117+AB117</f>
        <v>2971</v>
      </c>
      <c r="AA117" s="115">
        <v>2971</v>
      </c>
      <c r="AB117" s="115">
        <v>0</v>
      </c>
      <c r="AC117" s="115">
        <f>AD117+AE117</f>
        <v>4155</v>
      </c>
      <c r="AD117" s="115">
        <v>4155</v>
      </c>
      <c r="AE117" s="115">
        <v>0</v>
      </c>
      <c r="AF117" s="115">
        <f>SUM(AG117:AH117)</f>
        <v>2867</v>
      </c>
      <c r="AG117" s="115">
        <v>2867</v>
      </c>
      <c r="AH117" s="115">
        <v>0</v>
      </c>
      <c r="AI117" s="115">
        <f>AJ117+AK117</f>
        <v>4049</v>
      </c>
      <c r="AJ117" s="115">
        <v>4049</v>
      </c>
      <c r="AK117" s="115">
        <v>0</v>
      </c>
      <c r="AL117" s="115">
        <f>SUM(AM117:AN117)</f>
        <v>4917</v>
      </c>
      <c r="AM117" s="115">
        <v>4917</v>
      </c>
      <c r="AN117" s="115">
        <v>0</v>
      </c>
      <c r="AO117" s="115">
        <f t="shared" si="103"/>
        <v>5492</v>
      </c>
      <c r="AP117" s="115">
        <v>5492</v>
      </c>
      <c r="AQ117" s="115">
        <v>0</v>
      </c>
      <c r="AR117" s="115">
        <f t="shared" si="104"/>
        <v>6622</v>
      </c>
      <c r="AS117" s="115">
        <v>6622</v>
      </c>
      <c r="AT117" s="115">
        <v>0</v>
      </c>
      <c r="AU117" s="115">
        <f t="shared" si="105"/>
        <v>7156</v>
      </c>
      <c r="AV117" s="115">
        <v>7156</v>
      </c>
      <c r="AW117" s="115">
        <v>0</v>
      </c>
      <c r="AX117" s="102"/>
      <c r="AY117" s="108"/>
      <c r="AZ117" s="102"/>
      <c r="BA117" s="102"/>
    </row>
    <row r="118" spans="1:53" x14ac:dyDescent="0.2">
      <c r="A118" s="49"/>
      <c r="B118" s="50"/>
      <c r="C118" s="50"/>
      <c r="D118" s="50"/>
      <c r="E118" s="22"/>
      <c r="F118" s="50"/>
      <c r="G118" s="22"/>
      <c r="H118" s="22"/>
      <c r="I118" s="22"/>
      <c r="J118" s="50"/>
      <c r="K118" s="51"/>
      <c r="L118" s="51"/>
      <c r="M118" s="51"/>
      <c r="N118" s="58"/>
      <c r="O118" s="58"/>
      <c r="P118" s="58"/>
      <c r="Q118" s="58"/>
      <c r="R118" s="58"/>
      <c r="S118" s="58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4"/>
      <c r="AE118" s="114"/>
      <c r="AF118" s="113"/>
      <c r="AG118" s="114"/>
      <c r="AH118" s="114"/>
      <c r="AI118" s="113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</row>
    <row r="119" spans="1:53" s="44" customFormat="1" ht="13.5" customHeight="1" x14ac:dyDescent="0.2">
      <c r="A119" s="10" t="s">
        <v>34</v>
      </c>
      <c r="B119" s="50"/>
      <c r="C119" s="50"/>
      <c r="D119" s="50"/>
      <c r="E119" s="22"/>
      <c r="F119" s="22"/>
      <c r="G119" s="22"/>
      <c r="H119" s="22"/>
      <c r="I119" s="22"/>
      <c r="J119" s="22"/>
      <c r="K119" s="51"/>
      <c r="L119" s="51"/>
      <c r="M119" s="51"/>
      <c r="N119" s="97"/>
      <c r="O119" s="97"/>
      <c r="P119" s="97"/>
      <c r="Q119" s="97"/>
      <c r="R119" s="97"/>
      <c r="S119" s="97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1"/>
      <c r="AE119" s="51"/>
      <c r="AF119" s="53"/>
      <c r="AG119" s="51"/>
      <c r="AH119" s="51"/>
      <c r="AI119" s="53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104"/>
      <c r="AY119" s="110"/>
      <c r="AZ119" s="104"/>
      <c r="BA119" s="104"/>
    </row>
    <row r="120" spans="1:53" s="34" customFormat="1" ht="13.5" customHeight="1" x14ac:dyDescent="0.2">
      <c r="A120" s="49" t="s">
        <v>12</v>
      </c>
      <c r="B120" s="50">
        <f t="shared" ref="B120:B133" si="106">C120+D120</f>
        <v>2320</v>
      </c>
      <c r="C120" s="50">
        <v>2103</v>
      </c>
      <c r="D120" s="50">
        <v>217</v>
      </c>
      <c r="E120" s="22">
        <f t="shared" ref="E120:E134" si="107">SUM(F120:H120)</f>
        <v>2386</v>
      </c>
      <c r="F120" s="50">
        <v>493</v>
      </c>
      <c r="G120" s="22">
        <v>642</v>
      </c>
      <c r="H120" s="22">
        <f t="shared" ref="H120:H134" si="108">SUM(I120:J120)</f>
        <v>1251</v>
      </c>
      <c r="I120" s="22">
        <v>1251</v>
      </c>
      <c r="J120" s="50" t="s">
        <v>35</v>
      </c>
      <c r="K120" s="51">
        <f t="shared" ref="K120:K134" si="109">SUM(L120:M120)</f>
        <v>1062</v>
      </c>
      <c r="L120" s="51">
        <v>790</v>
      </c>
      <c r="M120" s="51">
        <v>272</v>
      </c>
      <c r="N120" s="58">
        <f t="shared" ref="N120:N133" si="110">SUM(O120:P120)</f>
        <v>1047</v>
      </c>
      <c r="O120" s="58">
        <v>765</v>
      </c>
      <c r="P120" s="58">
        <v>282</v>
      </c>
      <c r="Q120" s="58">
        <f t="shared" ref="Q120:Q133" si="111">SUM(R120:S120)</f>
        <v>982</v>
      </c>
      <c r="R120" s="58">
        <v>750</v>
      </c>
      <c r="S120" s="58">
        <v>232</v>
      </c>
      <c r="T120" s="113" t="s">
        <v>13</v>
      </c>
      <c r="U120" s="113" t="s">
        <v>13</v>
      </c>
      <c r="V120" s="113" t="s">
        <v>13</v>
      </c>
      <c r="W120" s="113">
        <f t="shared" ref="W120:W134" si="112">SUM(X120:Y120)</f>
        <v>1185</v>
      </c>
      <c r="X120" s="113">
        <v>842</v>
      </c>
      <c r="Y120" s="113">
        <v>343</v>
      </c>
      <c r="Z120" s="113">
        <f t="shared" ref="Z120:Z133" si="113">SUM(AA120:AB120)</f>
        <v>1398</v>
      </c>
      <c r="AA120" s="113">
        <v>871</v>
      </c>
      <c r="AB120" s="113">
        <v>527</v>
      </c>
      <c r="AC120" s="113">
        <f t="shared" ref="AC120:AC133" si="114">SUM(AD120:AE120)</f>
        <v>2082</v>
      </c>
      <c r="AD120" s="113">
        <v>1190</v>
      </c>
      <c r="AE120" s="113">
        <v>892</v>
      </c>
      <c r="AF120" s="113">
        <f t="shared" ref="AF120:AF133" si="115">SUM(AG120:AH120)</f>
        <v>3183</v>
      </c>
      <c r="AG120" s="113">
        <v>2576</v>
      </c>
      <c r="AH120" s="113">
        <v>607</v>
      </c>
      <c r="AI120" s="113">
        <f t="shared" ref="AI120:AI133" si="116">SUM(AJ120:AK120)</f>
        <v>4004</v>
      </c>
      <c r="AJ120" s="113">
        <v>3332</v>
      </c>
      <c r="AK120" s="113">
        <v>672</v>
      </c>
      <c r="AL120" s="113">
        <f>SUM(AM120:AN120)</f>
        <v>4240</v>
      </c>
      <c r="AM120" s="113">
        <v>3683</v>
      </c>
      <c r="AN120" s="113">
        <v>557</v>
      </c>
      <c r="AO120" s="113">
        <f>SUM(AP120:AQ120)</f>
        <v>4945</v>
      </c>
      <c r="AP120" s="113">
        <v>4515</v>
      </c>
      <c r="AQ120" s="113">
        <v>430</v>
      </c>
      <c r="AR120" s="113">
        <f>SUM(AS120:AT120)</f>
        <v>5106</v>
      </c>
      <c r="AS120" s="113">
        <v>4448</v>
      </c>
      <c r="AT120" s="113">
        <v>658</v>
      </c>
      <c r="AU120" s="113">
        <f>SUM(AV120:AW120)</f>
        <v>5484</v>
      </c>
      <c r="AV120" s="113">
        <v>4795</v>
      </c>
      <c r="AW120" s="113">
        <v>689</v>
      </c>
      <c r="AX120" s="101"/>
      <c r="AY120" s="106"/>
      <c r="AZ120" s="101"/>
      <c r="BA120" s="101"/>
    </row>
    <row r="121" spans="1:53" s="68" customFormat="1" ht="13.5" customHeight="1" x14ac:dyDescent="0.2">
      <c r="A121" s="10" t="s">
        <v>14</v>
      </c>
      <c r="B121" s="78">
        <f t="shared" si="106"/>
        <v>34740</v>
      </c>
      <c r="C121" s="78">
        <v>33540</v>
      </c>
      <c r="D121" s="78">
        <v>1200</v>
      </c>
      <c r="E121" s="79">
        <f t="shared" si="107"/>
        <v>68963</v>
      </c>
      <c r="F121" s="79">
        <v>33292</v>
      </c>
      <c r="G121" s="79">
        <v>1311</v>
      </c>
      <c r="H121" s="79">
        <f t="shared" si="108"/>
        <v>34360</v>
      </c>
      <c r="I121" s="79">
        <v>33073</v>
      </c>
      <c r="J121" s="79">
        <v>1287</v>
      </c>
      <c r="K121" s="77">
        <f t="shared" si="109"/>
        <v>33959</v>
      </c>
      <c r="L121" s="77">
        <v>32774</v>
      </c>
      <c r="M121" s="77">
        <v>1185</v>
      </c>
      <c r="N121" s="91">
        <f t="shared" si="110"/>
        <v>33971</v>
      </c>
      <c r="O121" s="91">
        <v>32959</v>
      </c>
      <c r="P121" s="91">
        <v>1012</v>
      </c>
      <c r="Q121" s="91">
        <f t="shared" si="111"/>
        <v>34027</v>
      </c>
      <c r="R121" s="91">
        <f>SUM(R122:R127)</f>
        <v>33055</v>
      </c>
      <c r="S121" s="91">
        <f>SUM(S122:S127)</f>
        <v>972</v>
      </c>
      <c r="T121" s="115">
        <f t="shared" ref="T121:T133" si="117">SUM(U121:V121)</f>
        <v>32397</v>
      </c>
      <c r="U121" s="115">
        <f>SUM(U122:U127)</f>
        <v>32397</v>
      </c>
      <c r="V121" s="115" t="s">
        <v>13</v>
      </c>
      <c r="W121" s="115">
        <f t="shared" si="112"/>
        <v>33111</v>
      </c>
      <c r="X121" s="115">
        <f>SUM(X122:X127)</f>
        <v>31761</v>
      </c>
      <c r="Y121" s="115">
        <f>SUM(Y122:Y127)</f>
        <v>1350</v>
      </c>
      <c r="Z121" s="115">
        <f t="shared" si="113"/>
        <v>32844</v>
      </c>
      <c r="AA121" s="115">
        <f>SUM(AA122:AA127)</f>
        <v>31519</v>
      </c>
      <c r="AB121" s="115">
        <f>SUM(AB122:AB127)</f>
        <v>1325</v>
      </c>
      <c r="AC121" s="115">
        <f t="shared" si="114"/>
        <v>32300</v>
      </c>
      <c r="AD121" s="115">
        <f>SUM(AD122:AD127)</f>
        <v>31756</v>
      </c>
      <c r="AE121" s="115">
        <f>SUM(AE122:AE127)</f>
        <v>544</v>
      </c>
      <c r="AF121" s="115">
        <f t="shared" si="115"/>
        <v>33558</v>
      </c>
      <c r="AG121" s="115">
        <f>SUM(AG122:AG127)</f>
        <v>32190</v>
      </c>
      <c r="AH121" s="115">
        <f>SUM(AH122:AH127)</f>
        <v>1368</v>
      </c>
      <c r="AI121" s="115">
        <f t="shared" si="116"/>
        <v>34887</v>
      </c>
      <c r="AJ121" s="115">
        <f>SUM(AJ122:AJ127)</f>
        <v>33346</v>
      </c>
      <c r="AK121" s="115">
        <v>1541</v>
      </c>
      <c r="AL121" s="115">
        <f>SUM(AM121:AN121)</f>
        <v>35554</v>
      </c>
      <c r="AM121" s="115">
        <f>SUM(AM122:AM127)</f>
        <v>34044</v>
      </c>
      <c r="AN121" s="115">
        <f>SUM(AN122:AN127)</f>
        <v>1510</v>
      </c>
      <c r="AO121" s="115">
        <f>SUM(AP121:AQ121)</f>
        <v>35231</v>
      </c>
      <c r="AP121" s="115">
        <f>SUM(AP122:AP127)</f>
        <v>33753</v>
      </c>
      <c r="AQ121" s="115">
        <f>SUM(AQ122:AQ127)</f>
        <v>1478</v>
      </c>
      <c r="AR121" s="115">
        <f>SUM(AS121:AT121)</f>
        <v>35312</v>
      </c>
      <c r="AS121" s="115">
        <v>33700</v>
      </c>
      <c r="AT121" s="115">
        <v>1612</v>
      </c>
      <c r="AU121" s="115">
        <f>SUM(AV121:AW121)</f>
        <v>35014</v>
      </c>
      <c r="AV121" s="115">
        <v>33203</v>
      </c>
      <c r="AW121" s="115">
        <v>1811</v>
      </c>
      <c r="AX121" s="102"/>
      <c r="AY121" s="108"/>
      <c r="AZ121" s="102"/>
      <c r="BA121" s="102"/>
    </row>
    <row r="122" spans="1:53" s="34" customFormat="1" ht="13.5" customHeight="1" x14ac:dyDescent="0.2">
      <c r="A122" s="49" t="s">
        <v>19</v>
      </c>
      <c r="B122" s="50">
        <f t="shared" si="106"/>
        <v>8384</v>
      </c>
      <c r="C122" s="50">
        <v>8146</v>
      </c>
      <c r="D122" s="50">
        <v>238</v>
      </c>
      <c r="E122" s="22">
        <f t="shared" si="107"/>
        <v>15826</v>
      </c>
      <c r="F122" s="22">
        <v>7804</v>
      </c>
      <c r="G122" s="22">
        <v>251</v>
      </c>
      <c r="H122" s="22">
        <f t="shared" si="108"/>
        <v>7771</v>
      </c>
      <c r="I122" s="22">
        <v>7503</v>
      </c>
      <c r="J122" s="22">
        <v>268</v>
      </c>
      <c r="K122" s="51">
        <f t="shared" si="109"/>
        <v>7402</v>
      </c>
      <c r="L122" s="51">
        <v>7211</v>
      </c>
      <c r="M122" s="51">
        <v>191</v>
      </c>
      <c r="N122" s="59">
        <f t="shared" si="110"/>
        <v>7455</v>
      </c>
      <c r="O122" s="59">
        <v>7245</v>
      </c>
      <c r="P122" s="59">
        <v>210</v>
      </c>
      <c r="Q122" s="58">
        <f t="shared" si="111"/>
        <v>7534</v>
      </c>
      <c r="R122" s="59">
        <v>7320</v>
      </c>
      <c r="S122" s="59">
        <v>214</v>
      </c>
      <c r="T122" s="113">
        <f t="shared" si="117"/>
        <v>7356</v>
      </c>
      <c r="U122" s="113">
        <f>3938+3418</f>
        <v>7356</v>
      </c>
      <c r="V122" s="113" t="s">
        <v>13</v>
      </c>
      <c r="W122" s="113">
        <f t="shared" si="112"/>
        <v>7585</v>
      </c>
      <c r="X122" s="113">
        <v>7278</v>
      </c>
      <c r="Y122" s="113">
        <v>307</v>
      </c>
      <c r="Z122" s="113">
        <f t="shared" si="113"/>
        <v>7423</v>
      </c>
      <c r="AA122" s="113">
        <v>7147</v>
      </c>
      <c r="AB122" s="113">
        <v>276</v>
      </c>
      <c r="AC122" s="113">
        <f t="shared" si="114"/>
        <v>7465</v>
      </c>
      <c r="AD122" s="114">
        <v>7346</v>
      </c>
      <c r="AE122" s="113">
        <v>119</v>
      </c>
      <c r="AF122" s="113">
        <f t="shared" si="115"/>
        <v>7630</v>
      </c>
      <c r="AG122" s="114">
        <v>7369</v>
      </c>
      <c r="AH122" s="113">
        <v>261</v>
      </c>
      <c r="AI122" s="113">
        <f t="shared" si="116"/>
        <v>7760</v>
      </c>
      <c r="AJ122" s="114">
        <f>[1]Elem!$C$15+[1]Elem!$D$15</f>
        <v>7760</v>
      </c>
      <c r="AK122" s="113" t="s">
        <v>13</v>
      </c>
      <c r="AL122" s="113">
        <f t="shared" ref="AL122:AL127" si="118">SUM(AM122:AN122)</f>
        <v>8107</v>
      </c>
      <c r="AM122" s="113">
        <v>7818</v>
      </c>
      <c r="AN122" s="113">
        <v>289</v>
      </c>
      <c r="AO122" s="113">
        <f t="shared" ref="AO122:AO127" si="119">SUM(AP122:AQ122)</f>
        <v>7890</v>
      </c>
      <c r="AP122" s="113">
        <v>7550</v>
      </c>
      <c r="AQ122" s="113">
        <v>340</v>
      </c>
      <c r="AR122" s="113">
        <f t="shared" ref="AR122:AR133" si="120">SUM(AS122:AT122)</f>
        <v>7536</v>
      </c>
      <c r="AS122" s="113">
        <v>7195</v>
      </c>
      <c r="AT122" s="113">
        <v>341</v>
      </c>
      <c r="AU122" s="113" t="s">
        <v>13</v>
      </c>
      <c r="AV122" s="113" t="s">
        <v>13</v>
      </c>
      <c r="AW122" s="113" t="s">
        <v>13</v>
      </c>
      <c r="AX122" s="101"/>
      <c r="AY122" s="106"/>
      <c r="AZ122" s="101"/>
      <c r="BA122" s="101"/>
    </row>
    <row r="123" spans="1:53" s="34" customFormat="1" ht="13.5" customHeight="1" x14ac:dyDescent="0.2">
      <c r="A123" s="49" t="s">
        <v>20</v>
      </c>
      <c r="B123" s="50">
        <f t="shared" si="106"/>
        <v>6565</v>
      </c>
      <c r="C123" s="50">
        <v>6347</v>
      </c>
      <c r="D123" s="50">
        <v>218</v>
      </c>
      <c r="E123" s="22">
        <f t="shared" si="107"/>
        <v>12462</v>
      </c>
      <c r="F123" s="22">
        <v>6033</v>
      </c>
      <c r="G123" s="22">
        <v>228</v>
      </c>
      <c r="H123" s="22">
        <f t="shared" si="108"/>
        <v>6201</v>
      </c>
      <c r="I123" s="22">
        <v>5975</v>
      </c>
      <c r="J123" s="22">
        <v>226</v>
      </c>
      <c r="K123" s="51">
        <f t="shared" si="109"/>
        <v>6167</v>
      </c>
      <c r="L123" s="51">
        <v>5934</v>
      </c>
      <c r="M123" s="51">
        <v>233</v>
      </c>
      <c r="N123" s="59">
        <f t="shared" si="110"/>
        <v>6077</v>
      </c>
      <c r="O123" s="59">
        <v>5942</v>
      </c>
      <c r="P123" s="59">
        <v>135</v>
      </c>
      <c r="Q123" s="58">
        <f t="shared" si="111"/>
        <v>5995</v>
      </c>
      <c r="R123" s="59">
        <v>5818</v>
      </c>
      <c r="S123" s="59">
        <v>177</v>
      </c>
      <c r="T123" s="113">
        <f t="shared" si="117"/>
        <v>5663</v>
      </c>
      <c r="U123" s="113">
        <f>2965+2698</f>
        <v>5663</v>
      </c>
      <c r="V123" s="113" t="s">
        <v>13</v>
      </c>
      <c r="W123" s="113">
        <f t="shared" si="112"/>
        <v>5756</v>
      </c>
      <c r="X123" s="113">
        <v>5518</v>
      </c>
      <c r="Y123" s="113">
        <v>238</v>
      </c>
      <c r="Z123" s="113">
        <f t="shared" si="113"/>
        <v>5809</v>
      </c>
      <c r="AA123" s="113">
        <v>5563</v>
      </c>
      <c r="AB123" s="113">
        <v>246</v>
      </c>
      <c r="AC123" s="113">
        <f t="shared" si="114"/>
        <v>5692</v>
      </c>
      <c r="AD123" s="114">
        <v>5602</v>
      </c>
      <c r="AE123" s="113">
        <v>90</v>
      </c>
      <c r="AF123" s="113">
        <f t="shared" si="115"/>
        <v>6112</v>
      </c>
      <c r="AG123" s="114">
        <v>5847</v>
      </c>
      <c r="AH123" s="113">
        <v>265</v>
      </c>
      <c r="AI123" s="113">
        <f t="shared" si="116"/>
        <v>5915</v>
      </c>
      <c r="AJ123" s="114">
        <f>[1]Elem!$E$15+[1]Elem!$F$15</f>
        <v>5915</v>
      </c>
      <c r="AK123" s="113" t="s">
        <v>13</v>
      </c>
      <c r="AL123" s="113">
        <f t="shared" si="118"/>
        <v>6386</v>
      </c>
      <c r="AM123" s="113">
        <v>6101</v>
      </c>
      <c r="AN123" s="113">
        <v>285</v>
      </c>
      <c r="AO123" s="113">
        <f t="shared" si="119"/>
        <v>6250</v>
      </c>
      <c r="AP123" s="113">
        <v>5990</v>
      </c>
      <c r="AQ123" s="113">
        <v>260</v>
      </c>
      <c r="AR123" s="113">
        <f t="shared" si="120"/>
        <v>6445</v>
      </c>
      <c r="AS123" s="113">
        <v>6136</v>
      </c>
      <c r="AT123" s="113">
        <v>309</v>
      </c>
      <c r="AU123" s="113" t="s">
        <v>13</v>
      </c>
      <c r="AV123" s="113" t="s">
        <v>13</v>
      </c>
      <c r="AW123" s="113" t="s">
        <v>13</v>
      </c>
      <c r="AX123" s="101"/>
      <c r="AY123" s="106"/>
      <c r="AZ123" s="101"/>
      <c r="BA123" s="101"/>
    </row>
    <row r="124" spans="1:53" s="34" customFormat="1" ht="13.5" customHeight="1" x14ac:dyDescent="0.2">
      <c r="A124" s="49" t="s">
        <v>21</v>
      </c>
      <c r="B124" s="50">
        <f t="shared" si="106"/>
        <v>5853</v>
      </c>
      <c r="C124" s="50">
        <v>5630</v>
      </c>
      <c r="D124" s="50">
        <v>223</v>
      </c>
      <c r="E124" s="22">
        <f t="shared" si="107"/>
        <v>11352</v>
      </c>
      <c r="F124" s="22">
        <v>5566</v>
      </c>
      <c r="G124" s="22">
        <v>234</v>
      </c>
      <c r="H124" s="22">
        <f t="shared" si="108"/>
        <v>5552</v>
      </c>
      <c r="I124" s="22">
        <v>5363</v>
      </c>
      <c r="J124" s="22">
        <v>189</v>
      </c>
      <c r="K124" s="51">
        <f t="shared" si="109"/>
        <v>5614</v>
      </c>
      <c r="L124" s="51">
        <v>5418</v>
      </c>
      <c r="M124" s="51">
        <v>196</v>
      </c>
      <c r="N124" s="59">
        <f t="shared" si="110"/>
        <v>5655</v>
      </c>
      <c r="O124" s="59">
        <v>5477</v>
      </c>
      <c r="P124" s="59">
        <v>178</v>
      </c>
      <c r="Q124" s="58">
        <f t="shared" si="111"/>
        <v>5587</v>
      </c>
      <c r="R124" s="59">
        <v>5459</v>
      </c>
      <c r="S124" s="59">
        <v>128</v>
      </c>
      <c r="T124" s="113">
        <f t="shared" si="117"/>
        <v>5281</v>
      </c>
      <c r="U124" s="113">
        <f>2739+2542</f>
        <v>5281</v>
      </c>
      <c r="V124" s="113" t="s">
        <v>13</v>
      </c>
      <c r="W124" s="113">
        <f t="shared" si="112"/>
        <v>5248</v>
      </c>
      <c r="X124" s="113">
        <v>5029</v>
      </c>
      <c r="Y124" s="113">
        <v>219</v>
      </c>
      <c r="Z124" s="113">
        <f t="shared" si="113"/>
        <v>5364</v>
      </c>
      <c r="AA124" s="113">
        <v>5146</v>
      </c>
      <c r="AB124" s="113">
        <v>218</v>
      </c>
      <c r="AC124" s="113">
        <f t="shared" si="114"/>
        <v>5128</v>
      </c>
      <c r="AD124" s="114">
        <v>5032</v>
      </c>
      <c r="AE124" s="113">
        <v>96</v>
      </c>
      <c r="AF124" s="113">
        <f t="shared" si="115"/>
        <v>5345</v>
      </c>
      <c r="AG124" s="114">
        <v>5133</v>
      </c>
      <c r="AH124" s="113">
        <v>212</v>
      </c>
      <c r="AI124" s="113">
        <f t="shared" si="116"/>
        <v>5311</v>
      </c>
      <c r="AJ124" s="114">
        <f>[1]Elem!$G$15+[1]Elem!$H$15</f>
        <v>5311</v>
      </c>
      <c r="AK124" s="113" t="s">
        <v>13</v>
      </c>
      <c r="AL124" s="113">
        <f t="shared" si="118"/>
        <v>5754</v>
      </c>
      <c r="AM124" s="113">
        <v>5497</v>
      </c>
      <c r="AN124" s="113">
        <v>257</v>
      </c>
      <c r="AO124" s="113">
        <f t="shared" si="119"/>
        <v>5735</v>
      </c>
      <c r="AP124" s="113">
        <v>5473</v>
      </c>
      <c r="AQ124" s="113">
        <v>262</v>
      </c>
      <c r="AR124" s="113">
        <f t="shared" si="120"/>
        <v>5804</v>
      </c>
      <c r="AS124" s="113">
        <v>5558</v>
      </c>
      <c r="AT124" s="113">
        <v>246</v>
      </c>
      <c r="AU124" s="113" t="s">
        <v>13</v>
      </c>
      <c r="AV124" s="113" t="s">
        <v>13</v>
      </c>
      <c r="AW124" s="113" t="s">
        <v>13</v>
      </c>
      <c r="AX124" s="101"/>
      <c r="AY124" s="106"/>
      <c r="AZ124" s="101"/>
      <c r="BA124" s="101"/>
    </row>
    <row r="125" spans="1:53" s="34" customFormat="1" ht="13.5" customHeight="1" x14ac:dyDescent="0.2">
      <c r="A125" s="49" t="s">
        <v>22</v>
      </c>
      <c r="B125" s="50">
        <f t="shared" si="106"/>
        <v>5346</v>
      </c>
      <c r="C125" s="50">
        <v>5156</v>
      </c>
      <c r="D125" s="50">
        <v>190</v>
      </c>
      <c r="E125" s="22">
        <f t="shared" si="107"/>
        <v>10638</v>
      </c>
      <c r="F125" s="22">
        <v>5101</v>
      </c>
      <c r="G125" s="22">
        <v>225</v>
      </c>
      <c r="H125" s="22">
        <f t="shared" si="108"/>
        <v>5312</v>
      </c>
      <c r="I125" s="22">
        <v>5112</v>
      </c>
      <c r="J125" s="22">
        <v>200</v>
      </c>
      <c r="K125" s="51">
        <f t="shared" si="109"/>
        <v>5195</v>
      </c>
      <c r="L125" s="51">
        <v>5020</v>
      </c>
      <c r="M125" s="51">
        <v>175</v>
      </c>
      <c r="N125" s="59">
        <f t="shared" si="110"/>
        <v>5205</v>
      </c>
      <c r="O125" s="59">
        <v>5036</v>
      </c>
      <c r="P125" s="59">
        <v>169</v>
      </c>
      <c r="Q125" s="58">
        <f t="shared" si="111"/>
        <v>5352</v>
      </c>
      <c r="R125" s="59">
        <v>5190</v>
      </c>
      <c r="S125" s="59">
        <v>162</v>
      </c>
      <c r="T125" s="113">
        <f t="shared" si="117"/>
        <v>5074</v>
      </c>
      <c r="U125" s="113">
        <f>2619+2455</f>
        <v>5074</v>
      </c>
      <c r="V125" s="113" t="s">
        <v>13</v>
      </c>
      <c r="W125" s="113">
        <f t="shared" si="112"/>
        <v>5139</v>
      </c>
      <c r="X125" s="113">
        <v>4912</v>
      </c>
      <c r="Y125" s="113">
        <v>227</v>
      </c>
      <c r="Z125" s="113">
        <f t="shared" si="113"/>
        <v>4920</v>
      </c>
      <c r="AA125" s="113">
        <v>4720</v>
      </c>
      <c r="AB125" s="113">
        <v>200</v>
      </c>
      <c r="AC125" s="113">
        <f t="shared" si="114"/>
        <v>5040</v>
      </c>
      <c r="AD125" s="114">
        <v>4955</v>
      </c>
      <c r="AE125" s="113">
        <v>85</v>
      </c>
      <c r="AF125" s="113">
        <f t="shared" si="115"/>
        <v>5050</v>
      </c>
      <c r="AG125" s="114">
        <v>4833</v>
      </c>
      <c r="AH125" s="113">
        <v>217</v>
      </c>
      <c r="AI125" s="113">
        <f t="shared" si="116"/>
        <v>4991</v>
      </c>
      <c r="AJ125" s="114">
        <f>[1]Elem!$I$15+[1]Elem!$J$15</f>
        <v>4991</v>
      </c>
      <c r="AK125" s="113" t="s">
        <v>13</v>
      </c>
      <c r="AL125" s="113">
        <f t="shared" si="118"/>
        <v>5494</v>
      </c>
      <c r="AM125" s="113">
        <v>5252</v>
      </c>
      <c r="AN125" s="113">
        <v>242</v>
      </c>
      <c r="AO125" s="113">
        <f t="shared" si="119"/>
        <v>5456</v>
      </c>
      <c r="AP125" s="113">
        <v>5223</v>
      </c>
      <c r="AQ125" s="113">
        <v>233</v>
      </c>
      <c r="AR125" s="113">
        <f t="shared" si="120"/>
        <v>5462</v>
      </c>
      <c r="AS125" s="113">
        <v>5193</v>
      </c>
      <c r="AT125" s="113">
        <v>269</v>
      </c>
      <c r="AU125" s="113" t="s">
        <v>13</v>
      </c>
      <c r="AV125" s="113" t="s">
        <v>13</v>
      </c>
      <c r="AW125" s="113" t="s">
        <v>13</v>
      </c>
      <c r="AX125" s="101"/>
      <c r="AY125" s="106"/>
      <c r="AZ125" s="101"/>
      <c r="BA125" s="101"/>
    </row>
    <row r="126" spans="1:53" s="34" customFormat="1" ht="13.5" customHeight="1" x14ac:dyDescent="0.2">
      <c r="A126" s="49" t="s">
        <v>23</v>
      </c>
      <c r="B126" s="50">
        <f t="shared" si="106"/>
        <v>4638</v>
      </c>
      <c r="C126" s="50">
        <v>4469</v>
      </c>
      <c r="D126" s="50">
        <v>169</v>
      </c>
      <c r="E126" s="22">
        <f t="shared" si="107"/>
        <v>9930</v>
      </c>
      <c r="F126" s="22">
        <v>4748</v>
      </c>
      <c r="G126" s="22">
        <v>195</v>
      </c>
      <c r="H126" s="22">
        <f t="shared" si="108"/>
        <v>4987</v>
      </c>
      <c r="I126" s="22">
        <v>4774</v>
      </c>
      <c r="J126" s="22">
        <v>213</v>
      </c>
      <c r="K126" s="51">
        <f t="shared" si="109"/>
        <v>4950</v>
      </c>
      <c r="L126" s="51">
        <v>4761</v>
      </c>
      <c r="M126" s="51">
        <v>189</v>
      </c>
      <c r="N126" s="59">
        <f t="shared" si="110"/>
        <v>4937</v>
      </c>
      <c r="O126" s="59">
        <v>4778</v>
      </c>
      <c r="P126" s="59">
        <v>159</v>
      </c>
      <c r="Q126" s="58">
        <f t="shared" si="111"/>
        <v>4906</v>
      </c>
      <c r="R126" s="59">
        <v>4757</v>
      </c>
      <c r="S126" s="59">
        <v>149</v>
      </c>
      <c r="T126" s="113">
        <f t="shared" si="117"/>
        <v>4710</v>
      </c>
      <c r="U126" s="113">
        <f>2374+2336</f>
        <v>4710</v>
      </c>
      <c r="V126" s="113" t="s">
        <v>13</v>
      </c>
      <c r="W126" s="113">
        <f t="shared" si="112"/>
        <v>4866</v>
      </c>
      <c r="X126" s="113">
        <v>4694</v>
      </c>
      <c r="Y126" s="113">
        <v>172</v>
      </c>
      <c r="Z126" s="113">
        <f t="shared" si="113"/>
        <v>4754</v>
      </c>
      <c r="AA126" s="113">
        <v>4549</v>
      </c>
      <c r="AB126" s="113">
        <v>205</v>
      </c>
      <c r="AC126" s="113">
        <f t="shared" si="114"/>
        <v>4598</v>
      </c>
      <c r="AD126" s="114">
        <v>4531</v>
      </c>
      <c r="AE126" s="113">
        <v>67</v>
      </c>
      <c r="AF126" s="113">
        <f t="shared" si="115"/>
        <v>4938</v>
      </c>
      <c r="AG126" s="114">
        <v>4735</v>
      </c>
      <c r="AH126" s="113">
        <v>203</v>
      </c>
      <c r="AI126" s="113">
        <f t="shared" si="116"/>
        <v>4818</v>
      </c>
      <c r="AJ126" s="114">
        <f>[1]Elem!$K$15+[1]Elem!$L$15</f>
        <v>4818</v>
      </c>
      <c r="AK126" s="113" t="s">
        <v>13</v>
      </c>
      <c r="AL126" s="113">
        <f t="shared" si="118"/>
        <v>5070</v>
      </c>
      <c r="AM126" s="113">
        <v>4861</v>
      </c>
      <c r="AN126" s="113">
        <v>209</v>
      </c>
      <c r="AO126" s="113">
        <f t="shared" si="119"/>
        <v>5223</v>
      </c>
      <c r="AP126" s="113">
        <v>4987</v>
      </c>
      <c r="AQ126" s="113">
        <v>236</v>
      </c>
      <c r="AR126" s="113">
        <f t="shared" si="120"/>
        <v>5193</v>
      </c>
      <c r="AS126" s="113">
        <v>4972</v>
      </c>
      <c r="AT126" s="113">
        <v>221</v>
      </c>
      <c r="AU126" s="113" t="s">
        <v>13</v>
      </c>
      <c r="AV126" s="113" t="s">
        <v>13</v>
      </c>
      <c r="AW126" s="113" t="s">
        <v>13</v>
      </c>
      <c r="AX126" s="101"/>
      <c r="AY126" s="106"/>
      <c r="AZ126" s="101"/>
      <c r="BA126" s="101"/>
    </row>
    <row r="127" spans="1:53" s="34" customFormat="1" ht="13.5" customHeight="1" x14ac:dyDescent="0.2">
      <c r="A127" s="49" t="s">
        <v>24</v>
      </c>
      <c r="B127" s="50">
        <f t="shared" si="106"/>
        <v>3954</v>
      </c>
      <c r="C127" s="50">
        <v>3792</v>
      </c>
      <c r="D127" s="50">
        <v>162</v>
      </c>
      <c r="E127" s="22">
        <f t="shared" si="107"/>
        <v>8755</v>
      </c>
      <c r="F127" s="22">
        <v>4040</v>
      </c>
      <c r="G127" s="22">
        <v>178</v>
      </c>
      <c r="H127" s="22">
        <f t="shared" si="108"/>
        <v>4537</v>
      </c>
      <c r="I127" s="50">
        <v>4346</v>
      </c>
      <c r="J127" s="22">
        <v>191</v>
      </c>
      <c r="K127" s="51">
        <f t="shared" si="109"/>
        <v>4631</v>
      </c>
      <c r="L127" s="51">
        <v>4430</v>
      </c>
      <c r="M127" s="51">
        <v>201</v>
      </c>
      <c r="N127" s="59">
        <f t="shared" si="110"/>
        <v>4642</v>
      </c>
      <c r="O127" s="59">
        <v>4481</v>
      </c>
      <c r="P127" s="59">
        <v>161</v>
      </c>
      <c r="Q127" s="58">
        <f t="shared" si="111"/>
        <v>4653</v>
      </c>
      <c r="R127" s="59">
        <v>4511</v>
      </c>
      <c r="S127" s="59">
        <v>142</v>
      </c>
      <c r="T127" s="113">
        <f t="shared" si="117"/>
        <v>4313</v>
      </c>
      <c r="U127" s="113">
        <f>2014+2299</f>
        <v>4313</v>
      </c>
      <c r="V127" s="113" t="s">
        <v>13</v>
      </c>
      <c r="W127" s="113">
        <f t="shared" si="112"/>
        <v>4517</v>
      </c>
      <c r="X127" s="113">
        <v>4330</v>
      </c>
      <c r="Y127" s="113">
        <v>187</v>
      </c>
      <c r="Z127" s="113">
        <f t="shared" si="113"/>
        <v>4574</v>
      </c>
      <c r="AA127" s="113">
        <v>4394</v>
      </c>
      <c r="AB127" s="113">
        <v>180</v>
      </c>
      <c r="AC127" s="113">
        <f t="shared" si="114"/>
        <v>4377</v>
      </c>
      <c r="AD127" s="114">
        <v>4290</v>
      </c>
      <c r="AE127" s="113">
        <v>87</v>
      </c>
      <c r="AF127" s="113">
        <f t="shared" si="115"/>
        <v>4483</v>
      </c>
      <c r="AG127" s="114">
        <v>4273</v>
      </c>
      <c r="AH127" s="113">
        <v>210</v>
      </c>
      <c r="AI127" s="113">
        <f t="shared" si="116"/>
        <v>4551</v>
      </c>
      <c r="AJ127" s="114">
        <f>[1]Elem!$M$15+[1]Elem!$N$15</f>
        <v>4551</v>
      </c>
      <c r="AK127" s="113" t="s">
        <v>13</v>
      </c>
      <c r="AL127" s="113">
        <f t="shared" si="118"/>
        <v>4743</v>
      </c>
      <c r="AM127" s="113">
        <v>4515</v>
      </c>
      <c r="AN127" s="113">
        <v>228</v>
      </c>
      <c r="AO127" s="113">
        <f t="shared" si="119"/>
        <v>4677</v>
      </c>
      <c r="AP127" s="113">
        <v>4530</v>
      </c>
      <c r="AQ127" s="113">
        <v>147</v>
      </c>
      <c r="AR127" s="113">
        <f t="shared" si="120"/>
        <v>4872</v>
      </c>
      <c r="AS127" s="113">
        <v>4646</v>
      </c>
      <c r="AT127" s="113">
        <v>226</v>
      </c>
      <c r="AU127" s="113" t="s">
        <v>13</v>
      </c>
      <c r="AV127" s="113" t="s">
        <v>13</v>
      </c>
      <c r="AW127" s="113" t="s">
        <v>13</v>
      </c>
      <c r="AX127" s="101"/>
      <c r="AY127" s="106"/>
      <c r="AZ127" s="101"/>
      <c r="BA127" s="101"/>
    </row>
    <row r="128" spans="1:53" s="68" customFormat="1" ht="13.5" customHeight="1" x14ac:dyDescent="0.2">
      <c r="A128" s="10" t="s">
        <v>36</v>
      </c>
      <c r="B128" s="78">
        <f t="shared" si="106"/>
        <v>13112</v>
      </c>
      <c r="C128" s="78">
        <v>9064</v>
      </c>
      <c r="D128" s="78">
        <v>4048</v>
      </c>
      <c r="E128" s="79">
        <f t="shared" si="107"/>
        <v>26633</v>
      </c>
      <c r="F128" s="79">
        <v>8941</v>
      </c>
      <c r="G128" s="79">
        <v>4469</v>
      </c>
      <c r="H128" s="79">
        <f t="shared" si="108"/>
        <v>13223</v>
      </c>
      <c r="I128" s="79">
        <v>9283</v>
      </c>
      <c r="J128" s="79">
        <v>3940</v>
      </c>
      <c r="K128" s="77">
        <f t="shared" si="109"/>
        <v>14867</v>
      </c>
      <c r="L128" s="77">
        <v>10553</v>
      </c>
      <c r="M128" s="77">
        <v>4314</v>
      </c>
      <c r="N128" s="91">
        <f t="shared" si="110"/>
        <v>14561</v>
      </c>
      <c r="O128" s="91">
        <v>11268</v>
      </c>
      <c r="P128" s="91">
        <v>3293</v>
      </c>
      <c r="Q128" s="91">
        <f t="shared" si="111"/>
        <v>13263</v>
      </c>
      <c r="R128" s="91">
        <f>SUM(R130:R133)</f>
        <v>11625</v>
      </c>
      <c r="S128" s="91">
        <f>SUM(S130:S133)</f>
        <v>1638</v>
      </c>
      <c r="T128" s="115">
        <f t="shared" si="117"/>
        <v>11524</v>
      </c>
      <c r="U128" s="115">
        <f>SUM(U129:U133)</f>
        <v>11524</v>
      </c>
      <c r="V128" s="115" t="s">
        <v>13</v>
      </c>
      <c r="W128" s="115">
        <f t="shared" si="112"/>
        <v>15871</v>
      </c>
      <c r="X128" s="115">
        <f>SUM(X129:X133)</f>
        <v>11581</v>
      </c>
      <c r="Y128" s="115">
        <f>SUM(Y129:Y133)</f>
        <v>4290</v>
      </c>
      <c r="Z128" s="115">
        <f t="shared" si="113"/>
        <v>14819</v>
      </c>
      <c r="AA128" s="115">
        <f>SUM(AA129:AA133)</f>
        <v>10585</v>
      </c>
      <c r="AB128" s="115">
        <f>SUM(AB129:AB133)</f>
        <v>4234</v>
      </c>
      <c r="AC128" s="115">
        <f t="shared" si="114"/>
        <v>16603</v>
      </c>
      <c r="AD128" s="115">
        <f>SUM(AD129:AD133)</f>
        <v>12322</v>
      </c>
      <c r="AE128" s="115">
        <f>SUM(AE129:AE133)</f>
        <v>4281</v>
      </c>
      <c r="AF128" s="115">
        <f t="shared" si="115"/>
        <v>17210</v>
      </c>
      <c r="AG128" s="115">
        <f>SUM(AG129:AG133)</f>
        <v>12855</v>
      </c>
      <c r="AH128" s="115">
        <v>4355</v>
      </c>
      <c r="AI128" s="115">
        <f t="shared" si="116"/>
        <v>17140</v>
      </c>
      <c r="AJ128" s="115">
        <f>SUM(AJ129:AJ133)</f>
        <v>12736</v>
      </c>
      <c r="AK128" s="115">
        <v>4404</v>
      </c>
      <c r="AL128" s="115">
        <f t="shared" ref="AL128:AL133" si="121">SUM(AM128:AN128)</f>
        <v>16891</v>
      </c>
      <c r="AM128" s="115">
        <f>SUM(AM129:AM133)</f>
        <v>12566</v>
      </c>
      <c r="AN128" s="115">
        <f>SUM(AN129:AN133)</f>
        <v>4325</v>
      </c>
      <c r="AO128" s="115">
        <f t="shared" ref="AO128:AO133" si="122">SUM(AP128:AQ128)</f>
        <v>16444</v>
      </c>
      <c r="AP128" s="115">
        <f>SUM(AP129:AP133)</f>
        <v>12013</v>
      </c>
      <c r="AQ128" s="115">
        <f>SUM(AQ129:AQ133)</f>
        <v>4431</v>
      </c>
      <c r="AR128" s="115">
        <f t="shared" si="120"/>
        <v>16836</v>
      </c>
      <c r="AS128" s="115">
        <v>12161</v>
      </c>
      <c r="AT128" s="115">
        <v>4675</v>
      </c>
      <c r="AU128" s="115">
        <f t="shared" ref="AU128:AU129" si="123">SUM(AV128:AW128)</f>
        <v>17796</v>
      </c>
      <c r="AV128" s="115">
        <v>13236</v>
      </c>
      <c r="AW128" s="115">
        <v>4560</v>
      </c>
      <c r="AX128" s="102"/>
      <c r="AY128" s="108"/>
      <c r="AZ128" s="102"/>
      <c r="BA128" s="102"/>
    </row>
    <row r="129" spans="1:53" s="34" customFormat="1" ht="13.5" customHeight="1" x14ac:dyDescent="0.2">
      <c r="A129" s="52" t="s">
        <v>49</v>
      </c>
      <c r="B129" s="50" t="s">
        <v>51</v>
      </c>
      <c r="C129" s="50" t="s">
        <v>51</v>
      </c>
      <c r="D129" s="50" t="s">
        <v>51</v>
      </c>
      <c r="E129" s="50" t="s">
        <v>51</v>
      </c>
      <c r="F129" s="50" t="s">
        <v>51</v>
      </c>
      <c r="G129" s="50" t="s">
        <v>51</v>
      </c>
      <c r="H129" s="50" t="s">
        <v>51</v>
      </c>
      <c r="I129" s="50" t="s">
        <v>51</v>
      </c>
      <c r="J129" s="50" t="s">
        <v>51</v>
      </c>
      <c r="K129" s="50" t="s">
        <v>51</v>
      </c>
      <c r="L129" s="50" t="s">
        <v>51</v>
      </c>
      <c r="M129" s="50" t="s">
        <v>51</v>
      </c>
      <c r="N129" s="93" t="s">
        <v>51</v>
      </c>
      <c r="O129" s="93" t="s">
        <v>51</v>
      </c>
      <c r="P129" s="93" t="s">
        <v>51</v>
      </c>
      <c r="Q129" s="93" t="s">
        <v>51</v>
      </c>
      <c r="R129" s="93" t="s">
        <v>51</v>
      </c>
      <c r="S129" s="93" t="s">
        <v>51</v>
      </c>
      <c r="T129" s="113">
        <f t="shared" si="117"/>
        <v>724</v>
      </c>
      <c r="U129" s="113">
        <f>386+338</f>
        <v>724</v>
      </c>
      <c r="V129" s="113"/>
      <c r="W129" s="113">
        <f t="shared" si="112"/>
        <v>0</v>
      </c>
      <c r="X129" s="113">
        <v>0</v>
      </c>
      <c r="Y129" s="113">
        <v>0</v>
      </c>
      <c r="Z129" s="113">
        <f t="shared" si="113"/>
        <v>0</v>
      </c>
      <c r="AA129" s="113">
        <v>0</v>
      </c>
      <c r="AB129" s="113">
        <v>0</v>
      </c>
      <c r="AC129" s="113">
        <f t="shared" si="114"/>
        <v>0</v>
      </c>
      <c r="AD129" s="113">
        <v>0</v>
      </c>
      <c r="AE129" s="113">
        <v>0</v>
      </c>
      <c r="AF129" s="113">
        <f t="shared" si="115"/>
        <v>0</v>
      </c>
      <c r="AG129" s="113">
        <v>0</v>
      </c>
      <c r="AH129" s="113">
        <v>0</v>
      </c>
      <c r="AI129" s="113">
        <f t="shared" si="116"/>
        <v>0</v>
      </c>
      <c r="AJ129" s="113">
        <v>0</v>
      </c>
      <c r="AK129" s="113" t="s">
        <v>13</v>
      </c>
      <c r="AL129" s="113">
        <f t="shared" si="121"/>
        <v>0</v>
      </c>
      <c r="AM129" s="113"/>
      <c r="AN129" s="113"/>
      <c r="AO129" s="113">
        <f t="shared" si="122"/>
        <v>0</v>
      </c>
      <c r="AP129" s="113"/>
      <c r="AQ129" s="113"/>
      <c r="AR129" s="113">
        <f t="shared" si="120"/>
        <v>0</v>
      </c>
      <c r="AS129" s="113"/>
      <c r="AT129" s="113"/>
      <c r="AU129" s="113">
        <f t="shared" si="123"/>
        <v>0</v>
      </c>
      <c r="AV129" s="113"/>
      <c r="AW129" s="113"/>
      <c r="AX129" s="101"/>
      <c r="AY129" s="106"/>
      <c r="AZ129" s="101"/>
      <c r="BA129" s="101"/>
    </row>
    <row r="130" spans="1:53" s="34" customFormat="1" ht="13.5" customHeight="1" x14ac:dyDescent="0.2">
      <c r="A130" s="49" t="s">
        <v>50</v>
      </c>
      <c r="B130" s="50">
        <f t="shared" si="106"/>
        <v>4111</v>
      </c>
      <c r="C130" s="50">
        <v>2958</v>
      </c>
      <c r="D130" s="50">
        <v>1153</v>
      </c>
      <c r="E130" s="22">
        <f t="shared" si="107"/>
        <v>8243</v>
      </c>
      <c r="F130" s="22">
        <v>2861</v>
      </c>
      <c r="G130" s="22">
        <v>1266</v>
      </c>
      <c r="H130" s="22">
        <f t="shared" si="108"/>
        <v>4116</v>
      </c>
      <c r="I130" s="22">
        <v>2970</v>
      </c>
      <c r="J130" s="22">
        <v>1146</v>
      </c>
      <c r="K130" s="51">
        <f t="shared" si="109"/>
        <v>4708</v>
      </c>
      <c r="L130" s="51">
        <v>3448</v>
      </c>
      <c r="M130" s="51">
        <v>1260</v>
      </c>
      <c r="N130" s="59">
        <f t="shared" si="110"/>
        <v>4622</v>
      </c>
      <c r="O130" s="59">
        <v>3668</v>
      </c>
      <c r="P130" s="59">
        <v>954</v>
      </c>
      <c r="Q130" s="58">
        <f t="shared" si="111"/>
        <v>4080</v>
      </c>
      <c r="R130" s="59">
        <v>3599</v>
      </c>
      <c r="S130" s="59">
        <v>481</v>
      </c>
      <c r="T130" s="113">
        <f t="shared" si="117"/>
        <v>2423</v>
      </c>
      <c r="U130" s="113">
        <f>1099+1324</f>
        <v>2423</v>
      </c>
      <c r="V130" s="113" t="s">
        <v>13</v>
      </c>
      <c r="W130" s="113">
        <f t="shared" si="112"/>
        <v>5034</v>
      </c>
      <c r="X130" s="113">
        <v>3802</v>
      </c>
      <c r="Y130" s="113">
        <v>1232</v>
      </c>
      <c r="Z130" s="113">
        <f t="shared" si="113"/>
        <v>4193</v>
      </c>
      <c r="AA130" s="113">
        <v>3029</v>
      </c>
      <c r="AB130" s="113">
        <v>1164</v>
      </c>
      <c r="AC130" s="113">
        <f t="shared" si="114"/>
        <v>4733</v>
      </c>
      <c r="AD130" s="114">
        <v>3591</v>
      </c>
      <c r="AE130" s="113">
        <v>1142</v>
      </c>
      <c r="AF130" s="113">
        <f t="shared" si="115"/>
        <v>3528</v>
      </c>
      <c r="AG130" s="114">
        <v>3528</v>
      </c>
      <c r="AH130" s="113" t="s">
        <v>13</v>
      </c>
      <c r="AI130" s="113">
        <f t="shared" si="116"/>
        <v>3598</v>
      </c>
      <c r="AJ130" s="114">
        <f>[1]Sec!$C$15+[1]Sec!$D$15</f>
        <v>3598</v>
      </c>
      <c r="AK130" s="113" t="s">
        <v>13</v>
      </c>
      <c r="AL130" s="113">
        <f t="shared" si="121"/>
        <v>4866</v>
      </c>
      <c r="AM130" s="113">
        <v>3601</v>
      </c>
      <c r="AN130" s="113">
        <v>1265</v>
      </c>
      <c r="AO130" s="113">
        <f t="shared" si="122"/>
        <v>4701</v>
      </c>
      <c r="AP130" s="113">
        <v>3378</v>
      </c>
      <c r="AQ130" s="113">
        <v>1323</v>
      </c>
      <c r="AR130" s="113">
        <f t="shared" si="120"/>
        <v>4721</v>
      </c>
      <c r="AS130" s="113">
        <v>3350</v>
      </c>
      <c r="AT130" s="53">
        <v>1371</v>
      </c>
      <c r="AU130" s="113" t="s">
        <v>13</v>
      </c>
      <c r="AV130" s="113" t="s">
        <v>13</v>
      </c>
      <c r="AW130" s="113" t="s">
        <v>13</v>
      </c>
      <c r="AX130" s="101"/>
      <c r="AY130" s="106"/>
      <c r="AZ130" s="101"/>
      <c r="BA130" s="101"/>
    </row>
    <row r="131" spans="1:53" s="34" customFormat="1" ht="13.5" customHeight="1" x14ac:dyDescent="0.2">
      <c r="A131" s="49" t="s">
        <v>26</v>
      </c>
      <c r="B131" s="50">
        <f t="shared" si="106"/>
        <v>3450</v>
      </c>
      <c r="C131" s="50">
        <v>2384</v>
      </c>
      <c r="D131" s="50">
        <v>1066</v>
      </c>
      <c r="E131" s="22">
        <f t="shared" si="107"/>
        <v>7042</v>
      </c>
      <c r="F131" s="22">
        <v>2378</v>
      </c>
      <c r="G131" s="22">
        <v>1165</v>
      </c>
      <c r="H131" s="22">
        <f t="shared" si="108"/>
        <v>3499</v>
      </c>
      <c r="I131" s="22">
        <v>2469</v>
      </c>
      <c r="J131" s="22">
        <v>1030</v>
      </c>
      <c r="K131" s="51">
        <f t="shared" si="109"/>
        <v>3871</v>
      </c>
      <c r="L131" s="51">
        <v>2726</v>
      </c>
      <c r="M131" s="51">
        <v>1145</v>
      </c>
      <c r="N131" s="59">
        <f t="shared" si="110"/>
        <v>3902</v>
      </c>
      <c r="O131" s="59">
        <v>3039</v>
      </c>
      <c r="P131" s="59">
        <v>863</v>
      </c>
      <c r="Q131" s="58">
        <f t="shared" si="111"/>
        <v>3602</v>
      </c>
      <c r="R131" s="59">
        <v>3220</v>
      </c>
      <c r="S131" s="59">
        <v>382</v>
      </c>
      <c r="T131" s="113">
        <f t="shared" si="117"/>
        <v>3202</v>
      </c>
      <c r="U131" s="113">
        <f>1474+1728</f>
        <v>3202</v>
      </c>
      <c r="V131" s="113" t="s">
        <v>13</v>
      </c>
      <c r="W131" s="113">
        <f t="shared" si="112"/>
        <v>3656</v>
      </c>
      <c r="X131" s="113">
        <v>2451</v>
      </c>
      <c r="Y131" s="113">
        <v>1205</v>
      </c>
      <c r="Z131" s="113">
        <f t="shared" si="113"/>
        <v>4198</v>
      </c>
      <c r="AA131" s="113">
        <v>3069</v>
      </c>
      <c r="AB131" s="113">
        <v>1129</v>
      </c>
      <c r="AC131" s="113">
        <f t="shared" si="114"/>
        <v>4405</v>
      </c>
      <c r="AD131" s="114">
        <v>3325</v>
      </c>
      <c r="AE131" s="113">
        <v>1080</v>
      </c>
      <c r="AF131" s="113">
        <f t="shared" si="115"/>
        <v>3244</v>
      </c>
      <c r="AG131" s="114">
        <v>3244</v>
      </c>
      <c r="AH131" s="113" t="s">
        <v>13</v>
      </c>
      <c r="AI131" s="113">
        <f t="shared" si="116"/>
        <v>3370</v>
      </c>
      <c r="AJ131" s="114">
        <f>[1]Sec!$E$15+[1]Sec!$F$15</f>
        <v>3370</v>
      </c>
      <c r="AK131" s="113" t="s">
        <v>13</v>
      </c>
      <c r="AL131" s="113">
        <f t="shared" si="121"/>
        <v>4333</v>
      </c>
      <c r="AM131" s="113">
        <v>3231</v>
      </c>
      <c r="AN131" s="113">
        <v>1102</v>
      </c>
      <c r="AO131" s="113">
        <f t="shared" si="122"/>
        <v>4220</v>
      </c>
      <c r="AP131" s="113">
        <v>3106</v>
      </c>
      <c r="AQ131" s="113">
        <v>1114</v>
      </c>
      <c r="AR131" s="113">
        <f t="shared" si="120"/>
        <v>4451</v>
      </c>
      <c r="AS131" s="113">
        <v>3220</v>
      </c>
      <c r="AT131" s="53">
        <v>1231</v>
      </c>
      <c r="AU131" s="113" t="s">
        <v>13</v>
      </c>
      <c r="AV131" s="113" t="s">
        <v>13</v>
      </c>
      <c r="AW131" s="113" t="s">
        <v>13</v>
      </c>
      <c r="AX131" s="101"/>
      <c r="AY131" s="106"/>
      <c r="AZ131" s="101"/>
      <c r="BA131" s="101"/>
    </row>
    <row r="132" spans="1:53" s="34" customFormat="1" ht="13.5" customHeight="1" x14ac:dyDescent="0.2">
      <c r="A132" s="49" t="s">
        <v>27</v>
      </c>
      <c r="B132" s="50">
        <f t="shared" si="106"/>
        <v>3034</v>
      </c>
      <c r="C132" s="50">
        <v>2090</v>
      </c>
      <c r="D132" s="50">
        <v>944</v>
      </c>
      <c r="E132" s="22">
        <f t="shared" si="107"/>
        <v>6106</v>
      </c>
      <c r="F132" s="22">
        <v>2037</v>
      </c>
      <c r="G132" s="22">
        <v>1034</v>
      </c>
      <c r="H132" s="22">
        <f t="shared" si="108"/>
        <v>3035</v>
      </c>
      <c r="I132" s="22">
        <v>2103</v>
      </c>
      <c r="J132" s="22">
        <v>932</v>
      </c>
      <c r="K132" s="51">
        <f t="shared" si="109"/>
        <v>3322</v>
      </c>
      <c r="L132" s="51">
        <v>2327</v>
      </c>
      <c r="M132" s="51">
        <v>995</v>
      </c>
      <c r="N132" s="59">
        <f t="shared" si="110"/>
        <v>3285</v>
      </c>
      <c r="O132" s="59">
        <v>2498</v>
      </c>
      <c r="P132" s="59">
        <v>787</v>
      </c>
      <c r="Q132" s="58">
        <f t="shared" si="111"/>
        <v>3055</v>
      </c>
      <c r="R132" s="59">
        <v>2704</v>
      </c>
      <c r="S132" s="59">
        <v>351</v>
      </c>
      <c r="T132" s="113">
        <f t="shared" si="117"/>
        <v>2824</v>
      </c>
      <c r="U132" s="113">
        <f>1265+1559</f>
        <v>2824</v>
      </c>
      <c r="V132" s="113" t="s">
        <v>13</v>
      </c>
      <c r="W132" s="113">
        <f t="shared" si="112"/>
        <v>3751</v>
      </c>
      <c r="X132" s="113">
        <v>2786</v>
      </c>
      <c r="Y132" s="113">
        <v>965</v>
      </c>
      <c r="Z132" s="113">
        <f t="shared" si="113"/>
        <v>3173</v>
      </c>
      <c r="AA132" s="113">
        <v>2123</v>
      </c>
      <c r="AB132" s="113">
        <v>1050</v>
      </c>
      <c r="AC132" s="113">
        <f t="shared" si="114"/>
        <v>4344</v>
      </c>
      <c r="AD132" s="114">
        <v>3245</v>
      </c>
      <c r="AE132" s="113">
        <v>1099</v>
      </c>
      <c r="AF132" s="113">
        <f t="shared" si="115"/>
        <v>3117</v>
      </c>
      <c r="AG132" s="114">
        <v>3117</v>
      </c>
      <c r="AH132" s="113" t="s">
        <v>13</v>
      </c>
      <c r="AI132" s="113">
        <f t="shared" si="116"/>
        <v>2994</v>
      </c>
      <c r="AJ132" s="114">
        <f>[1]Sec!$G$15+[1]Sec!$H$15</f>
        <v>2994</v>
      </c>
      <c r="AK132" s="113" t="s">
        <v>13</v>
      </c>
      <c r="AL132" s="113">
        <f t="shared" si="121"/>
        <v>4052</v>
      </c>
      <c r="AM132" s="113">
        <v>3060</v>
      </c>
      <c r="AN132" s="113">
        <v>992</v>
      </c>
      <c r="AO132" s="113">
        <f t="shared" si="122"/>
        <v>3920</v>
      </c>
      <c r="AP132" s="113">
        <v>2869</v>
      </c>
      <c r="AQ132" s="113">
        <v>1051</v>
      </c>
      <c r="AR132" s="113">
        <f t="shared" si="120"/>
        <v>4007</v>
      </c>
      <c r="AS132" s="113">
        <v>2952</v>
      </c>
      <c r="AT132" s="53">
        <v>1055</v>
      </c>
      <c r="AU132" s="113" t="s">
        <v>13</v>
      </c>
      <c r="AV132" s="113" t="s">
        <v>13</v>
      </c>
      <c r="AW132" s="113" t="s">
        <v>13</v>
      </c>
      <c r="AX132" s="101"/>
      <c r="AY132" s="106"/>
      <c r="AZ132" s="101"/>
      <c r="BA132" s="101"/>
    </row>
    <row r="133" spans="1:53" s="34" customFormat="1" ht="13.5" customHeight="1" x14ac:dyDescent="0.2">
      <c r="A133" s="49" t="s">
        <v>28</v>
      </c>
      <c r="B133" s="50">
        <f t="shared" si="106"/>
        <v>2517</v>
      </c>
      <c r="C133" s="50">
        <v>1632</v>
      </c>
      <c r="D133" s="50">
        <v>885</v>
      </c>
      <c r="E133" s="22">
        <f t="shared" si="107"/>
        <v>5242</v>
      </c>
      <c r="F133" s="22">
        <v>1665</v>
      </c>
      <c r="G133" s="22">
        <v>1004</v>
      </c>
      <c r="H133" s="22">
        <f t="shared" si="108"/>
        <v>2573</v>
      </c>
      <c r="I133" s="22">
        <v>1741</v>
      </c>
      <c r="J133" s="22">
        <v>832</v>
      </c>
      <c r="K133" s="51">
        <f t="shared" si="109"/>
        <v>2966</v>
      </c>
      <c r="L133" s="51">
        <v>2052</v>
      </c>
      <c r="M133" s="51">
        <v>914</v>
      </c>
      <c r="N133" s="59">
        <f t="shared" si="110"/>
        <v>2752</v>
      </c>
      <c r="O133" s="59">
        <v>2063</v>
      </c>
      <c r="P133" s="59">
        <v>689</v>
      </c>
      <c r="Q133" s="58">
        <f t="shared" si="111"/>
        <v>2526</v>
      </c>
      <c r="R133" s="59">
        <v>2102</v>
      </c>
      <c r="S133" s="59">
        <v>424</v>
      </c>
      <c r="T133" s="113">
        <f t="shared" si="117"/>
        <v>2351</v>
      </c>
      <c r="U133" s="113">
        <f>995+1356</f>
        <v>2351</v>
      </c>
      <c r="V133" s="113" t="s">
        <v>13</v>
      </c>
      <c r="W133" s="113">
        <f t="shared" si="112"/>
        <v>3430</v>
      </c>
      <c r="X133" s="113">
        <v>2542</v>
      </c>
      <c r="Y133" s="113">
        <v>888</v>
      </c>
      <c r="Z133" s="113">
        <f t="shared" si="113"/>
        <v>3255</v>
      </c>
      <c r="AA133" s="113">
        <v>2364</v>
      </c>
      <c r="AB133" s="113">
        <v>891</v>
      </c>
      <c r="AC133" s="113">
        <f t="shared" si="114"/>
        <v>3121</v>
      </c>
      <c r="AD133" s="114">
        <v>2161</v>
      </c>
      <c r="AE133" s="113">
        <v>960</v>
      </c>
      <c r="AF133" s="113">
        <f t="shared" si="115"/>
        <v>2966</v>
      </c>
      <c r="AG133" s="114">
        <v>2966</v>
      </c>
      <c r="AH133" s="113" t="s">
        <v>13</v>
      </c>
      <c r="AI133" s="113">
        <f t="shared" si="116"/>
        <v>2774</v>
      </c>
      <c r="AJ133" s="114">
        <f>[1]Sec!$I$15+[1]Sec!$J$15</f>
        <v>2774</v>
      </c>
      <c r="AK133" s="113" t="s">
        <v>13</v>
      </c>
      <c r="AL133" s="113">
        <f t="shared" si="121"/>
        <v>3640</v>
      </c>
      <c r="AM133" s="113">
        <v>2674</v>
      </c>
      <c r="AN133" s="113">
        <v>966</v>
      </c>
      <c r="AO133" s="113">
        <f t="shared" si="122"/>
        <v>3603</v>
      </c>
      <c r="AP133" s="113">
        <v>2660</v>
      </c>
      <c r="AQ133" s="113">
        <v>943</v>
      </c>
      <c r="AR133" s="113">
        <f t="shared" si="120"/>
        <v>3657</v>
      </c>
      <c r="AS133" s="113">
        <v>2639</v>
      </c>
      <c r="AT133" s="53">
        <v>1018</v>
      </c>
      <c r="AU133" s="113" t="s">
        <v>13</v>
      </c>
      <c r="AV133" s="113" t="s">
        <v>13</v>
      </c>
      <c r="AW133" s="113" t="s">
        <v>13</v>
      </c>
      <c r="AX133" s="101"/>
      <c r="AY133" s="106"/>
      <c r="AZ133" s="101"/>
      <c r="BA133" s="101"/>
    </row>
    <row r="134" spans="1:53" s="68" customFormat="1" ht="13.5" customHeight="1" x14ac:dyDescent="0.2">
      <c r="A134" s="10" t="s">
        <v>38</v>
      </c>
      <c r="B134" s="78">
        <v>3372</v>
      </c>
      <c r="C134" s="78">
        <v>2809</v>
      </c>
      <c r="D134" s="78">
        <v>563</v>
      </c>
      <c r="E134" s="79">
        <f t="shared" si="107"/>
        <v>7121</v>
      </c>
      <c r="F134" s="79">
        <v>2959</v>
      </c>
      <c r="G134" s="79">
        <v>592</v>
      </c>
      <c r="H134" s="79">
        <f t="shared" si="108"/>
        <v>3570</v>
      </c>
      <c r="I134" s="79">
        <v>2903</v>
      </c>
      <c r="J134" s="79">
        <v>667</v>
      </c>
      <c r="K134" s="77">
        <f t="shared" si="109"/>
        <v>3611</v>
      </c>
      <c r="L134" s="77">
        <v>3087</v>
      </c>
      <c r="M134" s="77">
        <v>524</v>
      </c>
      <c r="N134" s="91">
        <v>3571</v>
      </c>
      <c r="O134" s="92">
        <v>3099</v>
      </c>
      <c r="P134" s="92">
        <f>N134-O134</f>
        <v>472</v>
      </c>
      <c r="Q134" s="91">
        <v>3819</v>
      </c>
      <c r="R134" s="92">
        <v>3072</v>
      </c>
      <c r="S134" s="92">
        <f>Q134-R134</f>
        <v>747</v>
      </c>
      <c r="T134" s="115">
        <v>4070</v>
      </c>
      <c r="U134" s="115">
        <v>3300</v>
      </c>
      <c r="V134" s="115">
        <v>655</v>
      </c>
      <c r="W134" s="115">
        <f t="shared" si="112"/>
        <v>4070</v>
      </c>
      <c r="X134" s="115">
        <v>3431</v>
      </c>
      <c r="Y134" s="115">
        <v>639</v>
      </c>
      <c r="Z134" s="115">
        <f>SUM(AA134:AB134)</f>
        <v>3874</v>
      </c>
      <c r="AA134" s="115">
        <v>3339</v>
      </c>
      <c r="AB134" s="115">
        <v>535</v>
      </c>
      <c r="AC134" s="116">
        <v>4596</v>
      </c>
      <c r="AD134" s="116">
        <v>3344</v>
      </c>
      <c r="AE134" s="116">
        <v>635</v>
      </c>
      <c r="AF134" s="116">
        <f>SUM(AG134:AH134)</f>
        <v>4596</v>
      </c>
      <c r="AG134" s="116">
        <v>2590</v>
      </c>
      <c r="AH134" s="116">
        <v>2006</v>
      </c>
      <c r="AI134" s="115">
        <f>AJ134+AK134</f>
        <v>4734</v>
      </c>
      <c r="AJ134" s="115">
        <v>3934</v>
      </c>
      <c r="AK134" s="115">
        <v>800</v>
      </c>
      <c r="AL134" s="116">
        <f>SUM(AM134:AN134)</f>
        <v>6330</v>
      </c>
      <c r="AM134" s="81">
        <f>3160+1611+596</f>
        <v>5367</v>
      </c>
      <c r="AN134" s="81">
        <f>6330-AM134</f>
        <v>963</v>
      </c>
      <c r="AO134" s="116">
        <f>SUM(AP134:AQ134)</f>
        <v>6576</v>
      </c>
      <c r="AP134" s="81">
        <v>4964</v>
      </c>
      <c r="AQ134" s="81">
        <v>1612</v>
      </c>
      <c r="AR134" s="116">
        <f>SUM(AS134:AT134)</f>
        <v>5548</v>
      </c>
      <c r="AS134" s="81">
        <f>3341+1589+190</f>
        <v>5120</v>
      </c>
      <c r="AT134" s="81">
        <f>5548-AS134</f>
        <v>428</v>
      </c>
      <c r="AU134" s="116">
        <f>SUM(AV134:AW134)</f>
        <v>7815</v>
      </c>
      <c r="AV134" s="81">
        <v>5475</v>
      </c>
      <c r="AW134" s="81">
        <v>2340</v>
      </c>
      <c r="AX134" s="105"/>
      <c r="AY134" s="108"/>
      <c r="AZ134" s="102"/>
      <c r="BA134" s="102"/>
    </row>
    <row r="135" spans="1:53" s="34" customFormat="1" ht="13.5" customHeight="1" x14ac:dyDescent="0.2">
      <c r="A135" s="49"/>
      <c r="B135" s="50"/>
      <c r="C135" s="50"/>
      <c r="D135" s="50"/>
      <c r="E135" s="22"/>
      <c r="F135" s="22"/>
      <c r="G135" s="22"/>
      <c r="H135" s="22"/>
      <c r="I135" s="22"/>
      <c r="J135" s="22"/>
      <c r="K135" s="51"/>
      <c r="L135" s="51"/>
      <c r="M135" s="51"/>
      <c r="N135" s="58"/>
      <c r="O135" s="58"/>
      <c r="P135" s="58"/>
      <c r="Q135" s="58"/>
      <c r="R135" s="58"/>
      <c r="S135" s="58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4"/>
      <c r="AE135" s="114"/>
      <c r="AF135" s="113"/>
      <c r="AG135" s="114"/>
      <c r="AH135" s="114"/>
      <c r="AI135" s="113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01"/>
      <c r="AY135" s="106"/>
      <c r="AZ135" s="101"/>
      <c r="BA135" s="101"/>
    </row>
    <row r="136" spans="1:53" s="44" customFormat="1" ht="13.5" customHeight="1" x14ac:dyDescent="0.2">
      <c r="A136" s="10" t="s">
        <v>37</v>
      </c>
      <c r="B136" s="14"/>
      <c r="C136" s="14"/>
      <c r="D136" s="14"/>
      <c r="E136" s="22"/>
      <c r="F136" s="22"/>
      <c r="G136" s="22"/>
      <c r="H136" s="22"/>
      <c r="I136" s="22"/>
      <c r="J136" s="22"/>
      <c r="K136" s="51"/>
      <c r="L136" s="51"/>
      <c r="M136" s="51"/>
      <c r="N136" s="97"/>
      <c r="O136" s="97"/>
      <c r="P136" s="97"/>
      <c r="Q136" s="97"/>
      <c r="R136" s="97"/>
      <c r="S136" s="97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1"/>
      <c r="AE136" s="51"/>
      <c r="AF136" s="53"/>
      <c r="AG136" s="51"/>
      <c r="AH136" s="51"/>
      <c r="AI136" s="53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104"/>
      <c r="AY136" s="110"/>
      <c r="AZ136" s="104"/>
      <c r="BA136" s="104"/>
    </row>
    <row r="137" spans="1:53" s="34" customFormat="1" ht="13.5" customHeight="1" x14ac:dyDescent="0.2">
      <c r="A137" s="49" t="s">
        <v>12</v>
      </c>
      <c r="B137" s="50">
        <f t="shared" ref="B137:B150" si="124">C137+D137</f>
        <v>907</v>
      </c>
      <c r="C137" s="50">
        <v>743</v>
      </c>
      <c r="D137" s="50">
        <v>164</v>
      </c>
      <c r="E137" s="22">
        <f t="shared" ref="E137:E151" si="125">SUM(F137:H137)</f>
        <v>1724</v>
      </c>
      <c r="F137" s="22">
        <v>548</v>
      </c>
      <c r="G137" s="22">
        <v>181</v>
      </c>
      <c r="H137" s="22">
        <f t="shared" ref="H137:H151" si="126">SUM(I137:J137)</f>
        <v>995</v>
      </c>
      <c r="I137" s="22">
        <v>818</v>
      </c>
      <c r="J137" s="22">
        <v>177</v>
      </c>
      <c r="K137" s="51">
        <f t="shared" ref="K137:K151" si="127">SUM(L137:M137)</f>
        <v>1033</v>
      </c>
      <c r="L137" s="51">
        <v>872</v>
      </c>
      <c r="M137" s="51">
        <v>161</v>
      </c>
      <c r="N137" s="58">
        <f t="shared" ref="N137:N151" si="128">SUM(O137:P137)</f>
        <v>836</v>
      </c>
      <c r="O137" s="58">
        <v>682</v>
      </c>
      <c r="P137" s="58">
        <v>154</v>
      </c>
      <c r="Q137" s="58">
        <f t="shared" ref="Q137:Q150" si="129">SUM(R137:S137)</f>
        <v>1090</v>
      </c>
      <c r="R137" s="58">
        <v>945</v>
      </c>
      <c r="S137" s="58">
        <v>145</v>
      </c>
      <c r="T137" s="113" t="s">
        <v>13</v>
      </c>
      <c r="U137" s="113" t="s">
        <v>13</v>
      </c>
      <c r="V137" s="113" t="s">
        <v>13</v>
      </c>
      <c r="W137" s="113">
        <f t="shared" ref="W137:W150" si="130">SUM(X137:Y137)</f>
        <v>1069</v>
      </c>
      <c r="X137" s="113">
        <v>942</v>
      </c>
      <c r="Y137" s="113">
        <v>127</v>
      </c>
      <c r="Z137" s="113">
        <f t="shared" ref="Z137:Z150" si="131">SUM(AA137:AB137)</f>
        <v>1251</v>
      </c>
      <c r="AA137" s="113">
        <v>1251</v>
      </c>
      <c r="AB137" s="113">
        <v>0</v>
      </c>
      <c r="AC137" s="113">
        <f t="shared" ref="AC137:AC150" si="132">SUM(AD137:AE137)</f>
        <v>1465</v>
      </c>
      <c r="AD137" s="113">
        <v>1324</v>
      </c>
      <c r="AE137" s="113">
        <v>141</v>
      </c>
      <c r="AF137" s="113">
        <f t="shared" ref="AF137:AF145" si="133">SUM(AG137:AH137)</f>
        <v>1763</v>
      </c>
      <c r="AG137" s="113">
        <v>1544</v>
      </c>
      <c r="AH137" s="113">
        <v>219</v>
      </c>
      <c r="AI137" s="113">
        <f t="shared" ref="AI137:AI145" si="134">SUM(AJ137:AK137)</f>
        <v>2697</v>
      </c>
      <c r="AJ137" s="113">
        <v>2448</v>
      </c>
      <c r="AK137" s="113">
        <v>249</v>
      </c>
      <c r="AL137" s="113">
        <f>SUM(AM137:AN137)</f>
        <v>2606</v>
      </c>
      <c r="AM137" s="113">
        <v>2476</v>
      </c>
      <c r="AN137" s="113">
        <v>130</v>
      </c>
      <c r="AO137" s="113">
        <f>SUM(AP137:AQ137)</f>
        <v>3671</v>
      </c>
      <c r="AP137" s="113">
        <v>3334</v>
      </c>
      <c r="AQ137" s="113">
        <v>337</v>
      </c>
      <c r="AR137" s="113">
        <f>SUM(AS137:AT137)</f>
        <v>3759</v>
      </c>
      <c r="AS137" s="113">
        <v>3433</v>
      </c>
      <c r="AT137" s="113">
        <v>326</v>
      </c>
      <c r="AU137" s="113">
        <f>SUM(AV137:AW137)</f>
        <v>3879</v>
      </c>
      <c r="AV137" s="113">
        <v>3502</v>
      </c>
      <c r="AW137" s="113">
        <v>377</v>
      </c>
      <c r="AX137" s="101"/>
      <c r="AY137" s="106"/>
      <c r="AZ137" s="101"/>
      <c r="BA137" s="101"/>
    </row>
    <row r="138" spans="1:53" s="68" customFormat="1" ht="13.5" customHeight="1" x14ac:dyDescent="0.2">
      <c r="A138" s="10" t="s">
        <v>14</v>
      </c>
      <c r="B138" s="78">
        <f t="shared" si="124"/>
        <v>25061</v>
      </c>
      <c r="C138" s="78">
        <v>24368</v>
      </c>
      <c r="D138" s="78">
        <v>693</v>
      </c>
      <c r="E138" s="79">
        <f t="shared" si="125"/>
        <v>51443</v>
      </c>
      <c r="F138" s="79">
        <v>24959</v>
      </c>
      <c r="G138" s="79">
        <v>657</v>
      </c>
      <c r="H138" s="79">
        <f t="shared" si="126"/>
        <v>25827</v>
      </c>
      <c r="I138" s="79">
        <v>25186</v>
      </c>
      <c r="J138" s="79">
        <v>641</v>
      </c>
      <c r="K138" s="77">
        <f t="shared" si="127"/>
        <v>25536</v>
      </c>
      <c r="L138" s="77">
        <v>24908</v>
      </c>
      <c r="M138" s="77">
        <v>628</v>
      </c>
      <c r="N138" s="91">
        <f t="shared" si="128"/>
        <v>25153</v>
      </c>
      <c r="O138" s="91">
        <v>24538</v>
      </c>
      <c r="P138" s="91">
        <v>615</v>
      </c>
      <c r="Q138" s="91">
        <f t="shared" si="129"/>
        <v>24526</v>
      </c>
      <c r="R138" s="91">
        <f>SUM(R139:R144)</f>
        <v>23990</v>
      </c>
      <c r="S138" s="91">
        <f>SUM(S139:S144)</f>
        <v>536</v>
      </c>
      <c r="T138" s="115">
        <f t="shared" ref="T138:T150" si="135">SUM(U138:V138)</f>
        <v>23965</v>
      </c>
      <c r="U138" s="115">
        <f>SUM(U139:U144)</f>
        <v>23965</v>
      </c>
      <c r="V138" s="115" t="s">
        <v>13</v>
      </c>
      <c r="W138" s="115">
        <f t="shared" si="130"/>
        <v>23782</v>
      </c>
      <c r="X138" s="115">
        <f>SUM(X139:X144)</f>
        <v>23245</v>
      </c>
      <c r="Y138" s="115">
        <f>SUM(Y139:Y144)</f>
        <v>537</v>
      </c>
      <c r="Z138" s="115">
        <f t="shared" si="131"/>
        <v>23946</v>
      </c>
      <c r="AA138" s="115">
        <f>SUM(AA139:AA144)</f>
        <v>23418</v>
      </c>
      <c r="AB138" s="115">
        <f>SUM(AB139:AB144)</f>
        <v>528</v>
      </c>
      <c r="AC138" s="115">
        <f t="shared" si="132"/>
        <v>23702</v>
      </c>
      <c r="AD138" s="115">
        <f>SUM(AD139:AD144)</f>
        <v>23143</v>
      </c>
      <c r="AE138" s="115">
        <f>SUM(AE139:AE144)</f>
        <v>559</v>
      </c>
      <c r="AF138" s="115">
        <f t="shared" si="133"/>
        <v>23914</v>
      </c>
      <c r="AG138" s="115">
        <f>SUM(AG139:AG144)</f>
        <v>23375</v>
      </c>
      <c r="AH138" s="115">
        <f>SUM(AH139:AH144)</f>
        <v>539</v>
      </c>
      <c r="AI138" s="115">
        <f t="shared" si="134"/>
        <v>23751</v>
      </c>
      <c r="AJ138" s="115">
        <f>SUM(AJ139:AJ144)</f>
        <v>23189</v>
      </c>
      <c r="AK138" s="115">
        <v>562</v>
      </c>
      <c r="AL138" s="115">
        <f>SUM(AM138:AN138)</f>
        <v>23765</v>
      </c>
      <c r="AM138" s="115">
        <f>SUM(AM139:AM144)</f>
        <v>23173</v>
      </c>
      <c r="AN138" s="115">
        <f>SUM(AN139:AN144)</f>
        <v>592</v>
      </c>
      <c r="AO138" s="115">
        <f>SUM(AP138:AQ138)</f>
        <v>23302</v>
      </c>
      <c r="AP138" s="115">
        <f>SUM(AP139:AP144)</f>
        <v>22616</v>
      </c>
      <c r="AQ138" s="115">
        <f>SUM(AQ139:AQ144)</f>
        <v>686</v>
      </c>
      <c r="AR138" s="115">
        <f>SUM(AS138:AT138)</f>
        <v>23012</v>
      </c>
      <c r="AS138" s="115">
        <v>22319</v>
      </c>
      <c r="AT138" s="115">
        <v>693</v>
      </c>
      <c r="AU138" s="115">
        <f>SUM(AV138:AW138)</f>
        <v>22844</v>
      </c>
      <c r="AV138" s="115">
        <v>22109</v>
      </c>
      <c r="AW138" s="115">
        <v>735</v>
      </c>
      <c r="AX138" s="102"/>
      <c r="AY138" s="108"/>
      <c r="AZ138" s="102"/>
      <c r="BA138" s="102"/>
    </row>
    <row r="139" spans="1:53" s="34" customFormat="1" ht="13.5" customHeight="1" x14ac:dyDescent="0.2">
      <c r="A139" s="49" t="s">
        <v>19</v>
      </c>
      <c r="B139" s="50">
        <f t="shared" si="124"/>
        <v>5338</v>
      </c>
      <c r="C139" s="50">
        <v>5214</v>
      </c>
      <c r="D139" s="50">
        <v>124</v>
      </c>
      <c r="E139" s="22">
        <f t="shared" si="125"/>
        <v>10441</v>
      </c>
      <c r="F139" s="22">
        <v>5250</v>
      </c>
      <c r="G139" s="22">
        <v>101</v>
      </c>
      <c r="H139" s="22">
        <f t="shared" si="126"/>
        <v>5090</v>
      </c>
      <c r="I139" s="22">
        <v>4983</v>
      </c>
      <c r="J139" s="22">
        <v>107</v>
      </c>
      <c r="K139" s="51">
        <f t="shared" si="127"/>
        <v>5191</v>
      </c>
      <c r="L139" s="51">
        <v>5071</v>
      </c>
      <c r="M139" s="51">
        <v>120</v>
      </c>
      <c r="N139" s="59">
        <f t="shared" si="128"/>
        <v>4853</v>
      </c>
      <c r="O139" s="59">
        <v>4745</v>
      </c>
      <c r="P139" s="59">
        <v>108</v>
      </c>
      <c r="Q139" s="58">
        <f t="shared" si="129"/>
        <v>4821</v>
      </c>
      <c r="R139" s="59">
        <v>4720</v>
      </c>
      <c r="S139" s="59">
        <v>101</v>
      </c>
      <c r="T139" s="113">
        <f t="shared" si="135"/>
        <v>4830</v>
      </c>
      <c r="U139" s="113">
        <f>2621+2209</f>
        <v>4830</v>
      </c>
      <c r="V139" s="113" t="s">
        <v>13</v>
      </c>
      <c r="W139" s="113">
        <f t="shared" si="130"/>
        <v>4794</v>
      </c>
      <c r="X139" s="113">
        <v>4698</v>
      </c>
      <c r="Y139" s="113">
        <v>96</v>
      </c>
      <c r="Z139" s="113">
        <f t="shared" si="131"/>
        <v>4981</v>
      </c>
      <c r="AA139" s="113">
        <v>4888</v>
      </c>
      <c r="AB139" s="113">
        <v>93</v>
      </c>
      <c r="AC139" s="113">
        <f t="shared" si="132"/>
        <v>5140</v>
      </c>
      <c r="AD139" s="114">
        <v>5028</v>
      </c>
      <c r="AE139" s="113">
        <v>112</v>
      </c>
      <c r="AF139" s="113">
        <f t="shared" si="133"/>
        <v>5008</v>
      </c>
      <c r="AG139" s="114">
        <v>4917</v>
      </c>
      <c r="AH139" s="113">
        <v>91</v>
      </c>
      <c r="AI139" s="113">
        <f t="shared" si="134"/>
        <v>4727</v>
      </c>
      <c r="AJ139" s="114">
        <f>[1]Elem!$C$16+[1]Elem!$D$16</f>
        <v>4727</v>
      </c>
      <c r="AK139" s="113" t="s">
        <v>13</v>
      </c>
      <c r="AL139" s="113">
        <f t="shared" ref="AL139:AL144" si="136">SUM(AM139:AN139)</f>
        <v>4696</v>
      </c>
      <c r="AM139" s="113">
        <v>4577</v>
      </c>
      <c r="AN139" s="113">
        <v>119</v>
      </c>
      <c r="AO139" s="113">
        <f t="shared" ref="AO139:AO144" si="137">SUM(AP139:AQ139)</f>
        <v>4344</v>
      </c>
      <c r="AP139" s="113">
        <v>4209</v>
      </c>
      <c r="AQ139" s="113">
        <v>135</v>
      </c>
      <c r="AR139" s="113">
        <f t="shared" ref="AR139:AR150" si="138">SUM(AS139:AT139)</f>
        <v>4370</v>
      </c>
      <c r="AS139" s="113">
        <v>4232</v>
      </c>
      <c r="AT139" s="113">
        <v>138</v>
      </c>
      <c r="AU139" s="113" t="s">
        <v>13</v>
      </c>
      <c r="AV139" s="113" t="s">
        <v>13</v>
      </c>
      <c r="AW139" s="113" t="s">
        <v>13</v>
      </c>
      <c r="AX139" s="101"/>
      <c r="AY139" s="106"/>
      <c r="AZ139" s="101"/>
      <c r="BA139" s="101"/>
    </row>
    <row r="140" spans="1:53" s="34" customFormat="1" ht="13.5" customHeight="1" x14ac:dyDescent="0.2">
      <c r="A140" s="49" t="s">
        <v>20</v>
      </c>
      <c r="B140" s="50">
        <f t="shared" si="124"/>
        <v>4584</v>
      </c>
      <c r="C140" s="50">
        <v>4478</v>
      </c>
      <c r="D140" s="50">
        <v>106</v>
      </c>
      <c r="E140" s="22">
        <f t="shared" si="125"/>
        <v>8833</v>
      </c>
      <c r="F140" s="22">
        <v>4346</v>
      </c>
      <c r="G140" s="22">
        <v>100</v>
      </c>
      <c r="H140" s="22">
        <f t="shared" si="126"/>
        <v>4387</v>
      </c>
      <c r="I140" s="22">
        <v>4387</v>
      </c>
      <c r="J140" s="50" t="s">
        <v>35</v>
      </c>
      <c r="K140" s="51">
        <f t="shared" si="127"/>
        <v>4309</v>
      </c>
      <c r="L140" s="51">
        <v>4206</v>
      </c>
      <c r="M140" s="51">
        <v>103</v>
      </c>
      <c r="N140" s="59">
        <f t="shared" si="128"/>
        <v>4420</v>
      </c>
      <c r="O140" s="59">
        <v>4312</v>
      </c>
      <c r="P140" s="59">
        <v>108</v>
      </c>
      <c r="Q140" s="58">
        <f t="shared" si="129"/>
        <v>4084</v>
      </c>
      <c r="R140" s="59">
        <v>3977</v>
      </c>
      <c r="S140" s="59">
        <v>107</v>
      </c>
      <c r="T140" s="113">
        <f t="shared" si="135"/>
        <v>3966</v>
      </c>
      <c r="U140" s="113">
        <f>2133+1833</f>
        <v>3966</v>
      </c>
      <c r="V140" s="113" t="s">
        <v>13</v>
      </c>
      <c r="W140" s="113">
        <f t="shared" si="130"/>
        <v>4100</v>
      </c>
      <c r="X140" s="113">
        <v>3997</v>
      </c>
      <c r="Y140" s="113">
        <v>103</v>
      </c>
      <c r="Z140" s="113">
        <f t="shared" si="131"/>
        <v>4055</v>
      </c>
      <c r="AA140" s="113">
        <v>3963</v>
      </c>
      <c r="AB140" s="113">
        <v>92</v>
      </c>
      <c r="AC140" s="113">
        <f t="shared" si="132"/>
        <v>4152</v>
      </c>
      <c r="AD140" s="114">
        <v>4054</v>
      </c>
      <c r="AE140" s="113">
        <v>98</v>
      </c>
      <c r="AF140" s="113">
        <f t="shared" si="133"/>
        <v>4334</v>
      </c>
      <c r="AG140" s="114">
        <v>4227</v>
      </c>
      <c r="AH140" s="113">
        <v>107</v>
      </c>
      <c r="AI140" s="113">
        <f t="shared" si="134"/>
        <v>4170</v>
      </c>
      <c r="AJ140" s="114">
        <f>[1]Elem!$E$16+[1]Elem!$F$16</f>
        <v>4170</v>
      </c>
      <c r="AK140" s="113" t="s">
        <v>13</v>
      </c>
      <c r="AL140" s="113">
        <f t="shared" si="136"/>
        <v>4111</v>
      </c>
      <c r="AM140" s="113">
        <v>4003</v>
      </c>
      <c r="AN140" s="113">
        <v>108</v>
      </c>
      <c r="AO140" s="113">
        <f t="shared" si="137"/>
        <v>3957</v>
      </c>
      <c r="AP140" s="113">
        <v>3824</v>
      </c>
      <c r="AQ140" s="113">
        <v>133</v>
      </c>
      <c r="AR140" s="113">
        <f t="shared" si="138"/>
        <v>3824</v>
      </c>
      <c r="AS140" s="113">
        <v>3702</v>
      </c>
      <c r="AT140" s="113">
        <v>122</v>
      </c>
      <c r="AU140" s="113" t="s">
        <v>13</v>
      </c>
      <c r="AV140" s="113" t="s">
        <v>13</v>
      </c>
      <c r="AW140" s="113" t="s">
        <v>13</v>
      </c>
      <c r="AX140" s="101"/>
      <c r="AY140" s="106"/>
      <c r="AZ140" s="101"/>
      <c r="BA140" s="101"/>
    </row>
    <row r="141" spans="1:53" s="34" customFormat="1" ht="13.5" customHeight="1" x14ac:dyDescent="0.2">
      <c r="A141" s="49" t="s">
        <v>21</v>
      </c>
      <c r="B141" s="50">
        <f t="shared" si="124"/>
        <v>4286</v>
      </c>
      <c r="C141" s="50">
        <v>4167</v>
      </c>
      <c r="D141" s="50">
        <v>119</v>
      </c>
      <c r="E141" s="22">
        <f t="shared" si="125"/>
        <v>8599</v>
      </c>
      <c r="F141" s="22">
        <v>4224</v>
      </c>
      <c r="G141" s="22">
        <v>111</v>
      </c>
      <c r="H141" s="22">
        <f t="shared" si="126"/>
        <v>4264</v>
      </c>
      <c r="I141" s="22">
        <v>4161</v>
      </c>
      <c r="J141" s="22">
        <v>103</v>
      </c>
      <c r="K141" s="51">
        <f t="shared" si="127"/>
        <v>4224</v>
      </c>
      <c r="L141" s="51">
        <v>4112</v>
      </c>
      <c r="M141" s="51">
        <v>112</v>
      </c>
      <c r="N141" s="59">
        <f t="shared" si="128"/>
        <v>4061</v>
      </c>
      <c r="O141" s="59">
        <v>3963</v>
      </c>
      <c r="P141" s="59">
        <v>98</v>
      </c>
      <c r="Q141" s="58">
        <f t="shared" si="129"/>
        <v>4154</v>
      </c>
      <c r="R141" s="59">
        <v>4062</v>
      </c>
      <c r="S141" s="59">
        <v>92</v>
      </c>
      <c r="T141" s="113">
        <f t="shared" si="135"/>
        <v>3870</v>
      </c>
      <c r="U141" s="113">
        <f>2068+1802</f>
        <v>3870</v>
      </c>
      <c r="V141" s="113" t="s">
        <v>13</v>
      </c>
      <c r="W141" s="113">
        <f t="shared" si="130"/>
        <v>3776</v>
      </c>
      <c r="X141" s="113">
        <v>3684</v>
      </c>
      <c r="Y141" s="113">
        <v>92</v>
      </c>
      <c r="Z141" s="113">
        <f t="shared" si="131"/>
        <v>3905</v>
      </c>
      <c r="AA141" s="113">
        <v>3810</v>
      </c>
      <c r="AB141" s="113">
        <v>95</v>
      </c>
      <c r="AC141" s="113">
        <f t="shared" si="132"/>
        <v>3814</v>
      </c>
      <c r="AD141" s="114">
        <v>3725</v>
      </c>
      <c r="AE141" s="113">
        <v>89</v>
      </c>
      <c r="AF141" s="113">
        <f t="shared" si="133"/>
        <v>3988</v>
      </c>
      <c r="AG141" s="114">
        <v>3902</v>
      </c>
      <c r="AH141" s="113">
        <v>86</v>
      </c>
      <c r="AI141" s="113">
        <f t="shared" si="134"/>
        <v>3928</v>
      </c>
      <c r="AJ141" s="114">
        <f>[1]Elem!$G$16+[1]Elem!$H$16</f>
        <v>3928</v>
      </c>
      <c r="AK141" s="113" t="s">
        <v>13</v>
      </c>
      <c r="AL141" s="113">
        <f t="shared" si="136"/>
        <v>4040</v>
      </c>
      <c r="AM141" s="113">
        <v>3947</v>
      </c>
      <c r="AN141" s="113">
        <v>93</v>
      </c>
      <c r="AO141" s="113">
        <f t="shared" si="137"/>
        <v>3911</v>
      </c>
      <c r="AP141" s="113">
        <v>3793</v>
      </c>
      <c r="AQ141" s="113">
        <v>118</v>
      </c>
      <c r="AR141" s="113">
        <f t="shared" si="138"/>
        <v>3738</v>
      </c>
      <c r="AS141" s="113">
        <v>3613</v>
      </c>
      <c r="AT141" s="113">
        <v>125</v>
      </c>
      <c r="AU141" s="113" t="s">
        <v>13</v>
      </c>
      <c r="AV141" s="113" t="s">
        <v>13</v>
      </c>
      <c r="AW141" s="113" t="s">
        <v>13</v>
      </c>
      <c r="AX141" s="101"/>
      <c r="AY141" s="106"/>
      <c r="AZ141" s="101"/>
      <c r="BA141" s="101"/>
    </row>
    <row r="142" spans="1:53" s="34" customFormat="1" ht="13.5" customHeight="1" x14ac:dyDescent="0.2">
      <c r="A142" s="49" t="s">
        <v>22</v>
      </c>
      <c r="B142" s="50">
        <f t="shared" si="124"/>
        <v>4260</v>
      </c>
      <c r="C142" s="50">
        <v>4139</v>
      </c>
      <c r="D142" s="50">
        <v>121</v>
      </c>
      <c r="E142" s="22">
        <f t="shared" si="125"/>
        <v>8452</v>
      </c>
      <c r="F142" s="22">
        <v>4100</v>
      </c>
      <c r="G142" s="22">
        <v>102</v>
      </c>
      <c r="H142" s="22">
        <f t="shared" si="126"/>
        <v>4250</v>
      </c>
      <c r="I142" s="22">
        <v>4141</v>
      </c>
      <c r="J142" s="22">
        <v>109</v>
      </c>
      <c r="K142" s="51">
        <f t="shared" si="127"/>
        <v>4145</v>
      </c>
      <c r="L142" s="51">
        <v>4048</v>
      </c>
      <c r="M142" s="51">
        <v>97</v>
      </c>
      <c r="N142" s="59">
        <f t="shared" si="128"/>
        <v>4115</v>
      </c>
      <c r="O142" s="59">
        <v>4007</v>
      </c>
      <c r="P142" s="59">
        <v>108</v>
      </c>
      <c r="Q142" s="58">
        <f t="shared" si="129"/>
        <v>3960</v>
      </c>
      <c r="R142" s="59">
        <v>3875</v>
      </c>
      <c r="S142" s="59">
        <v>85</v>
      </c>
      <c r="T142" s="113">
        <f t="shared" si="135"/>
        <v>3955</v>
      </c>
      <c r="U142" s="113">
        <f>2026+1929</f>
        <v>3955</v>
      </c>
      <c r="V142" s="113" t="s">
        <v>13</v>
      </c>
      <c r="W142" s="113">
        <f t="shared" si="130"/>
        <v>3745</v>
      </c>
      <c r="X142" s="113">
        <v>3658</v>
      </c>
      <c r="Y142" s="113">
        <v>87</v>
      </c>
      <c r="Z142" s="113">
        <f t="shared" si="131"/>
        <v>3679</v>
      </c>
      <c r="AA142" s="113">
        <v>3588</v>
      </c>
      <c r="AB142" s="113">
        <v>91</v>
      </c>
      <c r="AC142" s="113">
        <f t="shared" si="132"/>
        <v>3690</v>
      </c>
      <c r="AD142" s="114">
        <v>3599</v>
      </c>
      <c r="AE142" s="113">
        <v>91</v>
      </c>
      <c r="AF142" s="113">
        <f t="shared" si="133"/>
        <v>3683</v>
      </c>
      <c r="AG142" s="114">
        <v>3601</v>
      </c>
      <c r="AH142" s="113">
        <v>82</v>
      </c>
      <c r="AI142" s="113">
        <f t="shared" si="134"/>
        <v>3691</v>
      </c>
      <c r="AJ142" s="114">
        <f>[1]Elem!$I$16+[1]Elem!$J$16</f>
        <v>3691</v>
      </c>
      <c r="AK142" s="113" t="s">
        <v>13</v>
      </c>
      <c r="AL142" s="113">
        <f t="shared" si="136"/>
        <v>3921</v>
      </c>
      <c r="AM142" s="113">
        <v>3818</v>
      </c>
      <c r="AN142" s="113">
        <v>103</v>
      </c>
      <c r="AO142" s="113">
        <f t="shared" si="137"/>
        <v>3810</v>
      </c>
      <c r="AP142" s="113">
        <v>3710</v>
      </c>
      <c r="AQ142" s="113">
        <v>100</v>
      </c>
      <c r="AR142" s="113">
        <f t="shared" si="138"/>
        <v>3743</v>
      </c>
      <c r="AS142" s="113">
        <v>3638</v>
      </c>
      <c r="AT142" s="113">
        <v>105</v>
      </c>
      <c r="AU142" s="113" t="s">
        <v>13</v>
      </c>
      <c r="AV142" s="113" t="s">
        <v>13</v>
      </c>
      <c r="AW142" s="113" t="s">
        <v>13</v>
      </c>
      <c r="AX142" s="101"/>
      <c r="AY142" s="106"/>
      <c r="AZ142" s="101"/>
      <c r="BA142" s="101"/>
    </row>
    <row r="143" spans="1:53" s="34" customFormat="1" ht="13.5" customHeight="1" x14ac:dyDescent="0.2">
      <c r="A143" s="49" t="s">
        <v>23</v>
      </c>
      <c r="B143" s="50">
        <f t="shared" si="124"/>
        <v>3584</v>
      </c>
      <c r="C143" s="50">
        <v>3454</v>
      </c>
      <c r="D143" s="50">
        <v>130</v>
      </c>
      <c r="E143" s="22">
        <f t="shared" si="125"/>
        <v>8010</v>
      </c>
      <c r="F143" s="22">
        <v>3928</v>
      </c>
      <c r="G143" s="22">
        <v>112</v>
      </c>
      <c r="H143" s="22">
        <f t="shared" si="126"/>
        <v>3970</v>
      </c>
      <c r="I143" s="22">
        <v>3870</v>
      </c>
      <c r="J143" s="50">
        <v>100</v>
      </c>
      <c r="K143" s="51">
        <f t="shared" si="127"/>
        <v>4043</v>
      </c>
      <c r="L143" s="51">
        <v>3943</v>
      </c>
      <c r="M143" s="51">
        <v>100</v>
      </c>
      <c r="N143" s="59">
        <f t="shared" si="128"/>
        <v>3954</v>
      </c>
      <c r="O143" s="59">
        <v>3859</v>
      </c>
      <c r="P143" s="59">
        <v>95</v>
      </c>
      <c r="Q143" s="58">
        <f t="shared" si="129"/>
        <v>3867</v>
      </c>
      <c r="R143" s="59">
        <v>3767</v>
      </c>
      <c r="S143" s="59">
        <v>100</v>
      </c>
      <c r="T143" s="113">
        <f t="shared" si="135"/>
        <v>3760</v>
      </c>
      <c r="U143" s="113">
        <f>1909+1851</f>
        <v>3760</v>
      </c>
      <c r="V143" s="113" t="s">
        <v>13</v>
      </c>
      <c r="W143" s="113">
        <f t="shared" si="130"/>
        <v>3866</v>
      </c>
      <c r="X143" s="113">
        <f>1904+1877</f>
        <v>3781</v>
      </c>
      <c r="Y143" s="113">
        <v>85</v>
      </c>
      <c r="Z143" s="113">
        <f t="shared" si="131"/>
        <v>3708</v>
      </c>
      <c r="AA143" s="113">
        <v>3632</v>
      </c>
      <c r="AB143" s="113">
        <v>76</v>
      </c>
      <c r="AC143" s="113">
        <f t="shared" si="132"/>
        <v>3520</v>
      </c>
      <c r="AD143" s="114">
        <v>3428</v>
      </c>
      <c r="AE143" s="113">
        <v>92</v>
      </c>
      <c r="AF143" s="113">
        <f t="shared" si="133"/>
        <v>3584</v>
      </c>
      <c r="AG143" s="114">
        <v>3500</v>
      </c>
      <c r="AH143" s="113">
        <v>84</v>
      </c>
      <c r="AI143" s="113">
        <f t="shared" si="134"/>
        <v>3442</v>
      </c>
      <c r="AJ143" s="114">
        <f>[1]Elem!$K$16+[1]Elem!$L$16</f>
        <v>3442</v>
      </c>
      <c r="AK143" s="113" t="s">
        <v>13</v>
      </c>
      <c r="AL143" s="113">
        <f t="shared" si="136"/>
        <v>3667</v>
      </c>
      <c r="AM143" s="113">
        <v>3576</v>
      </c>
      <c r="AN143" s="113">
        <v>91</v>
      </c>
      <c r="AO143" s="113">
        <f t="shared" si="137"/>
        <v>3777</v>
      </c>
      <c r="AP143" s="113">
        <v>3667</v>
      </c>
      <c r="AQ143" s="113">
        <v>110</v>
      </c>
      <c r="AR143" s="113">
        <f t="shared" si="138"/>
        <v>3707</v>
      </c>
      <c r="AS143" s="113">
        <v>3609</v>
      </c>
      <c r="AT143" s="113">
        <v>98</v>
      </c>
      <c r="AU143" s="113" t="s">
        <v>13</v>
      </c>
      <c r="AV143" s="113" t="s">
        <v>13</v>
      </c>
      <c r="AW143" s="113" t="s">
        <v>13</v>
      </c>
      <c r="AX143" s="101"/>
      <c r="AY143" s="106"/>
      <c r="AZ143" s="101"/>
      <c r="BA143" s="101"/>
    </row>
    <row r="144" spans="1:53" s="34" customFormat="1" ht="13.5" customHeight="1" x14ac:dyDescent="0.2">
      <c r="A144" s="49" t="s">
        <v>24</v>
      </c>
      <c r="B144" s="50">
        <f t="shared" si="124"/>
        <v>2999</v>
      </c>
      <c r="C144" s="50">
        <v>2906</v>
      </c>
      <c r="D144" s="50">
        <v>93</v>
      </c>
      <c r="E144" s="22">
        <f t="shared" si="125"/>
        <v>6998</v>
      </c>
      <c r="F144" s="22">
        <v>3111</v>
      </c>
      <c r="G144" s="22">
        <v>131</v>
      </c>
      <c r="H144" s="22">
        <f t="shared" si="126"/>
        <v>3756</v>
      </c>
      <c r="I144" s="22">
        <v>3644</v>
      </c>
      <c r="J144" s="50">
        <v>112</v>
      </c>
      <c r="K144" s="51">
        <f t="shared" si="127"/>
        <v>3624</v>
      </c>
      <c r="L144" s="51">
        <v>3528</v>
      </c>
      <c r="M144" s="51">
        <v>96</v>
      </c>
      <c r="N144" s="59">
        <f t="shared" si="128"/>
        <v>3750</v>
      </c>
      <c r="O144" s="59">
        <v>3652</v>
      </c>
      <c r="P144" s="59">
        <v>98</v>
      </c>
      <c r="Q144" s="58">
        <f t="shared" si="129"/>
        <v>3640</v>
      </c>
      <c r="R144" s="59">
        <v>3589</v>
      </c>
      <c r="S144" s="59">
        <v>51</v>
      </c>
      <c r="T144" s="113">
        <f t="shared" si="135"/>
        <v>3584</v>
      </c>
      <c r="U144" s="113">
        <f>1864+1720</f>
        <v>3584</v>
      </c>
      <c r="V144" s="113" t="s">
        <v>13</v>
      </c>
      <c r="W144" s="113">
        <f t="shared" si="130"/>
        <v>3501</v>
      </c>
      <c r="X144" s="113">
        <f>1686+1741</f>
        <v>3427</v>
      </c>
      <c r="Y144" s="113">
        <v>74</v>
      </c>
      <c r="Z144" s="113">
        <f t="shared" si="131"/>
        <v>3618</v>
      </c>
      <c r="AA144" s="113">
        <v>3537</v>
      </c>
      <c r="AB144" s="113">
        <v>81</v>
      </c>
      <c r="AC144" s="113">
        <f t="shared" si="132"/>
        <v>3386</v>
      </c>
      <c r="AD144" s="114">
        <v>3309</v>
      </c>
      <c r="AE144" s="113">
        <v>77</v>
      </c>
      <c r="AF144" s="113">
        <f t="shared" si="133"/>
        <v>3317</v>
      </c>
      <c r="AG144" s="114">
        <v>3228</v>
      </c>
      <c r="AH144" s="113">
        <v>89</v>
      </c>
      <c r="AI144" s="113">
        <f t="shared" si="134"/>
        <v>3231</v>
      </c>
      <c r="AJ144" s="114">
        <f>[1]Elem!$M$16+[1]Elem!$N$16</f>
        <v>3231</v>
      </c>
      <c r="AK144" s="113" t="s">
        <v>13</v>
      </c>
      <c r="AL144" s="113">
        <f t="shared" si="136"/>
        <v>3330</v>
      </c>
      <c r="AM144" s="113">
        <v>3252</v>
      </c>
      <c r="AN144" s="113">
        <v>78</v>
      </c>
      <c r="AO144" s="113">
        <f t="shared" si="137"/>
        <v>3503</v>
      </c>
      <c r="AP144" s="113">
        <v>3413</v>
      </c>
      <c r="AQ144" s="113">
        <v>90</v>
      </c>
      <c r="AR144" s="113">
        <f t="shared" si="138"/>
        <v>3630</v>
      </c>
      <c r="AS144" s="113">
        <v>3525</v>
      </c>
      <c r="AT144" s="113">
        <v>105</v>
      </c>
      <c r="AU144" s="113" t="s">
        <v>13</v>
      </c>
      <c r="AV144" s="113" t="s">
        <v>13</v>
      </c>
      <c r="AW144" s="113" t="s">
        <v>13</v>
      </c>
      <c r="AX144" s="101"/>
      <c r="AY144" s="106"/>
      <c r="AZ144" s="101"/>
      <c r="BA144" s="101"/>
    </row>
    <row r="145" spans="1:53" s="68" customFormat="1" ht="13.5" customHeight="1" x14ac:dyDescent="0.2">
      <c r="A145" s="10" t="s">
        <v>15</v>
      </c>
      <c r="B145" s="78">
        <f t="shared" si="124"/>
        <v>11057</v>
      </c>
      <c r="C145" s="78">
        <v>9271</v>
      </c>
      <c r="D145" s="78">
        <v>1786</v>
      </c>
      <c r="E145" s="79">
        <f t="shared" si="125"/>
        <v>22670</v>
      </c>
      <c r="F145" s="79">
        <v>9304</v>
      </c>
      <c r="G145" s="79">
        <v>1543</v>
      </c>
      <c r="H145" s="79">
        <f t="shared" si="126"/>
        <v>11823</v>
      </c>
      <c r="I145" s="79">
        <v>10245</v>
      </c>
      <c r="J145" s="78">
        <v>1578</v>
      </c>
      <c r="K145" s="77">
        <f t="shared" si="127"/>
        <v>11717</v>
      </c>
      <c r="L145" s="77">
        <v>9884</v>
      </c>
      <c r="M145" s="77">
        <v>1833</v>
      </c>
      <c r="N145" s="91">
        <f t="shared" si="128"/>
        <v>13016</v>
      </c>
      <c r="O145" s="91">
        <v>11103</v>
      </c>
      <c r="P145" s="91">
        <v>1913</v>
      </c>
      <c r="Q145" s="91">
        <f t="shared" si="129"/>
        <v>13147</v>
      </c>
      <c r="R145" s="91">
        <f>SUM(R147:R150)</f>
        <v>11311</v>
      </c>
      <c r="S145" s="91">
        <f>SUM(S147:S150)</f>
        <v>1836</v>
      </c>
      <c r="T145" s="115">
        <f t="shared" si="135"/>
        <v>11163</v>
      </c>
      <c r="U145" s="115">
        <f>SUM(U146:U150)</f>
        <v>11163</v>
      </c>
      <c r="V145" s="115" t="s">
        <v>13</v>
      </c>
      <c r="W145" s="115">
        <f t="shared" si="130"/>
        <v>12973</v>
      </c>
      <c r="X145" s="115">
        <f>SUM(X146:X150)</f>
        <v>10978</v>
      </c>
      <c r="Y145" s="115">
        <f>SUM(Y146:Y150)</f>
        <v>1995</v>
      </c>
      <c r="Z145" s="115">
        <f t="shared" si="131"/>
        <v>11457</v>
      </c>
      <c r="AA145" s="115">
        <f>SUM(AA146:AA150)</f>
        <v>9401</v>
      </c>
      <c r="AB145" s="115">
        <f>SUM(AB146:AB150)</f>
        <v>2056</v>
      </c>
      <c r="AC145" s="115">
        <f t="shared" si="132"/>
        <v>12654</v>
      </c>
      <c r="AD145" s="115">
        <f>SUM(AD146:AD150)</f>
        <v>10641</v>
      </c>
      <c r="AE145" s="115">
        <f>SUM(AE146:AE150)</f>
        <v>2013</v>
      </c>
      <c r="AF145" s="115">
        <f t="shared" si="133"/>
        <v>12785</v>
      </c>
      <c r="AG145" s="115">
        <f>SUM(AG146:AG150)</f>
        <v>10719</v>
      </c>
      <c r="AH145" s="115">
        <v>2066</v>
      </c>
      <c r="AI145" s="115">
        <f t="shared" si="134"/>
        <v>11786</v>
      </c>
      <c r="AJ145" s="115">
        <f>SUM(AJ146:AJ150)</f>
        <v>10073</v>
      </c>
      <c r="AK145" s="115">
        <v>1713</v>
      </c>
      <c r="AL145" s="115">
        <f t="shared" ref="AL145:AL150" si="139">SUM(AM145:AN145)</f>
        <v>12120</v>
      </c>
      <c r="AM145" s="115">
        <f>SUM(AM146:AM150)</f>
        <v>10203</v>
      </c>
      <c r="AN145" s="115">
        <f>SUM(AN146:AN150)</f>
        <v>1917</v>
      </c>
      <c r="AO145" s="115">
        <f t="shared" ref="AO145:AO150" si="140">SUM(AP145:AQ145)</f>
        <v>11868</v>
      </c>
      <c r="AP145" s="115">
        <f>SUM(AP146:AP150)</f>
        <v>10017</v>
      </c>
      <c r="AQ145" s="115">
        <f>SUM(AQ146:AQ150)</f>
        <v>1851</v>
      </c>
      <c r="AR145" s="115">
        <f t="shared" si="138"/>
        <v>11433</v>
      </c>
      <c r="AS145" s="115">
        <v>10088</v>
      </c>
      <c r="AT145" s="115">
        <v>1345</v>
      </c>
      <c r="AU145" s="115">
        <f t="shared" ref="AU145:AU146" si="141">SUM(AV145:AW145)</f>
        <v>12243</v>
      </c>
      <c r="AV145" s="115">
        <v>10445</v>
      </c>
      <c r="AW145" s="115">
        <v>1798</v>
      </c>
      <c r="AX145" s="102"/>
      <c r="AY145" s="108"/>
      <c r="AZ145" s="102"/>
      <c r="BA145" s="102"/>
    </row>
    <row r="146" spans="1:53" s="34" customFormat="1" ht="13.5" customHeight="1" x14ac:dyDescent="0.2">
      <c r="A146" s="52" t="s">
        <v>49</v>
      </c>
      <c r="B146" s="50" t="s">
        <v>51</v>
      </c>
      <c r="C146" s="50" t="s">
        <v>51</v>
      </c>
      <c r="D146" s="50" t="s">
        <v>51</v>
      </c>
      <c r="E146" s="50" t="s">
        <v>51</v>
      </c>
      <c r="F146" s="50" t="s">
        <v>51</v>
      </c>
      <c r="G146" s="50" t="s">
        <v>51</v>
      </c>
      <c r="H146" s="50" t="s">
        <v>51</v>
      </c>
      <c r="I146" s="50" t="s">
        <v>51</v>
      </c>
      <c r="J146" s="50" t="s">
        <v>51</v>
      </c>
      <c r="K146" s="50" t="s">
        <v>51</v>
      </c>
      <c r="L146" s="50" t="s">
        <v>51</v>
      </c>
      <c r="M146" s="50" t="s">
        <v>51</v>
      </c>
      <c r="N146" s="93" t="s">
        <v>51</v>
      </c>
      <c r="O146" s="93" t="s">
        <v>51</v>
      </c>
      <c r="P146" s="93" t="s">
        <v>51</v>
      </c>
      <c r="Q146" s="93" t="s">
        <v>51</v>
      </c>
      <c r="R146" s="93" t="s">
        <v>51</v>
      </c>
      <c r="S146" s="93" t="s">
        <v>51</v>
      </c>
      <c r="T146" s="113">
        <f t="shared" si="135"/>
        <v>415</v>
      </c>
      <c r="U146" s="113">
        <f>237+178</f>
        <v>415</v>
      </c>
      <c r="V146" s="113"/>
      <c r="W146" s="113">
        <f t="shared" si="130"/>
        <v>0</v>
      </c>
      <c r="X146" s="113">
        <v>0</v>
      </c>
      <c r="Y146" s="113">
        <v>0</v>
      </c>
      <c r="Z146" s="113">
        <f t="shared" si="131"/>
        <v>0</v>
      </c>
      <c r="AA146" s="113">
        <v>0</v>
      </c>
      <c r="AB146" s="113">
        <v>0</v>
      </c>
      <c r="AC146" s="113">
        <f t="shared" si="132"/>
        <v>0</v>
      </c>
      <c r="AD146" s="113">
        <v>0</v>
      </c>
      <c r="AE146" s="113">
        <v>0</v>
      </c>
      <c r="AF146" s="113">
        <v>0</v>
      </c>
      <c r="AG146" s="113">
        <v>0</v>
      </c>
      <c r="AH146" s="113">
        <v>0</v>
      </c>
      <c r="AI146" s="113">
        <v>0</v>
      </c>
      <c r="AJ146" s="113">
        <v>0</v>
      </c>
      <c r="AK146" s="113" t="s">
        <v>13</v>
      </c>
      <c r="AL146" s="113">
        <f t="shared" si="139"/>
        <v>0</v>
      </c>
      <c r="AM146" s="113"/>
      <c r="AN146" s="113"/>
      <c r="AO146" s="113">
        <f t="shared" si="140"/>
        <v>0</v>
      </c>
      <c r="AP146" s="113"/>
      <c r="AQ146" s="113"/>
      <c r="AR146" s="113">
        <f t="shared" si="138"/>
        <v>0</v>
      </c>
      <c r="AS146" s="113"/>
      <c r="AT146" s="113"/>
      <c r="AU146" s="113">
        <f t="shared" si="141"/>
        <v>0</v>
      </c>
      <c r="AV146" s="113"/>
      <c r="AW146" s="113"/>
      <c r="AX146" s="101"/>
      <c r="AY146" s="106"/>
      <c r="AZ146" s="101"/>
      <c r="BA146" s="101"/>
    </row>
    <row r="147" spans="1:53" s="34" customFormat="1" ht="13.5" customHeight="1" x14ac:dyDescent="0.2">
      <c r="A147" s="49" t="s">
        <v>25</v>
      </c>
      <c r="B147" s="50">
        <f t="shared" si="124"/>
        <v>3269</v>
      </c>
      <c r="C147" s="50">
        <v>2837</v>
      </c>
      <c r="D147" s="50">
        <v>432</v>
      </c>
      <c r="E147" s="22">
        <f t="shared" si="125"/>
        <v>6898</v>
      </c>
      <c r="F147" s="22">
        <v>2870</v>
      </c>
      <c r="G147" s="22">
        <v>377</v>
      </c>
      <c r="H147" s="22">
        <f t="shared" si="126"/>
        <v>3651</v>
      </c>
      <c r="I147" s="22">
        <v>3201</v>
      </c>
      <c r="J147" s="50">
        <v>450</v>
      </c>
      <c r="K147" s="51">
        <f t="shared" si="127"/>
        <v>3701</v>
      </c>
      <c r="L147" s="51">
        <v>3192</v>
      </c>
      <c r="M147" s="51">
        <v>509</v>
      </c>
      <c r="N147" s="59">
        <f t="shared" si="128"/>
        <v>3853</v>
      </c>
      <c r="O147" s="59">
        <v>3341</v>
      </c>
      <c r="P147" s="59">
        <v>512</v>
      </c>
      <c r="Q147" s="58">
        <f t="shared" si="129"/>
        <v>3842</v>
      </c>
      <c r="R147" s="59">
        <v>3364</v>
      </c>
      <c r="S147" s="59">
        <v>478</v>
      </c>
      <c r="T147" s="113">
        <f t="shared" si="135"/>
        <v>2582</v>
      </c>
      <c r="U147" s="113">
        <f>1294+1288</f>
        <v>2582</v>
      </c>
      <c r="V147" s="113" t="s">
        <v>13</v>
      </c>
      <c r="W147" s="113">
        <f t="shared" si="130"/>
        <v>4118</v>
      </c>
      <c r="X147" s="113">
        <v>3547</v>
      </c>
      <c r="Y147" s="113">
        <v>571</v>
      </c>
      <c r="Z147" s="113">
        <f t="shared" si="131"/>
        <v>3193</v>
      </c>
      <c r="AA147" s="113">
        <v>2625</v>
      </c>
      <c r="AB147" s="113">
        <v>568</v>
      </c>
      <c r="AC147" s="113">
        <f t="shared" si="132"/>
        <v>3674</v>
      </c>
      <c r="AD147" s="114">
        <v>3107</v>
      </c>
      <c r="AE147" s="113">
        <v>567</v>
      </c>
      <c r="AF147" s="113">
        <f>SUM(AG147:AH147)</f>
        <v>2981</v>
      </c>
      <c r="AG147" s="114">
        <v>2981</v>
      </c>
      <c r="AH147" s="113" t="s">
        <v>13</v>
      </c>
      <c r="AI147" s="113">
        <f>SUM(AJ147:AK147)</f>
        <v>2789</v>
      </c>
      <c r="AJ147" s="114">
        <f>[1]Sec!$C$16+[1]Sec!$D$16</f>
        <v>2789</v>
      </c>
      <c r="AK147" s="113" t="s">
        <v>13</v>
      </c>
      <c r="AL147" s="113">
        <f t="shared" si="139"/>
        <v>3485</v>
      </c>
      <c r="AM147" s="113">
        <v>2993</v>
      </c>
      <c r="AN147" s="113">
        <v>492</v>
      </c>
      <c r="AO147" s="113">
        <f t="shared" si="140"/>
        <v>3389</v>
      </c>
      <c r="AP147" s="113">
        <v>2857</v>
      </c>
      <c r="AQ147" s="113">
        <v>532</v>
      </c>
      <c r="AR147" s="113">
        <f t="shared" si="138"/>
        <v>3112</v>
      </c>
      <c r="AS147" s="113">
        <v>3055</v>
      </c>
      <c r="AT147" s="53">
        <v>57</v>
      </c>
      <c r="AU147" s="113" t="s">
        <v>13</v>
      </c>
      <c r="AV147" s="113" t="s">
        <v>13</v>
      </c>
      <c r="AW147" s="113" t="s">
        <v>13</v>
      </c>
      <c r="AX147" s="101"/>
      <c r="AY147" s="106"/>
      <c r="AZ147" s="101"/>
      <c r="BA147" s="101"/>
    </row>
    <row r="148" spans="1:53" s="34" customFormat="1" ht="13.5" customHeight="1" x14ac:dyDescent="0.2">
      <c r="A148" s="49" t="s">
        <v>26</v>
      </c>
      <c r="B148" s="50">
        <f t="shared" si="124"/>
        <v>2991</v>
      </c>
      <c r="C148" s="50">
        <v>2556</v>
      </c>
      <c r="D148" s="50">
        <v>435</v>
      </c>
      <c r="E148" s="22">
        <f t="shared" si="125"/>
        <v>6009</v>
      </c>
      <c r="F148" s="22">
        <v>2417</v>
      </c>
      <c r="G148" s="22">
        <v>409</v>
      </c>
      <c r="H148" s="22">
        <f t="shared" si="126"/>
        <v>3183</v>
      </c>
      <c r="I148" s="22">
        <v>2750</v>
      </c>
      <c r="J148" s="50">
        <v>433</v>
      </c>
      <c r="K148" s="51">
        <f t="shared" si="127"/>
        <v>3057</v>
      </c>
      <c r="L148" s="51">
        <v>2563</v>
      </c>
      <c r="M148" s="51">
        <v>494</v>
      </c>
      <c r="N148" s="59">
        <f t="shared" si="128"/>
        <v>3539</v>
      </c>
      <c r="O148" s="59">
        <v>3049</v>
      </c>
      <c r="P148" s="59">
        <v>490</v>
      </c>
      <c r="Q148" s="58">
        <f t="shared" si="129"/>
        <v>3398</v>
      </c>
      <c r="R148" s="59">
        <v>2924</v>
      </c>
      <c r="S148" s="59">
        <v>474</v>
      </c>
      <c r="T148" s="113">
        <f t="shared" si="135"/>
        <v>3019</v>
      </c>
      <c r="U148" s="113">
        <f>1470+1549</f>
        <v>3019</v>
      </c>
      <c r="V148" s="113" t="s">
        <v>13</v>
      </c>
      <c r="W148" s="113">
        <f t="shared" si="130"/>
        <v>3065</v>
      </c>
      <c r="X148" s="113">
        <v>2505</v>
      </c>
      <c r="Y148" s="113">
        <v>560</v>
      </c>
      <c r="Z148" s="113">
        <f t="shared" si="131"/>
        <v>3152</v>
      </c>
      <c r="AA148" s="113">
        <v>2611</v>
      </c>
      <c r="AB148" s="113">
        <v>541</v>
      </c>
      <c r="AC148" s="113">
        <f t="shared" si="132"/>
        <v>3195</v>
      </c>
      <c r="AD148" s="114">
        <v>2698</v>
      </c>
      <c r="AE148" s="113">
        <v>497</v>
      </c>
      <c r="AF148" s="113">
        <f>SUM(AG148:AH148)</f>
        <v>2764</v>
      </c>
      <c r="AG148" s="114">
        <v>2764</v>
      </c>
      <c r="AH148" s="113" t="s">
        <v>13</v>
      </c>
      <c r="AI148" s="113">
        <f>SUM(AJ148:AK148)</f>
        <v>2637</v>
      </c>
      <c r="AJ148" s="114">
        <f>[1]Sec!$E$16+[1]Sec!$F$16</f>
        <v>2637</v>
      </c>
      <c r="AK148" s="113" t="s">
        <v>13</v>
      </c>
      <c r="AL148" s="113">
        <f t="shared" si="139"/>
        <v>3011</v>
      </c>
      <c r="AM148" s="113">
        <v>2535</v>
      </c>
      <c r="AN148" s="113">
        <v>476</v>
      </c>
      <c r="AO148" s="113">
        <f t="shared" si="140"/>
        <v>3123</v>
      </c>
      <c r="AP148" s="113">
        <v>2685</v>
      </c>
      <c r="AQ148" s="113">
        <v>438</v>
      </c>
      <c r="AR148" s="113">
        <f t="shared" si="138"/>
        <v>3028</v>
      </c>
      <c r="AS148" s="113">
        <v>2569</v>
      </c>
      <c r="AT148" s="53">
        <v>459</v>
      </c>
      <c r="AU148" s="113" t="s">
        <v>13</v>
      </c>
      <c r="AV148" s="113" t="s">
        <v>13</v>
      </c>
      <c r="AW148" s="113" t="s">
        <v>13</v>
      </c>
      <c r="AX148" s="101"/>
      <c r="AY148" s="106"/>
      <c r="AZ148" s="101"/>
      <c r="BA148" s="101"/>
    </row>
    <row r="149" spans="1:53" s="34" customFormat="1" ht="13.5" customHeight="1" x14ac:dyDescent="0.2">
      <c r="A149" s="49" t="s">
        <v>27</v>
      </c>
      <c r="B149" s="50">
        <f t="shared" si="124"/>
        <v>2720</v>
      </c>
      <c r="C149" s="50">
        <v>2267</v>
      </c>
      <c r="D149" s="50">
        <v>453</v>
      </c>
      <c r="E149" s="22">
        <f t="shared" si="125"/>
        <v>5303</v>
      </c>
      <c r="F149" s="22">
        <v>2211</v>
      </c>
      <c r="G149" s="22">
        <v>386</v>
      </c>
      <c r="H149" s="22">
        <f t="shared" si="126"/>
        <v>2706</v>
      </c>
      <c r="I149" s="22">
        <v>2357</v>
      </c>
      <c r="J149" s="50">
        <v>349</v>
      </c>
      <c r="K149" s="51">
        <f t="shared" si="127"/>
        <v>2740</v>
      </c>
      <c r="L149" s="51">
        <v>2301</v>
      </c>
      <c r="M149" s="51">
        <v>439</v>
      </c>
      <c r="N149" s="59">
        <f t="shared" si="128"/>
        <v>3019</v>
      </c>
      <c r="O149" s="59">
        <v>2537</v>
      </c>
      <c r="P149" s="59">
        <v>482</v>
      </c>
      <c r="Q149" s="58">
        <f t="shared" si="129"/>
        <v>3184</v>
      </c>
      <c r="R149" s="59">
        <v>2757</v>
      </c>
      <c r="S149" s="59">
        <v>427</v>
      </c>
      <c r="T149" s="113">
        <f t="shared" si="135"/>
        <v>2654</v>
      </c>
      <c r="U149" s="113">
        <f>1221+1433</f>
        <v>2654</v>
      </c>
      <c r="V149" s="113" t="s">
        <v>13</v>
      </c>
      <c r="W149" s="113">
        <f t="shared" si="130"/>
        <v>3035</v>
      </c>
      <c r="X149" s="113">
        <v>2599</v>
      </c>
      <c r="Y149" s="113">
        <v>436</v>
      </c>
      <c r="Z149" s="113">
        <f t="shared" si="131"/>
        <v>2612</v>
      </c>
      <c r="AA149" s="113">
        <v>2073</v>
      </c>
      <c r="AB149" s="113">
        <v>539</v>
      </c>
      <c r="AC149" s="113">
        <f t="shared" si="132"/>
        <v>3227</v>
      </c>
      <c r="AD149" s="114">
        <v>2730</v>
      </c>
      <c r="AE149" s="113">
        <v>497</v>
      </c>
      <c r="AF149" s="113">
        <f>SUM(AG149:AH149)</f>
        <v>2444</v>
      </c>
      <c r="AG149" s="114">
        <v>2444</v>
      </c>
      <c r="AH149" s="113" t="s">
        <v>13</v>
      </c>
      <c r="AI149" s="113">
        <f>SUM(AJ149:AK149)</f>
        <v>2461</v>
      </c>
      <c r="AJ149" s="114">
        <f>[1]Sec!$G$16+[1]Sec!$H$16</f>
        <v>2461</v>
      </c>
      <c r="AK149" s="113" t="s">
        <v>13</v>
      </c>
      <c r="AL149" s="113">
        <f t="shared" si="139"/>
        <v>2864</v>
      </c>
      <c r="AM149" s="113">
        <v>2389</v>
      </c>
      <c r="AN149" s="113">
        <v>475</v>
      </c>
      <c r="AO149" s="113">
        <f t="shared" si="140"/>
        <v>2719</v>
      </c>
      <c r="AP149" s="113">
        <v>2280</v>
      </c>
      <c r="AQ149" s="113">
        <v>439</v>
      </c>
      <c r="AR149" s="113">
        <f t="shared" si="138"/>
        <v>2831</v>
      </c>
      <c r="AS149" s="113">
        <v>2418</v>
      </c>
      <c r="AT149" s="53">
        <v>413</v>
      </c>
      <c r="AU149" s="113" t="s">
        <v>13</v>
      </c>
      <c r="AV149" s="113" t="s">
        <v>13</v>
      </c>
      <c r="AW149" s="113" t="s">
        <v>13</v>
      </c>
      <c r="AX149" s="101"/>
      <c r="AY149" s="106"/>
      <c r="AZ149" s="101"/>
      <c r="BA149" s="101"/>
    </row>
    <row r="150" spans="1:53" s="34" customFormat="1" ht="13.5" customHeight="1" x14ac:dyDescent="0.2">
      <c r="A150" s="49" t="s">
        <v>28</v>
      </c>
      <c r="B150" s="50">
        <f t="shared" si="124"/>
        <v>2121</v>
      </c>
      <c r="C150" s="50">
        <v>1655</v>
      </c>
      <c r="D150" s="50">
        <v>466</v>
      </c>
      <c r="E150" s="22">
        <f t="shared" si="125"/>
        <v>4460</v>
      </c>
      <c r="F150" s="22">
        <v>1806</v>
      </c>
      <c r="G150" s="22">
        <v>371</v>
      </c>
      <c r="H150" s="22">
        <f t="shared" si="126"/>
        <v>2283</v>
      </c>
      <c r="I150" s="22">
        <v>1937</v>
      </c>
      <c r="J150" s="50">
        <v>346</v>
      </c>
      <c r="K150" s="51">
        <f t="shared" si="127"/>
        <v>2219</v>
      </c>
      <c r="L150" s="51">
        <v>1828</v>
      </c>
      <c r="M150" s="51">
        <v>391</v>
      </c>
      <c r="N150" s="59">
        <f t="shared" si="128"/>
        <v>2605</v>
      </c>
      <c r="O150" s="59">
        <v>2176</v>
      </c>
      <c r="P150" s="59">
        <v>429</v>
      </c>
      <c r="Q150" s="58">
        <f t="shared" si="129"/>
        <v>2723</v>
      </c>
      <c r="R150" s="59">
        <v>2266</v>
      </c>
      <c r="S150" s="59">
        <v>457</v>
      </c>
      <c r="T150" s="113">
        <f t="shared" si="135"/>
        <v>2493</v>
      </c>
      <c r="U150" s="113">
        <f>1141+1352</f>
        <v>2493</v>
      </c>
      <c r="V150" s="113" t="s">
        <v>13</v>
      </c>
      <c r="W150" s="113">
        <f t="shared" si="130"/>
        <v>2755</v>
      </c>
      <c r="X150" s="113">
        <v>2327</v>
      </c>
      <c r="Y150" s="113">
        <v>428</v>
      </c>
      <c r="Z150" s="113">
        <f t="shared" si="131"/>
        <v>2500</v>
      </c>
      <c r="AA150" s="113">
        <v>2092</v>
      </c>
      <c r="AB150" s="113">
        <v>408</v>
      </c>
      <c r="AC150" s="113">
        <f t="shared" si="132"/>
        <v>2558</v>
      </c>
      <c r="AD150" s="114">
        <v>2106</v>
      </c>
      <c r="AE150" s="113">
        <v>452</v>
      </c>
      <c r="AF150" s="113">
        <f>SUM(AG150:AH150)</f>
        <v>2530</v>
      </c>
      <c r="AG150" s="114">
        <v>2530</v>
      </c>
      <c r="AH150" s="113" t="s">
        <v>13</v>
      </c>
      <c r="AI150" s="113">
        <f>SUM(AJ150:AK150)</f>
        <v>2186</v>
      </c>
      <c r="AJ150" s="114">
        <f>[1]Sec!$I$16+[1]Sec!$J$16</f>
        <v>2186</v>
      </c>
      <c r="AK150" s="113" t="s">
        <v>13</v>
      </c>
      <c r="AL150" s="113">
        <f t="shared" si="139"/>
        <v>2760</v>
      </c>
      <c r="AM150" s="113">
        <v>2286</v>
      </c>
      <c r="AN150" s="113">
        <v>474</v>
      </c>
      <c r="AO150" s="113">
        <f t="shared" si="140"/>
        <v>2637</v>
      </c>
      <c r="AP150" s="113">
        <v>2195</v>
      </c>
      <c r="AQ150" s="113">
        <v>442</v>
      </c>
      <c r="AR150" s="113">
        <f t="shared" si="138"/>
        <v>2462</v>
      </c>
      <c r="AS150" s="113">
        <v>2046</v>
      </c>
      <c r="AT150" s="53">
        <v>416</v>
      </c>
      <c r="AU150" s="113" t="s">
        <v>13</v>
      </c>
      <c r="AV150" s="113" t="s">
        <v>13</v>
      </c>
      <c r="AW150" s="113" t="s">
        <v>13</v>
      </c>
      <c r="AX150" s="101"/>
      <c r="AY150" s="106"/>
      <c r="AZ150" s="101"/>
      <c r="BA150" s="101"/>
    </row>
    <row r="151" spans="1:53" s="71" customFormat="1" ht="13.5" customHeight="1" x14ac:dyDescent="0.2">
      <c r="A151" s="88" t="s">
        <v>38</v>
      </c>
      <c r="B151" s="83">
        <v>3133</v>
      </c>
      <c r="C151" s="83">
        <v>3133</v>
      </c>
      <c r="D151" s="83" t="s">
        <v>30</v>
      </c>
      <c r="E151" s="84">
        <f t="shared" si="125"/>
        <v>7038</v>
      </c>
      <c r="F151" s="84">
        <v>3395</v>
      </c>
      <c r="G151" s="83" t="s">
        <v>35</v>
      </c>
      <c r="H151" s="84">
        <f t="shared" si="126"/>
        <v>3643</v>
      </c>
      <c r="I151" s="84">
        <v>3643</v>
      </c>
      <c r="J151" s="83" t="s">
        <v>35</v>
      </c>
      <c r="K151" s="85">
        <f t="shared" si="127"/>
        <v>3426</v>
      </c>
      <c r="L151" s="85">
        <v>3426</v>
      </c>
      <c r="M151" s="86">
        <v>0</v>
      </c>
      <c r="N151" s="94">
        <f t="shared" si="128"/>
        <v>3484</v>
      </c>
      <c r="O151" s="95">
        <v>3484</v>
      </c>
      <c r="P151" s="95">
        <v>0</v>
      </c>
      <c r="Q151" s="95">
        <v>4295</v>
      </c>
      <c r="R151" s="95">
        <v>4295</v>
      </c>
      <c r="S151" s="95">
        <v>0</v>
      </c>
      <c r="T151" s="86">
        <v>4036</v>
      </c>
      <c r="U151" s="86">
        <v>3979</v>
      </c>
      <c r="V151" s="86">
        <v>0</v>
      </c>
      <c r="W151" s="86">
        <f>X151+Y151</f>
        <v>4036</v>
      </c>
      <c r="X151" s="86">
        <v>4036</v>
      </c>
      <c r="Y151" s="86">
        <v>0</v>
      </c>
      <c r="Z151" s="86">
        <f>AA151+AB151</f>
        <v>4071</v>
      </c>
      <c r="AA151" s="86">
        <v>4071</v>
      </c>
      <c r="AB151" s="86">
        <v>0</v>
      </c>
      <c r="AC151" s="85">
        <f>SUM(AD151:AE151)</f>
        <v>4699</v>
      </c>
      <c r="AD151" s="85">
        <v>4699</v>
      </c>
      <c r="AE151" s="86">
        <v>0</v>
      </c>
      <c r="AF151" s="85">
        <f>SUM(AG151:AH151)</f>
        <v>5417</v>
      </c>
      <c r="AG151" s="85">
        <v>5417</v>
      </c>
      <c r="AH151" s="86">
        <v>0</v>
      </c>
      <c r="AI151" s="86">
        <f>AJ151+AK151</f>
        <v>4583</v>
      </c>
      <c r="AJ151" s="86">
        <v>4550</v>
      </c>
      <c r="AK151" s="86">
        <v>33</v>
      </c>
      <c r="AL151" s="85">
        <f>SUM(AM151:AN151)</f>
        <v>4955</v>
      </c>
      <c r="AM151" s="86">
        <f>4955-AN151</f>
        <v>4923</v>
      </c>
      <c r="AN151" s="86">
        <v>32</v>
      </c>
      <c r="AO151" s="85">
        <f>SUM(AP151:AQ151)</f>
        <v>4992</v>
      </c>
      <c r="AP151" s="86">
        <v>4933</v>
      </c>
      <c r="AQ151" s="86">
        <v>59</v>
      </c>
      <c r="AR151" s="85">
        <f>SUM(AS151:AT151)</f>
        <v>4900</v>
      </c>
      <c r="AS151" s="86">
        <f>4016+787</f>
        <v>4803</v>
      </c>
      <c r="AT151" s="86">
        <v>97</v>
      </c>
      <c r="AU151" s="85">
        <f>SUM(AV151:AW151)</f>
        <v>5180</v>
      </c>
      <c r="AV151" s="86">
        <v>5082</v>
      </c>
      <c r="AW151" s="86">
        <v>98</v>
      </c>
      <c r="AX151" s="103"/>
      <c r="AY151" s="109"/>
      <c r="AZ151" s="103"/>
      <c r="BA151" s="103"/>
    </row>
    <row r="152" spans="1:53" ht="15" x14ac:dyDescent="0.2">
      <c r="A152" s="62"/>
      <c r="B152" s="40"/>
      <c r="C152" s="40"/>
      <c r="D152" s="40"/>
      <c r="E152" s="72"/>
      <c r="F152" s="72"/>
      <c r="G152" s="73"/>
      <c r="H152" s="72"/>
      <c r="I152" s="72"/>
      <c r="J152" s="72"/>
      <c r="K152" s="74"/>
      <c r="L152" s="74"/>
      <c r="M152" s="74"/>
      <c r="N152" s="44"/>
      <c r="O152" s="44"/>
      <c r="P152" s="44"/>
      <c r="Q152" s="44"/>
      <c r="R152" s="44"/>
      <c r="S152" s="44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4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53" ht="15" x14ac:dyDescent="0.2">
      <c r="A153" s="62"/>
      <c r="B153" s="40"/>
      <c r="C153" s="40"/>
      <c r="D153" s="40"/>
      <c r="E153" s="40"/>
      <c r="F153" s="40"/>
      <c r="G153" s="40"/>
      <c r="H153" s="40"/>
      <c r="I153" s="40"/>
      <c r="J153" s="40"/>
      <c r="K153" s="75"/>
      <c r="L153" s="75"/>
      <c r="M153" s="75"/>
      <c r="N153" s="69"/>
      <c r="O153" s="89"/>
      <c r="P153" s="69"/>
      <c r="Q153" s="69"/>
      <c r="R153" s="69"/>
      <c r="S153" s="45"/>
      <c r="T153" s="76"/>
      <c r="U153" s="76"/>
      <c r="V153" s="45"/>
      <c r="W153" s="76"/>
      <c r="X153" s="76"/>
      <c r="Y153" s="45"/>
      <c r="Z153" s="76"/>
      <c r="AA153" s="76"/>
      <c r="AB153" s="45"/>
      <c r="AC153" s="45"/>
      <c r="AD153" s="45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</row>
    <row r="154" spans="1:53" ht="17.25" customHeight="1" x14ac:dyDescent="0.2">
      <c r="A154" s="62"/>
      <c r="B154" s="33"/>
      <c r="C154" s="33"/>
      <c r="D154" s="33"/>
      <c r="E154" s="75"/>
      <c r="F154" s="75"/>
      <c r="G154" s="33"/>
      <c r="H154" s="75"/>
      <c r="I154" s="75"/>
      <c r="J154" s="75"/>
      <c r="K154" s="75"/>
      <c r="L154" s="75"/>
      <c r="M154" s="75"/>
      <c r="N154" s="33"/>
      <c r="O154" s="33"/>
      <c r="P154" s="48"/>
      <c r="Q154" s="44"/>
      <c r="R154" s="44"/>
      <c r="S154" s="44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4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</row>
    <row r="155" spans="1:53" ht="15" x14ac:dyDescent="0.2">
      <c r="P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53" ht="15" x14ac:dyDescent="0.2">
      <c r="P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53" ht="15" x14ac:dyDescent="0.2">
      <c r="K157" s="36"/>
      <c r="L157" s="31"/>
      <c r="M157" s="37"/>
      <c r="N157" s="37"/>
      <c r="P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53" ht="15" x14ac:dyDescent="0.2">
      <c r="K158" s="36"/>
      <c r="L158" s="31"/>
      <c r="M158" s="37"/>
      <c r="N158" s="37"/>
      <c r="P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53" ht="15" x14ac:dyDescent="0.2">
      <c r="K159" s="36"/>
      <c r="L159" s="37"/>
      <c r="M159" s="37"/>
      <c r="N159" s="37"/>
      <c r="P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53" ht="15" x14ac:dyDescent="0.2">
      <c r="P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6:49" ht="15" x14ac:dyDescent="0.2">
      <c r="P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6:49" ht="15" x14ac:dyDescent="0.2">
      <c r="P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6:49" ht="15" x14ac:dyDescent="0.2">
      <c r="P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</sheetData>
  <mergeCells count="47">
    <mergeCell ref="AU6:AW6"/>
    <mergeCell ref="AU56:AW56"/>
    <mergeCell ref="AU107:AW107"/>
    <mergeCell ref="Q56:S56"/>
    <mergeCell ref="AI6:AK6"/>
    <mergeCell ref="AI56:AK56"/>
    <mergeCell ref="AF107:AH107"/>
    <mergeCell ref="AR6:AT6"/>
    <mergeCell ref="AR56:AT56"/>
    <mergeCell ref="AR107:AT107"/>
    <mergeCell ref="W56:Y56"/>
    <mergeCell ref="W107:Y107"/>
    <mergeCell ref="AF56:AH56"/>
    <mergeCell ref="AF6:AH6"/>
    <mergeCell ref="AC56:AE56"/>
    <mergeCell ref="AO6:AQ6"/>
    <mergeCell ref="AO56:AQ56"/>
    <mergeCell ref="B107:D107"/>
    <mergeCell ref="B6:D6"/>
    <mergeCell ref="B56:D56"/>
    <mergeCell ref="K107:M107"/>
    <mergeCell ref="E6:G6"/>
    <mergeCell ref="H6:J6"/>
    <mergeCell ref="E107:G107"/>
    <mergeCell ref="H56:J56"/>
    <mergeCell ref="K6:M6"/>
    <mergeCell ref="H107:J107"/>
    <mergeCell ref="K56:M56"/>
    <mergeCell ref="AO107:AQ107"/>
    <mergeCell ref="Q6:S6"/>
    <mergeCell ref="W6:Y6"/>
    <mergeCell ref="AL6:AN6"/>
    <mergeCell ref="AL56:AN56"/>
    <mergeCell ref="AL107:AN107"/>
    <mergeCell ref="AC107:AE107"/>
    <mergeCell ref="N56:P56"/>
    <mergeCell ref="N107:P107"/>
    <mergeCell ref="T6:V6"/>
    <mergeCell ref="T56:V56"/>
    <mergeCell ref="T107:V107"/>
    <mergeCell ref="N6:P6"/>
    <mergeCell ref="Z6:AB6"/>
    <mergeCell ref="Q107:S107"/>
    <mergeCell ref="AI107:AK107"/>
    <mergeCell ref="Z56:AB56"/>
    <mergeCell ref="Z107:AB107"/>
    <mergeCell ref="AC6:AE6"/>
  </mergeCells>
  <phoneticPr fontId="0" type="noConversion"/>
  <printOptions horizontalCentered="1"/>
  <pageMargins left="0.25" right="0.25" top="0.75" bottom="0.75" header="0" footer="0"/>
  <pageSetup paperSize="9" pageOrder="overThenDown" orientation="portrait" horizontalDpi="300" verticalDpi="300" r:id="rId1"/>
  <headerFooter alignWithMargins="0">
    <oddFooter xml:space="preserve">&amp;C10-&amp;P+5
</oddFooter>
  </headerFooter>
  <rowBreaks count="3" manualBreakCount="3">
    <brk id="50" max="45" man="1"/>
    <brk id="101" max="45" man="1"/>
    <brk id="153" max="15" man="1"/>
  </rowBreaks>
  <colBreaks count="1" manualBreakCount="1">
    <brk id="37" max="1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2" sqref="F32"/>
    </sheetView>
  </sheetViews>
  <sheetFormatPr defaultRowHeight="12.75" x14ac:dyDescent="0.2"/>
  <cols>
    <col min="1" max="1" width="15.140625" customWidth="1"/>
  </cols>
  <sheetData>
    <row r="1" spans="1:7" x14ac:dyDescent="0.2">
      <c r="B1" s="142" t="s">
        <v>39</v>
      </c>
      <c r="C1" s="143"/>
      <c r="D1" s="144"/>
      <c r="E1" s="18"/>
      <c r="F1" s="23" t="s">
        <v>40</v>
      </c>
      <c r="G1" s="24"/>
    </row>
    <row r="2" spans="1:7" x14ac:dyDescent="0.2">
      <c r="B2" s="9" t="s">
        <v>7</v>
      </c>
      <c r="C2" s="9" t="s">
        <v>10</v>
      </c>
      <c r="D2" s="9" t="s">
        <v>9</v>
      </c>
      <c r="E2" s="9" t="s">
        <v>11</v>
      </c>
      <c r="F2" s="9" t="s">
        <v>10</v>
      </c>
      <c r="G2" s="9" t="s">
        <v>9</v>
      </c>
    </row>
    <row r="3" spans="1:7" x14ac:dyDescent="0.2">
      <c r="A3" s="12" t="s">
        <v>12</v>
      </c>
      <c r="B3" s="13">
        <f>SUM(C3:D3)</f>
        <v>10876</v>
      </c>
      <c r="C3" s="21">
        <v>4526</v>
      </c>
      <c r="D3" s="21">
        <v>6350</v>
      </c>
      <c r="E3" s="25">
        <f>SUM(F3:G3)</f>
        <v>11668</v>
      </c>
      <c r="F3" s="25">
        <v>5981</v>
      </c>
      <c r="G3" s="25">
        <v>5687</v>
      </c>
    </row>
    <row r="4" spans="1:7" x14ac:dyDescent="0.2">
      <c r="A4" s="12" t="s">
        <v>14</v>
      </c>
      <c r="B4" s="13">
        <f>SUM(C4:D4)</f>
        <v>237551</v>
      </c>
      <c r="C4" s="21">
        <v>219602</v>
      </c>
      <c r="D4" s="21">
        <v>17949</v>
      </c>
      <c r="E4" s="25">
        <f>SUM(F4:G4)</f>
        <v>236019</v>
      </c>
      <c r="F4" s="25">
        <v>218686</v>
      </c>
      <c r="G4" s="25">
        <v>17333</v>
      </c>
    </row>
    <row r="5" spans="1:7" x14ac:dyDescent="0.2">
      <c r="A5" s="12" t="s">
        <v>15</v>
      </c>
      <c r="B5" s="13">
        <f>SUM(C5:D5)</f>
        <v>115432</v>
      </c>
      <c r="C5" s="21">
        <v>82292</v>
      </c>
      <c r="D5" s="21">
        <v>33140</v>
      </c>
      <c r="E5" s="25">
        <f>SUM(F5:G5)</f>
        <v>119662</v>
      </c>
      <c r="F5" s="25">
        <v>87770</v>
      </c>
      <c r="G5" s="25">
        <v>31892</v>
      </c>
    </row>
    <row r="6" spans="1:7" x14ac:dyDescent="0.2">
      <c r="A6" s="12" t="s">
        <v>17</v>
      </c>
      <c r="B6" s="13">
        <f>SUM(C6:D6)</f>
        <v>84745</v>
      </c>
      <c r="C6" s="21">
        <v>20671</v>
      </c>
      <c r="D6" s="21">
        <v>64074</v>
      </c>
      <c r="E6" s="25">
        <f>SUM(F6:G6)</f>
        <v>85856</v>
      </c>
      <c r="F6" s="26">
        <v>21624</v>
      </c>
      <c r="G6" s="26">
        <v>64232</v>
      </c>
    </row>
    <row r="7" spans="1:7" x14ac:dyDescent="0.2">
      <c r="A7" s="10" t="s">
        <v>45</v>
      </c>
      <c r="B7" s="25">
        <f t="shared" ref="B7:G7" si="0">SUM(B3:B6)</f>
        <v>448604</v>
      </c>
      <c r="C7" s="25">
        <f t="shared" si="0"/>
        <v>327091</v>
      </c>
      <c r="D7" s="25">
        <f t="shared" si="0"/>
        <v>121513</v>
      </c>
      <c r="E7" s="25">
        <f t="shared" si="0"/>
        <v>453205</v>
      </c>
      <c r="F7" s="25">
        <f t="shared" si="0"/>
        <v>334061</v>
      </c>
      <c r="G7" s="25">
        <f t="shared" si="0"/>
        <v>119144</v>
      </c>
    </row>
    <row r="8" spans="1:7" x14ac:dyDescent="0.2">
      <c r="A8" s="28"/>
    </row>
    <row r="9" spans="1:7" x14ac:dyDescent="0.2">
      <c r="A9" s="28"/>
      <c r="B9" s="145" t="s">
        <v>44</v>
      </c>
      <c r="C9" s="145"/>
      <c r="D9" s="145"/>
    </row>
    <row r="10" spans="1:7" x14ac:dyDescent="0.2">
      <c r="A10" s="12" t="s">
        <v>12</v>
      </c>
      <c r="B10" s="27">
        <f t="shared" ref="B10:D14" si="1">((E3-B3)/E3)*100</f>
        <v>6.7877956804936579</v>
      </c>
      <c r="C10" s="27">
        <f t="shared" si="1"/>
        <v>24.327035612773784</v>
      </c>
      <c r="D10" s="27">
        <f t="shared" si="1"/>
        <v>-11.658167751011078</v>
      </c>
    </row>
    <row r="11" spans="1:7" x14ac:dyDescent="0.2">
      <c r="A11" s="12" t="s">
        <v>14</v>
      </c>
      <c r="B11" s="27">
        <f t="shared" si="1"/>
        <v>-0.64910028429914546</v>
      </c>
      <c r="C11" s="27">
        <f t="shared" si="1"/>
        <v>-0.41886540519283355</v>
      </c>
      <c r="D11" s="27">
        <f t="shared" si="1"/>
        <v>-3.5539144983557378</v>
      </c>
    </row>
    <row r="12" spans="1:7" x14ac:dyDescent="0.2">
      <c r="A12" s="12" t="s">
        <v>15</v>
      </c>
      <c r="B12" s="27">
        <f t="shared" si="1"/>
        <v>3.5349567949725063</v>
      </c>
      <c r="C12" s="27">
        <f t="shared" si="1"/>
        <v>6.2413125213626524</v>
      </c>
      <c r="D12" s="27">
        <f t="shared" si="1"/>
        <v>-3.9132070738743261</v>
      </c>
    </row>
    <row r="13" spans="1:7" x14ac:dyDescent="0.2">
      <c r="A13" s="12" t="s">
        <v>17</v>
      </c>
      <c r="B13" s="27">
        <f t="shared" si="1"/>
        <v>1.2940272083488631</v>
      </c>
      <c r="C13" s="27">
        <f t="shared" si="1"/>
        <v>4.4071402145763967</v>
      </c>
      <c r="D13" s="27">
        <f t="shared" si="1"/>
        <v>0.24598331049943953</v>
      </c>
    </row>
    <row r="14" spans="1:7" x14ac:dyDescent="0.2">
      <c r="A14" s="10" t="s">
        <v>45</v>
      </c>
      <c r="B14" s="27">
        <f t="shared" si="1"/>
        <v>1.0152138656899197</v>
      </c>
      <c r="C14" s="27">
        <f t="shared" si="1"/>
        <v>2.0864452899320782</v>
      </c>
      <c r="D14" s="27">
        <f t="shared" si="1"/>
        <v>-1.9883502316524539</v>
      </c>
    </row>
  </sheetData>
  <mergeCells count="2">
    <mergeCell ref="B1:D1"/>
    <mergeCell ref="B9:D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table10.2</vt:lpstr>
      <vt:lpstr>Sheet1</vt:lpstr>
      <vt:lpstr>table10.2!Print_Area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ALVIN</cp:lastModifiedBy>
  <cp:lastPrinted>2014-11-11T05:50:04Z</cp:lastPrinted>
  <dcterms:created xsi:type="dcterms:W3CDTF">1980-01-03T20:21:06Z</dcterms:created>
  <dcterms:modified xsi:type="dcterms:W3CDTF">2015-01-29T03:37:31Z</dcterms:modified>
</cp:coreProperties>
</file>