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9360" windowHeight="4380" activeTab="2"/>
  </bookViews>
  <sheets>
    <sheet name="Table13.4_10" sheetId="1" r:id="rId1"/>
    <sheet name="Sheet1" sheetId="2" r:id="rId2"/>
    <sheet name="Table13.4_10 (2)" sheetId="3" r:id="rId3"/>
  </sheets>
  <definedNames>
    <definedName name="_xlnm.Print_Area" localSheetId="0">Table13.4_10!$A$1:$I$140</definedName>
    <definedName name="_xlnm.Print_Area" localSheetId="2">'Table13.4_10 (2)'!$A$1:$I$57</definedName>
  </definedNames>
  <calcPr calcId="145621"/>
</workbook>
</file>

<file path=xl/calcChain.xml><?xml version="1.0" encoding="utf-8"?>
<calcChain xmlns="http://schemas.openxmlformats.org/spreadsheetml/2006/main">
  <c r="L32" i="3" l="1"/>
  <c r="L31" i="3"/>
  <c r="L30" i="3"/>
  <c r="L33" i="3" s="1"/>
  <c r="L29" i="3"/>
  <c r="K29" i="3"/>
  <c r="N42" i="3" l="1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M45" i="3"/>
  <c r="M44" i="3"/>
  <c r="M43" i="3"/>
  <c r="M42" i="3"/>
  <c r="B52" i="3" l="1"/>
  <c r="B51" i="3"/>
  <c r="B50" i="3"/>
  <c r="B49" i="3"/>
  <c r="B45" i="3"/>
  <c r="B44" i="3"/>
  <c r="B43" i="3"/>
  <c r="B42" i="3"/>
  <c r="B38" i="3"/>
  <c r="B37" i="3"/>
  <c r="B36" i="3"/>
  <c r="B35" i="3"/>
  <c r="B29" i="3"/>
  <c r="B28" i="3"/>
  <c r="B27" i="3"/>
  <c r="B26" i="3"/>
  <c r="B22" i="3"/>
  <c r="B21" i="3"/>
  <c r="B20" i="3"/>
  <c r="B19" i="3"/>
  <c r="B13" i="3"/>
  <c r="B14" i="3"/>
  <c r="B15" i="3"/>
  <c r="B12" i="3"/>
  <c r="Q4" i="2" l="1"/>
  <c r="R4" i="2"/>
  <c r="S4" i="2"/>
  <c r="Q5" i="2"/>
  <c r="R5" i="2"/>
  <c r="S5" i="2"/>
  <c r="B6" i="2"/>
  <c r="E122" i="1" s="1"/>
  <c r="C6" i="2"/>
  <c r="D6" i="2"/>
  <c r="F6" i="2"/>
  <c r="E123" i="1" s="1"/>
  <c r="G6" i="2"/>
  <c r="H6" i="2"/>
  <c r="J6" i="2"/>
  <c r="Q6" i="2"/>
  <c r="R6" i="2"/>
  <c r="S6" i="2"/>
  <c r="T6" i="2"/>
  <c r="Q9" i="2"/>
  <c r="R9" i="2"/>
  <c r="S9" i="2"/>
  <c r="Q10" i="2"/>
  <c r="R10" i="2"/>
  <c r="S10" i="2"/>
  <c r="B11" i="2"/>
  <c r="C122" i="1" s="1"/>
  <c r="C11" i="2"/>
  <c r="D11" i="2"/>
  <c r="F11" i="2"/>
  <c r="G11" i="2"/>
  <c r="J11" i="2"/>
  <c r="Q11" i="2"/>
  <c r="R11" i="2"/>
  <c r="S11" i="2"/>
  <c r="T11" i="2"/>
  <c r="Q14" i="2"/>
  <c r="R14" i="2"/>
  <c r="T16" i="2"/>
  <c r="Q19" i="2"/>
  <c r="R19" i="2"/>
  <c r="S19" i="2"/>
  <c r="Q20" i="2"/>
  <c r="R20" i="2"/>
  <c r="C21" i="2"/>
  <c r="F21" i="2"/>
  <c r="G123" i="1" s="1"/>
  <c r="G21" i="2"/>
  <c r="J21" i="2"/>
  <c r="Q21" i="2"/>
  <c r="R21" i="2"/>
  <c r="T21" i="2"/>
  <c r="Q24" i="2"/>
  <c r="S24" i="2"/>
  <c r="Q25" i="2"/>
  <c r="S25" i="2"/>
  <c r="J26" i="2"/>
  <c r="Q26" i="2"/>
  <c r="T26" i="2"/>
  <c r="Q29" i="2"/>
  <c r="R29" i="2"/>
  <c r="S29" i="2"/>
  <c r="Q30" i="2"/>
  <c r="R30" i="2"/>
  <c r="S30" i="2"/>
  <c r="C31" i="2"/>
  <c r="D31" i="2"/>
  <c r="F31" i="2"/>
  <c r="H123" i="1" s="1"/>
  <c r="G31" i="2"/>
  <c r="K31" i="2"/>
  <c r="Q31" i="2"/>
  <c r="R31" i="2"/>
  <c r="S31" i="2"/>
  <c r="T31" i="2"/>
  <c r="B34" i="2"/>
  <c r="C34" i="2"/>
  <c r="C36" i="2" s="1"/>
  <c r="D34" i="2"/>
  <c r="F34" i="2"/>
  <c r="G34" i="2"/>
  <c r="H34" i="2"/>
  <c r="H36" i="2" s="1"/>
  <c r="J34" i="2"/>
  <c r="K34" i="2"/>
  <c r="L34" i="2"/>
  <c r="N34" i="2"/>
  <c r="N36" i="2" s="1"/>
  <c r="O34" i="2"/>
  <c r="P34" i="2"/>
  <c r="Q34" i="2"/>
  <c r="R34" i="2"/>
  <c r="S34" i="2"/>
  <c r="B35" i="2"/>
  <c r="C35" i="2"/>
  <c r="D35" i="2"/>
  <c r="D36" i="2" s="1"/>
  <c r="F35" i="2"/>
  <c r="G35" i="2"/>
  <c r="H35" i="2"/>
  <c r="J35" i="2"/>
  <c r="K35" i="2"/>
  <c r="L35" i="2"/>
  <c r="N35" i="2"/>
  <c r="O35" i="2"/>
  <c r="O36" i="2" s="1"/>
  <c r="P35" i="2"/>
  <c r="Q35" i="2"/>
  <c r="R35" i="2"/>
  <c r="S35" i="2"/>
  <c r="J36" i="2"/>
  <c r="Q36" i="2"/>
  <c r="R36" i="2"/>
  <c r="S36" i="2"/>
  <c r="T36" i="2"/>
  <c r="B12" i="1"/>
  <c r="B13" i="1"/>
  <c r="B14" i="1"/>
  <c r="B15" i="1"/>
  <c r="B19" i="1"/>
  <c r="B20" i="1"/>
  <c r="B21" i="1"/>
  <c r="B22" i="1"/>
  <c r="B26" i="1"/>
  <c r="B27" i="1"/>
  <c r="B28" i="1"/>
  <c r="B35" i="1"/>
  <c r="B36" i="1"/>
  <c r="B37" i="1"/>
  <c r="B38" i="1"/>
  <c r="B42" i="1"/>
  <c r="B43" i="1"/>
  <c r="B44" i="1"/>
  <c r="B45" i="1"/>
  <c r="B49" i="1"/>
  <c r="B50" i="1"/>
  <c r="B51" i="1"/>
  <c r="B52" i="1"/>
  <c r="C65" i="1"/>
  <c r="E65" i="1"/>
  <c r="B65" i="1" s="1"/>
  <c r="C66" i="1"/>
  <c r="E66" i="1"/>
  <c r="G66" i="1"/>
  <c r="H66" i="1"/>
  <c r="C67" i="1"/>
  <c r="D67" i="1"/>
  <c r="B67" i="1" s="1"/>
  <c r="E67" i="1"/>
  <c r="F67" i="1"/>
  <c r="G67" i="1"/>
  <c r="H67" i="1"/>
  <c r="I67" i="1"/>
  <c r="B68" i="1"/>
  <c r="C72" i="1"/>
  <c r="E72" i="1"/>
  <c r="C73" i="1"/>
  <c r="E73" i="1"/>
  <c r="G73" i="1"/>
  <c r="H73" i="1"/>
  <c r="B74" i="1"/>
  <c r="B75" i="1"/>
  <c r="C79" i="1"/>
  <c r="E79" i="1"/>
  <c r="C80" i="1"/>
  <c r="B80" i="1" s="1"/>
  <c r="E80" i="1"/>
  <c r="B81" i="1"/>
  <c r="F122" i="1"/>
  <c r="G122" i="1"/>
  <c r="H122" i="1"/>
  <c r="I122" i="1"/>
  <c r="C123" i="1"/>
  <c r="F123" i="1"/>
  <c r="I123" i="1"/>
  <c r="C124" i="1"/>
  <c r="E124" i="1"/>
  <c r="F124" i="1"/>
  <c r="G124" i="1"/>
  <c r="H124" i="1"/>
  <c r="I124" i="1"/>
  <c r="C125" i="1"/>
  <c r="E125" i="1"/>
  <c r="F125" i="1"/>
  <c r="G125" i="1"/>
  <c r="H125" i="1"/>
  <c r="I125" i="1"/>
  <c r="B129" i="1"/>
  <c r="C129" i="1"/>
  <c r="E129" i="1"/>
  <c r="G129" i="1"/>
  <c r="H129" i="1"/>
  <c r="C130" i="1"/>
  <c r="E130" i="1"/>
  <c r="G130" i="1"/>
  <c r="H130" i="1"/>
  <c r="B131" i="1"/>
  <c r="H131" i="1"/>
  <c r="B132" i="1"/>
  <c r="C136" i="1"/>
  <c r="B136" i="1" s="1"/>
  <c r="E136" i="1"/>
  <c r="H136" i="1"/>
  <c r="E137" i="1"/>
  <c r="B137" i="1" s="1"/>
  <c r="B138" i="1"/>
  <c r="B139" i="1"/>
  <c r="B122" i="1" l="1"/>
  <c r="B79" i="1"/>
  <c r="B66" i="1"/>
  <c r="B73" i="1"/>
  <c r="L36" i="2"/>
  <c r="G36" i="2"/>
  <c r="B36" i="2"/>
  <c r="P36" i="2"/>
  <c r="K36" i="2"/>
  <c r="F36" i="2"/>
  <c r="B72" i="1"/>
  <c r="B130" i="1"/>
  <c r="B124" i="1"/>
  <c r="B125" i="1"/>
  <c r="B123" i="1"/>
</calcChain>
</file>

<file path=xl/sharedStrings.xml><?xml version="1.0" encoding="utf-8"?>
<sst xmlns="http://schemas.openxmlformats.org/spreadsheetml/2006/main" count="246" uniqueCount="49">
  <si>
    <t>Table 13.4</t>
  </si>
  <si>
    <t>NUMBER OF PERMITS/LICENSES ISSUED BY TYPE AND PROVINCE/CITY</t>
  </si>
  <si>
    <t>Province/City/</t>
  </si>
  <si>
    <t>CAR</t>
  </si>
  <si>
    <t>Abra</t>
  </si>
  <si>
    <t>Apayao</t>
  </si>
  <si>
    <t xml:space="preserve">Baguio </t>
  </si>
  <si>
    <t>Benguet</t>
  </si>
  <si>
    <t>Kalinga</t>
  </si>
  <si>
    <t>Ifugao</t>
  </si>
  <si>
    <t>Type of Permit</t>
  </si>
  <si>
    <t>City</t>
  </si>
  <si>
    <t>Province</t>
  </si>
  <si>
    <t>New</t>
  </si>
  <si>
    <t xml:space="preserve">   Professional</t>
  </si>
  <si>
    <t xml:space="preserve">   Non-Professional</t>
  </si>
  <si>
    <t xml:space="preserve">   Student Permit</t>
  </si>
  <si>
    <t xml:space="preserve">   Conductors Permit</t>
  </si>
  <si>
    <t>Renewal</t>
  </si>
  <si>
    <t>Confirmation</t>
  </si>
  <si>
    <t>Mountain</t>
  </si>
  <si>
    <t>-</t>
  </si>
  <si>
    <t xml:space="preserve"> -</t>
  </si>
  <si>
    <t>Source:  Department of Transportation and Communication</t>
  </si>
  <si>
    <t>Table 13.4 Continued</t>
  </si>
  <si>
    <t>2000-2005</t>
  </si>
  <si>
    <t xml:space="preserve">PROFESSIONAL </t>
  </si>
  <si>
    <t xml:space="preserve">NON PROFESSIONAL </t>
  </si>
  <si>
    <t>STUDENT PERMIT</t>
  </si>
  <si>
    <t>CONDUCTORS PERMIT</t>
  </si>
  <si>
    <t>TOTAL</t>
  </si>
  <si>
    <t>GRAND TOTAL</t>
  </si>
  <si>
    <t xml:space="preserve">NEW </t>
  </si>
  <si>
    <t>REN</t>
  </si>
  <si>
    <t>CON</t>
  </si>
  <si>
    <t>NEW</t>
  </si>
  <si>
    <t xml:space="preserve">           BAGUIO CITY         </t>
  </si>
  <si>
    <t>MALE</t>
  </si>
  <si>
    <t>FEMALE</t>
  </si>
  <si>
    <t>ABRA</t>
  </si>
  <si>
    <t xml:space="preserve">MALE </t>
  </si>
  <si>
    <t>MT. PROVINCE</t>
  </si>
  <si>
    <t>IFUGAO</t>
  </si>
  <si>
    <t>BENGUET</t>
  </si>
  <si>
    <t>KALINGA</t>
  </si>
  <si>
    <t>2013-2014</t>
  </si>
  <si>
    <t>Conversion</t>
  </si>
  <si>
    <t>Source:  Department of Transportation and Communications</t>
  </si>
  <si>
    <t>Note: 2014 data is from January-September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</si>
</sst>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41" fontId="3" fillId="0" borderId="0" xfId="0" applyNumberFormat="1" applyFont="1" applyFill="1" applyBorder="1" applyAlignment="1">
      <alignment horizontal="right"/>
    </xf>
    <xf numFmtId="41" fontId="3" fillId="0" borderId="0" xfId="0" applyNumberFormat="1" applyFont="1" applyFill="1" applyBorder="1"/>
    <xf numFmtId="164" fontId="4" fillId="0" borderId="3" xfId="0" applyNumberFormat="1" applyFont="1" applyFill="1" applyBorder="1" applyAlignment="1">
      <alignment horizontal="center" vertical="justify" wrapText="1"/>
    </xf>
    <xf numFmtId="41" fontId="4" fillId="0" borderId="0" xfId="0" applyNumberFormat="1" applyFont="1" applyFill="1" applyBorder="1" applyAlignment="1">
      <alignment horizontal="right"/>
    </xf>
    <xf numFmtId="41" fontId="3" fillId="0" borderId="0" xfId="0" applyNumberFormat="1" applyFont="1" applyAlignment="1">
      <alignment horizontal="right"/>
    </xf>
    <xf numFmtId="0" fontId="3" fillId="0" borderId="5" xfId="0" applyFont="1" applyBorder="1" applyAlignment="1">
      <alignment horizontal="left"/>
    </xf>
    <xf numFmtId="41" fontId="3" fillId="0" borderId="5" xfId="0" applyNumberFormat="1" applyFont="1" applyFill="1" applyBorder="1" applyAlignment="1">
      <alignment horizontal="right"/>
    </xf>
    <xf numFmtId="41" fontId="3" fillId="0" borderId="5" xfId="0" applyNumberFormat="1" applyFont="1" applyBorder="1" applyAlignment="1">
      <alignment horizontal="right"/>
    </xf>
    <xf numFmtId="41" fontId="3" fillId="0" borderId="0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 applyFill="1" applyBorder="1" applyAlignment="1">
      <alignment horizontal="right"/>
    </xf>
    <xf numFmtId="41" fontId="1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41" fontId="3" fillId="0" borderId="0" xfId="0" applyNumberFormat="1" applyFont="1" applyFill="1" applyBorder="1" applyAlignment="1">
      <alignment horizontal="center"/>
    </xf>
    <xf numFmtId="41" fontId="3" fillId="0" borderId="5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showGridLines="0" view="pageBreakPreview" workbookViewId="0">
      <selection activeCell="I68" sqref="I68"/>
    </sheetView>
  </sheetViews>
  <sheetFormatPr defaultColWidth="10.28515625" defaultRowHeight="12.75" x14ac:dyDescent="0.2"/>
  <cols>
    <col min="1" max="1" width="17.140625" style="3" customWidth="1"/>
    <col min="2" max="9" width="8.85546875" style="2" customWidth="1"/>
    <col min="10" max="10" width="9.7109375" style="3" customWidth="1"/>
    <col min="11" max="16384" width="10.28515625" style="3"/>
  </cols>
  <sheetData>
    <row r="1" spans="1:9" x14ac:dyDescent="0.2">
      <c r="A1" s="1" t="s">
        <v>0</v>
      </c>
    </row>
    <row r="2" spans="1:9" x14ac:dyDescent="0.2">
      <c r="A2" s="4" t="s">
        <v>1</v>
      </c>
      <c r="B2" s="5"/>
    </row>
    <row r="3" spans="1:9" x14ac:dyDescent="0.2">
      <c r="A3" s="4" t="s">
        <v>25</v>
      </c>
    </row>
    <row r="4" spans="1:9" x14ac:dyDescent="0.2">
      <c r="A4" s="4"/>
    </row>
    <row r="5" spans="1:9" x14ac:dyDescent="0.2">
      <c r="A5" s="10" t="s">
        <v>2</v>
      </c>
      <c r="B5" s="52" t="s">
        <v>3</v>
      </c>
      <c r="C5" s="52" t="s">
        <v>4</v>
      </c>
      <c r="D5" s="52" t="s">
        <v>5</v>
      </c>
      <c r="E5" s="14" t="s">
        <v>6</v>
      </c>
      <c r="F5" s="52" t="s">
        <v>7</v>
      </c>
      <c r="G5" s="52" t="s">
        <v>9</v>
      </c>
      <c r="H5" s="52" t="s">
        <v>8</v>
      </c>
      <c r="I5" s="18" t="s">
        <v>20</v>
      </c>
    </row>
    <row r="6" spans="1:9" x14ac:dyDescent="0.2">
      <c r="A6" s="11" t="s">
        <v>10</v>
      </c>
      <c r="B6" s="53"/>
      <c r="C6" s="53"/>
      <c r="D6" s="53"/>
      <c r="E6" s="15" t="s">
        <v>11</v>
      </c>
      <c r="F6" s="53"/>
      <c r="G6" s="53"/>
      <c r="H6" s="53"/>
      <c r="I6" s="15" t="s">
        <v>12</v>
      </c>
    </row>
    <row r="8" spans="1:9" x14ac:dyDescent="0.2">
      <c r="A8" s="12">
        <v>2000</v>
      </c>
      <c r="B8" s="17"/>
      <c r="C8" s="17"/>
      <c r="D8" s="16"/>
      <c r="E8" s="16"/>
      <c r="F8" s="16"/>
      <c r="G8" s="16"/>
      <c r="H8" s="16"/>
      <c r="I8" s="17"/>
    </row>
    <row r="9" spans="1:9" x14ac:dyDescent="0.2">
      <c r="A9" s="12"/>
      <c r="B9" s="17"/>
      <c r="C9" s="17"/>
      <c r="D9" s="16"/>
      <c r="E9" s="16"/>
      <c r="F9" s="16"/>
      <c r="G9" s="16"/>
      <c r="H9" s="16"/>
      <c r="I9" s="17"/>
    </row>
    <row r="10" spans="1:9" x14ac:dyDescent="0.2">
      <c r="A10" s="13" t="s">
        <v>13</v>
      </c>
      <c r="B10" s="17"/>
      <c r="C10" s="17"/>
      <c r="D10" s="16"/>
      <c r="E10" s="16"/>
      <c r="F10" s="16"/>
      <c r="G10" s="16"/>
      <c r="H10" s="16"/>
      <c r="I10" s="17"/>
    </row>
    <row r="11" spans="1:9" x14ac:dyDescent="0.2">
      <c r="A11" s="13"/>
      <c r="B11" s="16"/>
      <c r="C11" s="16"/>
      <c r="D11" s="16"/>
      <c r="E11" s="16"/>
      <c r="F11" s="16"/>
      <c r="G11" s="16"/>
      <c r="H11" s="16"/>
      <c r="I11" s="16"/>
    </row>
    <row r="12" spans="1:9" x14ac:dyDescent="0.2">
      <c r="A12" s="13" t="s">
        <v>14</v>
      </c>
      <c r="B12" s="16">
        <f>SUM(C12:I12)</f>
        <v>3862</v>
      </c>
      <c r="C12" s="16">
        <v>1031</v>
      </c>
      <c r="D12" s="20">
        <v>0</v>
      </c>
      <c r="E12" s="16">
        <v>2122</v>
      </c>
      <c r="F12" s="20">
        <v>0</v>
      </c>
      <c r="G12" s="16">
        <v>278</v>
      </c>
      <c r="H12" s="16">
        <v>241</v>
      </c>
      <c r="I12" s="16">
        <v>190</v>
      </c>
    </row>
    <row r="13" spans="1:9" x14ac:dyDescent="0.2">
      <c r="A13" s="13" t="s">
        <v>15</v>
      </c>
      <c r="B13" s="16">
        <f>SUM(C13:I13)</f>
        <v>2352</v>
      </c>
      <c r="C13" s="16">
        <v>382</v>
      </c>
      <c r="D13" s="20">
        <v>0</v>
      </c>
      <c r="E13" s="16">
        <v>1792</v>
      </c>
      <c r="F13" s="20">
        <v>0</v>
      </c>
      <c r="G13" s="16">
        <v>57</v>
      </c>
      <c r="H13" s="16">
        <v>101</v>
      </c>
      <c r="I13" s="16">
        <v>20</v>
      </c>
    </row>
    <row r="14" spans="1:9" x14ac:dyDescent="0.2">
      <c r="A14" s="13" t="s">
        <v>16</v>
      </c>
      <c r="B14" s="16">
        <f>SUM(C14:I14)</f>
        <v>15401</v>
      </c>
      <c r="C14" s="16">
        <v>3297</v>
      </c>
      <c r="D14" s="16">
        <v>600</v>
      </c>
      <c r="E14" s="16">
        <v>7308</v>
      </c>
      <c r="F14" s="16">
        <v>1667</v>
      </c>
      <c r="G14" s="16">
        <v>1017</v>
      </c>
      <c r="H14" s="16">
        <v>990</v>
      </c>
      <c r="I14" s="16">
        <v>522</v>
      </c>
    </row>
    <row r="15" spans="1:9" x14ac:dyDescent="0.2">
      <c r="A15" s="13" t="s">
        <v>17</v>
      </c>
      <c r="B15" s="16">
        <f>SUM(C15:I15)</f>
        <v>132</v>
      </c>
      <c r="C15" s="16">
        <v>35</v>
      </c>
      <c r="D15" s="20">
        <v>0</v>
      </c>
      <c r="E15" s="16">
        <v>60</v>
      </c>
      <c r="F15" s="16">
        <v>0</v>
      </c>
      <c r="G15" s="20">
        <v>12</v>
      </c>
      <c r="H15" s="16">
        <v>8</v>
      </c>
      <c r="I15" s="16">
        <v>17</v>
      </c>
    </row>
    <row r="16" spans="1:9" x14ac:dyDescent="0.2">
      <c r="A16" s="13"/>
      <c r="B16" s="19"/>
      <c r="C16" s="19"/>
      <c r="D16" s="19"/>
      <c r="E16" s="19"/>
      <c r="F16" s="19"/>
      <c r="G16" s="16"/>
      <c r="H16" s="16"/>
      <c r="I16" s="16"/>
    </row>
    <row r="17" spans="1:9" x14ac:dyDescent="0.2">
      <c r="A17" s="13" t="s">
        <v>18</v>
      </c>
      <c r="B17" s="19"/>
      <c r="C17" s="19"/>
      <c r="D17" s="19"/>
      <c r="E17" s="19"/>
      <c r="F17" s="19"/>
      <c r="G17" s="16"/>
      <c r="H17" s="16"/>
      <c r="I17" s="16"/>
    </row>
    <row r="18" spans="1:9" x14ac:dyDescent="0.2">
      <c r="A18" s="13"/>
      <c r="B18" s="19"/>
      <c r="C18" s="19"/>
      <c r="D18" s="19"/>
      <c r="E18" s="19"/>
      <c r="F18" s="19"/>
      <c r="G18" s="16"/>
      <c r="H18" s="16"/>
      <c r="I18" s="16"/>
    </row>
    <row r="19" spans="1:9" x14ac:dyDescent="0.2">
      <c r="A19" s="13" t="s">
        <v>14</v>
      </c>
      <c r="B19" s="16">
        <f>SUM(C19:I19)</f>
        <v>16804</v>
      </c>
      <c r="C19" s="16">
        <v>2448</v>
      </c>
      <c r="D19" s="20">
        <v>0</v>
      </c>
      <c r="E19" s="16">
        <v>11965</v>
      </c>
      <c r="F19" s="20">
        <v>0</v>
      </c>
      <c r="G19" s="16">
        <v>1086</v>
      </c>
      <c r="H19" s="16">
        <v>836</v>
      </c>
      <c r="I19" s="16">
        <v>469</v>
      </c>
    </row>
    <row r="20" spans="1:9" x14ac:dyDescent="0.2">
      <c r="A20" s="13" t="s">
        <v>15</v>
      </c>
      <c r="B20" s="16">
        <f>SUM(C20:I20)</f>
        <v>3775</v>
      </c>
      <c r="C20" s="16">
        <v>315</v>
      </c>
      <c r="D20" s="20">
        <v>0</v>
      </c>
      <c r="E20" s="16">
        <v>3300</v>
      </c>
      <c r="F20" s="20">
        <v>0</v>
      </c>
      <c r="G20" s="16">
        <v>77</v>
      </c>
      <c r="H20" s="16">
        <v>69</v>
      </c>
      <c r="I20" s="16">
        <v>14</v>
      </c>
    </row>
    <row r="21" spans="1:9" x14ac:dyDescent="0.2">
      <c r="A21" s="13" t="s">
        <v>16</v>
      </c>
      <c r="B21" s="16">
        <f>SUM(C21:I21)</f>
        <v>0</v>
      </c>
      <c r="C21" s="20">
        <v>0</v>
      </c>
      <c r="D21" s="20">
        <v>0</v>
      </c>
      <c r="E21" s="20">
        <v>0</v>
      </c>
      <c r="F21" s="16" t="s">
        <v>21</v>
      </c>
      <c r="G21" s="20">
        <v>0</v>
      </c>
      <c r="H21" s="20">
        <v>0</v>
      </c>
      <c r="I21" s="16" t="s">
        <v>21</v>
      </c>
    </row>
    <row r="22" spans="1:9" x14ac:dyDescent="0.2">
      <c r="A22" s="13" t="s">
        <v>17</v>
      </c>
      <c r="B22" s="16">
        <f>SUM(C22:I22)</f>
        <v>113</v>
      </c>
      <c r="C22" s="16">
        <v>46</v>
      </c>
      <c r="D22" s="20">
        <v>0</v>
      </c>
      <c r="E22" s="16">
        <v>62</v>
      </c>
      <c r="F22" s="16">
        <v>0</v>
      </c>
      <c r="G22" s="20">
        <v>2</v>
      </c>
      <c r="H22" s="16" t="s">
        <v>21</v>
      </c>
      <c r="I22" s="16">
        <v>3</v>
      </c>
    </row>
    <row r="23" spans="1:9" x14ac:dyDescent="0.2">
      <c r="A23" s="13"/>
      <c r="B23" s="16"/>
      <c r="C23" s="16"/>
      <c r="D23" s="16"/>
      <c r="E23" s="16"/>
      <c r="F23" s="16"/>
      <c r="G23" s="16"/>
      <c r="H23" s="16"/>
      <c r="I23" s="16"/>
    </row>
    <row r="24" spans="1:9" x14ac:dyDescent="0.2">
      <c r="A24" s="13" t="s">
        <v>19</v>
      </c>
      <c r="B24" s="16"/>
      <c r="C24" s="16"/>
      <c r="D24" s="16"/>
      <c r="E24" s="16"/>
      <c r="F24" s="16"/>
      <c r="G24" s="16"/>
      <c r="H24" s="16"/>
      <c r="I24" s="16"/>
    </row>
    <row r="25" spans="1:9" x14ac:dyDescent="0.2">
      <c r="A25" s="13"/>
      <c r="B25" s="16"/>
      <c r="C25" s="16"/>
      <c r="D25" s="16"/>
      <c r="E25" s="16"/>
      <c r="F25" s="16"/>
      <c r="G25" s="16"/>
      <c r="H25" s="16"/>
      <c r="I25" s="16"/>
    </row>
    <row r="26" spans="1:9" x14ac:dyDescent="0.2">
      <c r="A26" s="13" t="s">
        <v>14</v>
      </c>
      <c r="B26" s="16">
        <f>SUM(C26:I26)</f>
        <v>726</v>
      </c>
      <c r="C26" s="16">
        <v>191</v>
      </c>
      <c r="D26" s="20">
        <v>0</v>
      </c>
      <c r="E26" s="16">
        <v>480</v>
      </c>
      <c r="F26" s="20">
        <v>0</v>
      </c>
      <c r="G26" s="16">
        <v>8</v>
      </c>
      <c r="H26" s="16">
        <v>34</v>
      </c>
      <c r="I26" s="16">
        <v>13</v>
      </c>
    </row>
    <row r="27" spans="1:9" x14ac:dyDescent="0.2">
      <c r="A27" s="13" t="s">
        <v>15</v>
      </c>
      <c r="B27" s="16">
        <f>SUM(C27:I27)</f>
        <v>85</v>
      </c>
      <c r="C27" s="16">
        <v>5</v>
      </c>
      <c r="D27" s="20">
        <v>0</v>
      </c>
      <c r="E27" s="16">
        <v>76</v>
      </c>
      <c r="F27" s="20">
        <v>0</v>
      </c>
      <c r="G27" s="20">
        <v>3</v>
      </c>
      <c r="H27" s="16">
        <v>1</v>
      </c>
      <c r="I27" s="20">
        <v>0</v>
      </c>
    </row>
    <row r="28" spans="1:9" x14ac:dyDescent="0.2">
      <c r="A28" s="13" t="s">
        <v>16</v>
      </c>
      <c r="B28" s="16">
        <f>SUM(C28:I28)</f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16">
        <v>0</v>
      </c>
      <c r="I28" s="20">
        <v>0</v>
      </c>
    </row>
    <row r="29" spans="1:9" x14ac:dyDescent="0.2">
      <c r="A29" s="13" t="s">
        <v>17</v>
      </c>
      <c r="B29" s="16" t="s">
        <v>22</v>
      </c>
      <c r="C29" s="24">
        <v>0</v>
      </c>
      <c r="D29" s="24">
        <v>0</v>
      </c>
      <c r="E29" s="24">
        <v>0</v>
      </c>
      <c r="F29" s="24">
        <v>0</v>
      </c>
      <c r="G29" s="24" t="s">
        <v>22</v>
      </c>
      <c r="H29" s="16">
        <v>0</v>
      </c>
      <c r="I29" s="24">
        <v>0</v>
      </c>
    </row>
    <row r="30" spans="1:9" x14ac:dyDescent="0.2">
      <c r="B30" s="25"/>
      <c r="C30" s="25"/>
      <c r="D30" s="25"/>
      <c r="E30" s="25"/>
      <c r="F30" s="26"/>
      <c r="G30" s="26"/>
      <c r="H30" s="26"/>
      <c r="I30" s="27"/>
    </row>
    <row r="31" spans="1:9" x14ac:dyDescent="0.2">
      <c r="A31" s="12">
        <v>2001</v>
      </c>
      <c r="B31" s="17"/>
      <c r="C31" s="17"/>
      <c r="D31" s="16"/>
      <c r="E31" s="16"/>
      <c r="F31" s="16"/>
      <c r="G31" s="16"/>
      <c r="H31" s="16"/>
      <c r="I31" s="17"/>
    </row>
    <row r="32" spans="1:9" x14ac:dyDescent="0.2">
      <c r="A32" s="12"/>
      <c r="B32" s="17"/>
      <c r="C32" s="17"/>
      <c r="D32" s="16"/>
      <c r="E32" s="16"/>
      <c r="F32" s="16"/>
      <c r="G32" s="16"/>
      <c r="H32" s="16"/>
      <c r="I32" s="17"/>
    </row>
    <row r="33" spans="1:9" x14ac:dyDescent="0.2">
      <c r="A33" s="13" t="s">
        <v>13</v>
      </c>
      <c r="B33" s="17"/>
      <c r="C33" s="17"/>
      <c r="D33" s="16"/>
      <c r="E33" s="16"/>
      <c r="F33" s="16"/>
      <c r="G33" s="16"/>
      <c r="H33" s="16"/>
      <c r="I33" s="17"/>
    </row>
    <row r="34" spans="1:9" x14ac:dyDescent="0.2">
      <c r="A34" s="13"/>
      <c r="B34" s="16"/>
      <c r="C34" s="16"/>
      <c r="D34" s="16"/>
      <c r="E34" s="16"/>
      <c r="F34" s="16"/>
      <c r="G34" s="16"/>
      <c r="H34" s="16"/>
      <c r="I34" s="16"/>
    </row>
    <row r="35" spans="1:9" x14ac:dyDescent="0.2">
      <c r="A35" s="13" t="s">
        <v>14</v>
      </c>
      <c r="B35" s="16">
        <f>SUM(C35:I35)</f>
        <v>325</v>
      </c>
      <c r="C35" s="16">
        <v>83</v>
      </c>
      <c r="D35" s="20">
        <v>0</v>
      </c>
      <c r="E35" s="16">
        <v>169</v>
      </c>
      <c r="F35" s="20">
        <v>0</v>
      </c>
      <c r="G35" s="16">
        <v>24</v>
      </c>
      <c r="H35" s="16">
        <v>29</v>
      </c>
      <c r="I35" s="16">
        <v>20</v>
      </c>
    </row>
    <row r="36" spans="1:9" x14ac:dyDescent="0.2">
      <c r="A36" s="13" t="s">
        <v>15</v>
      </c>
      <c r="B36" s="16">
        <f>SUM(C36:I36)</f>
        <v>188</v>
      </c>
      <c r="C36" s="16">
        <v>21</v>
      </c>
      <c r="D36" s="20">
        <v>0</v>
      </c>
      <c r="E36" s="16">
        <v>155</v>
      </c>
      <c r="F36" s="20">
        <v>0</v>
      </c>
      <c r="G36" s="16">
        <v>4</v>
      </c>
      <c r="H36" s="16">
        <v>8</v>
      </c>
      <c r="I36" s="16" t="s">
        <v>21</v>
      </c>
    </row>
    <row r="37" spans="1:9" x14ac:dyDescent="0.2">
      <c r="A37" s="13" t="s">
        <v>16</v>
      </c>
      <c r="B37" s="16">
        <f>SUM(C37:I37)</f>
        <v>1348</v>
      </c>
      <c r="C37" s="16">
        <v>264</v>
      </c>
      <c r="D37" s="16">
        <v>35</v>
      </c>
      <c r="E37" s="16">
        <v>680</v>
      </c>
      <c r="F37" s="16">
        <v>144</v>
      </c>
      <c r="G37" s="16">
        <v>85</v>
      </c>
      <c r="H37" s="16">
        <v>102</v>
      </c>
      <c r="I37" s="16">
        <v>38</v>
      </c>
    </row>
    <row r="38" spans="1:9" x14ac:dyDescent="0.2">
      <c r="A38" s="13" t="s">
        <v>17</v>
      </c>
      <c r="B38" s="16">
        <f>SUM(C38:I38)</f>
        <v>12</v>
      </c>
      <c r="C38" s="16">
        <v>2</v>
      </c>
      <c r="D38" s="20">
        <v>0</v>
      </c>
      <c r="E38" s="16">
        <v>7</v>
      </c>
      <c r="F38" s="16">
        <v>0</v>
      </c>
      <c r="G38" s="20">
        <v>1</v>
      </c>
      <c r="H38" s="16" t="s">
        <v>21</v>
      </c>
      <c r="I38" s="16">
        <v>2</v>
      </c>
    </row>
    <row r="39" spans="1:9" x14ac:dyDescent="0.2">
      <c r="A39" s="13"/>
      <c r="B39" s="19"/>
      <c r="C39" s="19"/>
      <c r="D39" s="19"/>
      <c r="E39" s="19"/>
      <c r="F39" s="19"/>
      <c r="G39" s="16"/>
      <c r="H39" s="16"/>
      <c r="I39" s="16"/>
    </row>
    <row r="40" spans="1:9" x14ac:dyDescent="0.2">
      <c r="A40" s="13" t="s">
        <v>18</v>
      </c>
      <c r="B40" s="19"/>
      <c r="C40" s="19"/>
      <c r="D40" s="19"/>
      <c r="E40" s="19"/>
      <c r="F40" s="19"/>
      <c r="G40" s="16"/>
      <c r="H40" s="16"/>
      <c r="I40" s="16"/>
    </row>
    <row r="41" spans="1:9" x14ac:dyDescent="0.2">
      <c r="A41" s="13"/>
      <c r="B41" s="19"/>
      <c r="C41" s="19"/>
      <c r="D41" s="19"/>
      <c r="E41" s="19"/>
      <c r="F41" s="19"/>
      <c r="G41" s="16"/>
      <c r="H41" s="16"/>
      <c r="I41" s="16"/>
    </row>
    <row r="42" spans="1:9" x14ac:dyDescent="0.2">
      <c r="A42" s="13" t="s">
        <v>14</v>
      </c>
      <c r="B42" s="16">
        <f>SUM(C42:I42)</f>
        <v>1242</v>
      </c>
      <c r="C42" s="16">
        <v>140</v>
      </c>
      <c r="D42" s="20">
        <v>0</v>
      </c>
      <c r="E42" s="16">
        <v>867</v>
      </c>
      <c r="F42" s="20">
        <v>0</v>
      </c>
      <c r="G42" s="16">
        <v>101</v>
      </c>
      <c r="H42" s="16">
        <v>77</v>
      </c>
      <c r="I42" s="16">
        <v>57</v>
      </c>
    </row>
    <row r="43" spans="1:9" x14ac:dyDescent="0.2">
      <c r="A43" s="13" t="s">
        <v>15</v>
      </c>
      <c r="B43" s="16">
        <f>SUM(C43:I43)</f>
        <v>300</v>
      </c>
      <c r="C43" s="16">
        <v>23</v>
      </c>
      <c r="D43" s="20">
        <v>0</v>
      </c>
      <c r="E43" s="16">
        <v>259</v>
      </c>
      <c r="F43" s="20">
        <v>0</v>
      </c>
      <c r="G43" s="16">
        <v>9</v>
      </c>
      <c r="H43" s="16">
        <v>3</v>
      </c>
      <c r="I43" s="16">
        <v>6</v>
      </c>
    </row>
    <row r="44" spans="1:9" x14ac:dyDescent="0.2">
      <c r="A44" s="13" t="s">
        <v>16</v>
      </c>
      <c r="B44" s="16">
        <f>SUM(C44:I44)</f>
        <v>0</v>
      </c>
      <c r="C44" s="20" t="s">
        <v>21</v>
      </c>
      <c r="D44" s="20">
        <v>0</v>
      </c>
      <c r="E44" s="20" t="s">
        <v>21</v>
      </c>
      <c r="F44" s="16" t="s">
        <v>21</v>
      </c>
      <c r="G44" s="20">
        <v>0</v>
      </c>
      <c r="H44" s="20" t="s">
        <v>21</v>
      </c>
      <c r="I44" s="16" t="s">
        <v>21</v>
      </c>
    </row>
    <row r="45" spans="1:9" x14ac:dyDescent="0.2">
      <c r="A45" s="13" t="s">
        <v>17</v>
      </c>
      <c r="B45" s="16">
        <f>SUM(C45:I45)</f>
        <v>7</v>
      </c>
      <c r="C45" s="16">
        <v>1</v>
      </c>
      <c r="D45" s="20">
        <v>0</v>
      </c>
      <c r="E45" s="16">
        <v>6</v>
      </c>
      <c r="F45" s="16">
        <v>0</v>
      </c>
      <c r="G45" s="20" t="s">
        <v>21</v>
      </c>
      <c r="H45" s="16" t="s">
        <v>21</v>
      </c>
      <c r="I45" s="16" t="s">
        <v>21</v>
      </c>
    </row>
    <row r="46" spans="1:9" x14ac:dyDescent="0.2">
      <c r="A46" s="13"/>
      <c r="B46" s="16"/>
      <c r="C46" s="16"/>
      <c r="D46" s="16"/>
      <c r="E46" s="16"/>
      <c r="F46" s="16"/>
      <c r="G46" s="16"/>
      <c r="H46" s="16"/>
      <c r="I46" s="16"/>
    </row>
    <row r="47" spans="1:9" x14ac:dyDescent="0.2">
      <c r="A47" s="13" t="s">
        <v>19</v>
      </c>
      <c r="B47" s="16"/>
      <c r="C47" s="16"/>
      <c r="D47" s="16"/>
      <c r="E47" s="16"/>
      <c r="F47" s="16"/>
      <c r="G47" s="16"/>
      <c r="H47" s="16"/>
      <c r="I47" s="16"/>
    </row>
    <row r="48" spans="1:9" x14ac:dyDescent="0.2">
      <c r="A48" s="13"/>
      <c r="B48" s="16"/>
      <c r="C48" s="16"/>
      <c r="D48" s="16"/>
      <c r="E48" s="16"/>
      <c r="F48" s="16"/>
      <c r="G48" s="16"/>
      <c r="H48" s="16"/>
      <c r="I48" s="16"/>
    </row>
    <row r="49" spans="1:9" x14ac:dyDescent="0.2">
      <c r="A49" s="13" t="s">
        <v>14</v>
      </c>
      <c r="B49" s="16">
        <f>SUM(C49:I49)</f>
        <v>20</v>
      </c>
      <c r="C49" s="16">
        <v>13</v>
      </c>
      <c r="D49" s="20">
        <v>0</v>
      </c>
      <c r="E49" s="16" t="s">
        <v>21</v>
      </c>
      <c r="F49" s="20">
        <v>0</v>
      </c>
      <c r="G49" s="16">
        <v>3</v>
      </c>
      <c r="H49" s="16">
        <v>2</v>
      </c>
      <c r="I49" s="16">
        <v>2</v>
      </c>
    </row>
    <row r="50" spans="1:9" x14ac:dyDescent="0.2">
      <c r="A50" s="13" t="s">
        <v>15</v>
      </c>
      <c r="B50" s="16">
        <f>SUM(C50:I50)</f>
        <v>4</v>
      </c>
      <c r="C50" s="16">
        <v>1</v>
      </c>
      <c r="D50" s="20">
        <v>0</v>
      </c>
      <c r="E50" s="16">
        <v>3</v>
      </c>
      <c r="F50" s="20">
        <v>0</v>
      </c>
      <c r="G50" s="20" t="s">
        <v>21</v>
      </c>
      <c r="H50" s="16" t="s">
        <v>21</v>
      </c>
      <c r="I50" s="20">
        <v>0</v>
      </c>
    </row>
    <row r="51" spans="1:9" x14ac:dyDescent="0.2">
      <c r="A51" s="13" t="s">
        <v>16</v>
      </c>
      <c r="B51" s="16">
        <f>SUM(C51:I51)</f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16">
        <v>0</v>
      </c>
      <c r="I51" s="20">
        <v>0</v>
      </c>
    </row>
    <row r="52" spans="1:9" x14ac:dyDescent="0.2">
      <c r="A52" s="21" t="s">
        <v>17</v>
      </c>
      <c r="B52" s="22">
        <f>SUM(C52:I52)</f>
        <v>0</v>
      </c>
      <c r="C52" s="23">
        <v>0</v>
      </c>
      <c r="D52" s="23">
        <v>0</v>
      </c>
      <c r="E52" s="23">
        <v>0</v>
      </c>
      <c r="F52" s="23">
        <v>0</v>
      </c>
      <c r="G52" s="23" t="s">
        <v>21</v>
      </c>
      <c r="H52" s="22">
        <v>0</v>
      </c>
      <c r="I52" s="23">
        <v>0</v>
      </c>
    </row>
    <row r="53" spans="1:9" ht="15" customHeight="1" x14ac:dyDescent="0.2">
      <c r="A53" s="9" t="s">
        <v>23</v>
      </c>
      <c r="B53" s="6"/>
      <c r="C53" s="6"/>
      <c r="D53" s="7"/>
      <c r="E53" s="7"/>
      <c r="F53" s="7"/>
      <c r="G53" s="7"/>
      <c r="H53" s="7"/>
      <c r="I53" s="6"/>
    </row>
    <row r="54" spans="1:9" x14ac:dyDescent="0.2">
      <c r="A54" s="8" t="s">
        <v>24</v>
      </c>
      <c r="B54" s="6"/>
      <c r="C54" s="6"/>
      <c r="D54" s="6"/>
      <c r="E54" s="6"/>
      <c r="F54" s="6"/>
      <c r="G54" s="6"/>
      <c r="H54" s="6"/>
      <c r="I54" s="6"/>
    </row>
    <row r="55" spans="1:9" x14ac:dyDescent="0.2">
      <c r="A55" s="4" t="s">
        <v>1</v>
      </c>
      <c r="B55" s="5"/>
    </row>
    <row r="56" spans="1:9" x14ac:dyDescent="0.2">
      <c r="A56" s="4" t="s">
        <v>25</v>
      </c>
    </row>
    <row r="57" spans="1:9" x14ac:dyDescent="0.2">
      <c r="A57" s="4"/>
    </row>
    <row r="58" spans="1:9" x14ac:dyDescent="0.2">
      <c r="A58" s="10" t="s">
        <v>2</v>
      </c>
      <c r="B58" s="52" t="s">
        <v>3</v>
      </c>
      <c r="C58" s="52" t="s">
        <v>4</v>
      </c>
      <c r="D58" s="52" t="s">
        <v>5</v>
      </c>
      <c r="E58" s="14" t="s">
        <v>6</v>
      </c>
      <c r="F58" s="52" t="s">
        <v>7</v>
      </c>
      <c r="G58" s="52" t="s">
        <v>9</v>
      </c>
      <c r="H58" s="52" t="s">
        <v>8</v>
      </c>
      <c r="I58" s="18" t="s">
        <v>20</v>
      </c>
    </row>
    <row r="59" spans="1:9" x14ac:dyDescent="0.2">
      <c r="A59" s="11" t="s">
        <v>10</v>
      </c>
      <c r="B59" s="53"/>
      <c r="C59" s="53"/>
      <c r="D59" s="53"/>
      <c r="E59" s="15" t="s">
        <v>11</v>
      </c>
      <c r="F59" s="53"/>
      <c r="G59" s="53"/>
      <c r="H59" s="53"/>
      <c r="I59" s="15" t="s">
        <v>12</v>
      </c>
    </row>
    <row r="61" spans="1:9" x14ac:dyDescent="0.2">
      <c r="A61" s="12">
        <v>2003</v>
      </c>
      <c r="B61" s="17"/>
      <c r="C61" s="17"/>
      <c r="D61" s="16"/>
      <c r="E61" s="16"/>
      <c r="F61" s="16"/>
      <c r="G61" s="16"/>
      <c r="H61" s="16"/>
      <c r="I61" s="17"/>
    </row>
    <row r="62" spans="1:9" x14ac:dyDescent="0.2">
      <c r="A62" s="12"/>
      <c r="B62" s="17"/>
      <c r="C62" s="17"/>
      <c r="D62" s="16"/>
      <c r="E62" s="16"/>
      <c r="F62" s="16"/>
      <c r="G62" s="16"/>
      <c r="H62" s="16"/>
      <c r="I62" s="17"/>
    </row>
    <row r="63" spans="1:9" x14ac:dyDescent="0.2">
      <c r="A63" s="13" t="s">
        <v>13</v>
      </c>
    </row>
    <row r="64" spans="1:9" x14ac:dyDescent="0.2">
      <c r="A64" s="13"/>
    </row>
    <row r="65" spans="1:9" x14ac:dyDescent="0.2">
      <c r="A65" s="13" t="s">
        <v>14</v>
      </c>
      <c r="B65" s="16">
        <f>SUM(C65:I65)</f>
        <v>5277</v>
      </c>
      <c r="C65" s="16">
        <f>756+22</f>
        <v>778</v>
      </c>
      <c r="D65" s="20">
        <v>0</v>
      </c>
      <c r="E65" s="16">
        <f>3795+138</f>
        <v>3933</v>
      </c>
      <c r="F65" s="20">
        <v>0</v>
      </c>
      <c r="G65" s="16">
        <v>199</v>
      </c>
      <c r="H65" s="16">
        <v>262</v>
      </c>
      <c r="I65" s="16">
        <v>105</v>
      </c>
    </row>
    <row r="66" spans="1:9" x14ac:dyDescent="0.2">
      <c r="A66" s="13" t="s">
        <v>15</v>
      </c>
      <c r="B66" s="16">
        <f>SUM(C66:I66)</f>
        <v>2812</v>
      </c>
      <c r="C66" s="16">
        <f>158+74</f>
        <v>232</v>
      </c>
      <c r="D66" s="20">
        <v>0</v>
      </c>
      <c r="E66" s="16">
        <f>1476+951</f>
        <v>2427</v>
      </c>
      <c r="F66" s="20">
        <v>0</v>
      </c>
      <c r="G66" s="16">
        <f>14+13</f>
        <v>27</v>
      </c>
      <c r="H66" s="16">
        <f>81+31</f>
        <v>112</v>
      </c>
      <c r="I66" s="16">
        <v>14</v>
      </c>
    </row>
    <row r="67" spans="1:9" x14ac:dyDescent="0.2">
      <c r="A67" s="13" t="s">
        <v>16</v>
      </c>
      <c r="B67" s="16">
        <f>SUM(C67:I67)</f>
        <v>17545</v>
      </c>
      <c r="C67" s="16">
        <f>2902+379</f>
        <v>3281</v>
      </c>
      <c r="D67" s="16">
        <f>797+108</f>
        <v>905</v>
      </c>
      <c r="E67" s="16">
        <f>7081+2269</f>
        <v>9350</v>
      </c>
      <c r="F67" s="16">
        <f>1385+252</f>
        <v>1637</v>
      </c>
      <c r="G67" s="16">
        <f>739+63</f>
        <v>802</v>
      </c>
      <c r="H67" s="16">
        <f>999+78</f>
        <v>1077</v>
      </c>
      <c r="I67" s="16">
        <f>461+32</f>
        <v>493</v>
      </c>
    </row>
    <row r="68" spans="1:9" x14ac:dyDescent="0.2">
      <c r="A68" s="13" t="s">
        <v>17</v>
      </c>
      <c r="B68" s="16">
        <f>SUM(C68:I68)</f>
        <v>93</v>
      </c>
      <c r="C68" s="16">
        <v>19</v>
      </c>
      <c r="D68" s="20">
        <v>0</v>
      </c>
      <c r="E68" s="16">
        <v>52</v>
      </c>
      <c r="F68" s="16">
        <v>0</v>
      </c>
      <c r="G68" s="20">
        <v>7</v>
      </c>
      <c r="H68" s="16">
        <v>10</v>
      </c>
      <c r="I68" s="16">
        <v>5</v>
      </c>
    </row>
    <row r="69" spans="1:9" x14ac:dyDescent="0.2">
      <c r="A69" s="13"/>
      <c r="B69" s="19"/>
      <c r="C69" s="19"/>
      <c r="D69" s="19"/>
      <c r="E69" s="19"/>
      <c r="F69" s="19"/>
      <c r="G69" s="16"/>
      <c r="H69" s="16"/>
      <c r="I69" s="16"/>
    </row>
    <row r="70" spans="1:9" x14ac:dyDescent="0.2">
      <c r="A70" s="13" t="s">
        <v>18</v>
      </c>
      <c r="B70" s="19"/>
      <c r="C70" s="19"/>
      <c r="D70" s="19"/>
      <c r="E70" s="19"/>
      <c r="F70" s="19"/>
      <c r="G70" s="16"/>
      <c r="H70" s="16"/>
      <c r="I70" s="16"/>
    </row>
    <row r="71" spans="1:9" x14ac:dyDescent="0.2">
      <c r="A71" s="13"/>
      <c r="B71" s="19"/>
      <c r="C71" s="19"/>
      <c r="D71" s="19"/>
      <c r="E71" s="19"/>
      <c r="F71" s="19"/>
      <c r="G71" s="16"/>
      <c r="H71" s="16"/>
      <c r="I71" s="16"/>
    </row>
    <row r="72" spans="1:9" x14ac:dyDescent="0.2">
      <c r="A72" s="13" t="s">
        <v>14</v>
      </c>
      <c r="B72" s="16">
        <f>SUM(C72:I72)</f>
        <v>19011</v>
      </c>
      <c r="C72" s="16">
        <f>2889+22</f>
        <v>2911</v>
      </c>
      <c r="D72" s="20">
        <v>0</v>
      </c>
      <c r="E72" s="16">
        <f>13792+50</f>
        <v>13842</v>
      </c>
      <c r="F72" s="20">
        <v>0</v>
      </c>
      <c r="G72" s="16">
        <v>1025</v>
      </c>
      <c r="H72" s="16">
        <v>938</v>
      </c>
      <c r="I72" s="16">
        <v>295</v>
      </c>
    </row>
    <row r="73" spans="1:9" x14ac:dyDescent="0.2">
      <c r="A73" s="13" t="s">
        <v>15</v>
      </c>
      <c r="B73" s="16">
        <f>SUM(C73:I73)</f>
        <v>4634</v>
      </c>
      <c r="C73" s="16">
        <f>211+88</f>
        <v>299</v>
      </c>
      <c r="D73" s="20">
        <v>0</v>
      </c>
      <c r="E73" s="16">
        <f>2552+1582</f>
        <v>4134</v>
      </c>
      <c r="F73" s="20">
        <v>0</v>
      </c>
      <c r="G73" s="16">
        <f>74+16</f>
        <v>90</v>
      </c>
      <c r="H73" s="16">
        <f>65+36</f>
        <v>101</v>
      </c>
      <c r="I73" s="16">
        <v>10</v>
      </c>
    </row>
    <row r="74" spans="1:9" x14ac:dyDescent="0.2">
      <c r="A74" s="13" t="s">
        <v>16</v>
      </c>
      <c r="B74" s="16">
        <f>SUM(C74:I74)</f>
        <v>78</v>
      </c>
      <c r="C74" s="20">
        <v>0</v>
      </c>
      <c r="D74" s="20">
        <v>0</v>
      </c>
      <c r="E74" s="20">
        <v>0</v>
      </c>
      <c r="F74" s="16" t="s">
        <v>21</v>
      </c>
      <c r="G74" s="20">
        <v>78</v>
      </c>
      <c r="H74" s="20">
        <v>0</v>
      </c>
      <c r="I74" s="16" t="s">
        <v>21</v>
      </c>
    </row>
    <row r="75" spans="1:9" x14ac:dyDescent="0.2">
      <c r="A75" s="13" t="s">
        <v>17</v>
      </c>
      <c r="B75" s="16">
        <f>SUM(C75:I75)</f>
        <v>110</v>
      </c>
      <c r="C75" s="16">
        <v>21</v>
      </c>
      <c r="D75" s="20">
        <v>0</v>
      </c>
      <c r="E75" s="16">
        <v>71</v>
      </c>
      <c r="F75" s="16">
        <v>0</v>
      </c>
      <c r="G75" s="20">
        <v>7</v>
      </c>
      <c r="H75" s="16">
        <v>1</v>
      </c>
      <c r="I75" s="16">
        <v>10</v>
      </c>
    </row>
    <row r="76" spans="1:9" x14ac:dyDescent="0.2">
      <c r="A76" s="13"/>
      <c r="B76" s="16"/>
      <c r="C76" s="16"/>
      <c r="D76" s="16"/>
      <c r="E76" s="16"/>
      <c r="F76" s="16"/>
      <c r="G76" s="16"/>
      <c r="H76" s="16"/>
      <c r="I76" s="16"/>
    </row>
    <row r="77" spans="1:9" x14ac:dyDescent="0.2">
      <c r="A77" s="13" t="s">
        <v>19</v>
      </c>
      <c r="B77" s="16"/>
      <c r="C77" s="16"/>
      <c r="D77" s="16"/>
      <c r="E77" s="16"/>
      <c r="F77" s="16"/>
      <c r="G77" s="16"/>
      <c r="H77" s="16"/>
      <c r="I77" s="16"/>
    </row>
    <row r="78" spans="1:9" x14ac:dyDescent="0.2">
      <c r="A78" s="13"/>
      <c r="B78" s="16"/>
      <c r="C78" s="16"/>
      <c r="D78" s="16"/>
      <c r="E78" s="16"/>
      <c r="F78" s="16"/>
      <c r="G78" s="16"/>
      <c r="H78" s="16"/>
      <c r="I78" s="16"/>
    </row>
    <row r="79" spans="1:9" x14ac:dyDescent="0.2">
      <c r="A79" s="13" t="s">
        <v>14</v>
      </c>
      <c r="B79" s="16">
        <f>SUM(C79:I79)</f>
        <v>852</v>
      </c>
      <c r="C79" s="16">
        <f>127+1</f>
        <v>128</v>
      </c>
      <c r="D79" s="20">
        <v>0</v>
      </c>
      <c r="E79" s="16">
        <f>687</f>
        <v>687</v>
      </c>
      <c r="F79" s="20">
        <v>0</v>
      </c>
      <c r="G79" s="16">
        <v>11</v>
      </c>
      <c r="H79" s="16">
        <v>25</v>
      </c>
      <c r="I79" s="16">
        <v>1</v>
      </c>
    </row>
    <row r="80" spans="1:9" x14ac:dyDescent="0.2">
      <c r="A80" s="13" t="s">
        <v>15</v>
      </c>
      <c r="B80" s="16">
        <f>SUM(C80:I80)</f>
        <v>78</v>
      </c>
      <c r="C80" s="16">
        <f>4+2</f>
        <v>6</v>
      </c>
      <c r="D80" s="20">
        <v>0</v>
      </c>
      <c r="E80" s="16">
        <f>45+25</f>
        <v>70</v>
      </c>
      <c r="F80" s="20">
        <v>0</v>
      </c>
      <c r="G80" s="20">
        <v>0</v>
      </c>
      <c r="H80" s="16">
        <v>2</v>
      </c>
      <c r="I80" s="20">
        <v>0</v>
      </c>
    </row>
    <row r="81" spans="1:9" x14ac:dyDescent="0.2">
      <c r="A81" s="13" t="s">
        <v>16</v>
      </c>
      <c r="B81" s="16">
        <f>SUM(C81:I81)</f>
        <v>0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16">
        <v>0</v>
      </c>
      <c r="I81" s="20">
        <v>0</v>
      </c>
    </row>
    <row r="82" spans="1:9" x14ac:dyDescent="0.2">
      <c r="A82" s="13" t="s">
        <v>17</v>
      </c>
      <c r="B82" s="16" t="s">
        <v>22</v>
      </c>
      <c r="C82" s="24">
        <v>0</v>
      </c>
      <c r="D82" s="24">
        <v>0</v>
      </c>
      <c r="E82" s="24">
        <v>0</v>
      </c>
      <c r="F82" s="24">
        <v>0</v>
      </c>
      <c r="G82" s="24" t="s">
        <v>22</v>
      </c>
      <c r="H82" s="16">
        <v>0</v>
      </c>
      <c r="I82" s="24">
        <v>0</v>
      </c>
    </row>
    <row r="83" spans="1:9" ht="15" customHeight="1" x14ac:dyDescent="0.2">
      <c r="B83" s="25"/>
      <c r="C83" s="25"/>
      <c r="D83" s="25"/>
      <c r="E83" s="25"/>
      <c r="F83" s="26"/>
      <c r="G83" s="26"/>
      <c r="H83" s="26"/>
      <c r="I83" s="27"/>
    </row>
    <row r="84" spans="1:9" x14ac:dyDescent="0.2">
      <c r="A84" s="12">
        <v>2004</v>
      </c>
      <c r="B84" s="17"/>
      <c r="C84" s="17"/>
      <c r="D84" s="16"/>
      <c r="E84" s="16"/>
      <c r="F84" s="16"/>
      <c r="G84" s="16"/>
      <c r="H84" s="16"/>
      <c r="I84" s="17"/>
    </row>
    <row r="85" spans="1:9" x14ac:dyDescent="0.2">
      <c r="A85" s="12"/>
      <c r="B85" s="17"/>
      <c r="C85" s="17"/>
      <c r="D85" s="16"/>
      <c r="E85" s="16"/>
      <c r="F85" s="16"/>
      <c r="G85" s="16"/>
      <c r="H85" s="16"/>
      <c r="I85" s="17"/>
    </row>
    <row r="86" spans="1:9" x14ac:dyDescent="0.2">
      <c r="A86" s="13" t="s">
        <v>13</v>
      </c>
      <c r="B86" s="17"/>
      <c r="C86" s="17"/>
      <c r="D86" s="16"/>
      <c r="E86" s="16"/>
      <c r="F86" s="16"/>
      <c r="G86" s="16"/>
      <c r="H86" s="16"/>
      <c r="I86" s="17"/>
    </row>
    <row r="87" spans="1:9" x14ac:dyDescent="0.2">
      <c r="A87" s="13"/>
      <c r="B87" s="16"/>
      <c r="C87" s="16"/>
      <c r="D87" s="16"/>
      <c r="E87" s="16"/>
      <c r="F87" s="16"/>
      <c r="G87" s="16"/>
      <c r="H87" s="16"/>
      <c r="I87" s="16"/>
    </row>
    <row r="88" spans="1:9" x14ac:dyDescent="0.2">
      <c r="A88" s="13" t="s">
        <v>14</v>
      </c>
      <c r="B88" s="16">
        <v>4302</v>
      </c>
      <c r="C88" s="16">
        <v>958</v>
      </c>
      <c r="D88" s="20">
        <v>0</v>
      </c>
      <c r="E88" s="16">
        <v>2864</v>
      </c>
      <c r="F88" s="20">
        <v>0</v>
      </c>
      <c r="G88" s="16">
        <v>118</v>
      </c>
      <c r="H88" s="16">
        <v>251</v>
      </c>
      <c r="I88" s="16">
        <v>111</v>
      </c>
    </row>
    <row r="89" spans="1:9" x14ac:dyDescent="0.2">
      <c r="A89" s="13" t="s">
        <v>15</v>
      </c>
      <c r="B89" s="16">
        <v>3307</v>
      </c>
      <c r="C89" s="16">
        <v>403</v>
      </c>
      <c r="D89" s="20">
        <v>0</v>
      </c>
      <c r="E89" s="16">
        <v>2770</v>
      </c>
      <c r="F89" s="20">
        <v>0</v>
      </c>
      <c r="G89" s="16">
        <v>38</v>
      </c>
      <c r="H89" s="16">
        <v>88</v>
      </c>
      <c r="I89" s="16">
        <v>8</v>
      </c>
    </row>
    <row r="90" spans="1:9" x14ac:dyDescent="0.2">
      <c r="A90" s="13" t="s">
        <v>16</v>
      </c>
      <c r="B90" s="16">
        <v>18604</v>
      </c>
      <c r="C90" s="16">
        <v>3680</v>
      </c>
      <c r="D90" s="16">
        <v>725</v>
      </c>
      <c r="E90" s="16">
        <v>7725</v>
      </c>
      <c r="F90" s="16">
        <v>4523</v>
      </c>
      <c r="G90" s="16">
        <v>778</v>
      </c>
      <c r="H90" s="16">
        <v>817</v>
      </c>
      <c r="I90" s="16">
        <v>361</v>
      </c>
    </row>
    <row r="91" spans="1:9" x14ac:dyDescent="0.2">
      <c r="A91" s="13" t="s">
        <v>17</v>
      </c>
      <c r="B91" s="16">
        <v>92</v>
      </c>
      <c r="C91" s="16">
        <v>18</v>
      </c>
      <c r="D91" s="20">
        <v>0</v>
      </c>
      <c r="E91" s="16">
        <v>54</v>
      </c>
      <c r="F91" s="16">
        <v>0</v>
      </c>
      <c r="G91" s="20">
        <v>1</v>
      </c>
      <c r="H91" s="16">
        <v>7</v>
      </c>
      <c r="I91" s="16">
        <v>12</v>
      </c>
    </row>
    <row r="92" spans="1:9" x14ac:dyDescent="0.2">
      <c r="A92" s="13"/>
      <c r="B92" s="19"/>
      <c r="C92" s="19"/>
      <c r="D92" s="19"/>
      <c r="E92" s="19"/>
      <c r="F92" s="19"/>
      <c r="G92" s="16"/>
      <c r="H92" s="16"/>
      <c r="I92" s="16"/>
    </row>
    <row r="93" spans="1:9" x14ac:dyDescent="0.2">
      <c r="A93" s="13" t="s">
        <v>18</v>
      </c>
      <c r="B93" s="19"/>
      <c r="C93" s="19"/>
      <c r="D93" s="19"/>
      <c r="E93" s="19"/>
      <c r="F93" s="19"/>
      <c r="G93" s="16"/>
      <c r="H93" s="16"/>
      <c r="I93" s="16"/>
    </row>
    <row r="94" spans="1:9" x14ac:dyDescent="0.2">
      <c r="A94" s="13"/>
      <c r="B94" s="19"/>
      <c r="C94" s="19"/>
      <c r="D94" s="19"/>
      <c r="E94" s="19"/>
      <c r="F94" s="19"/>
      <c r="G94" s="16"/>
      <c r="H94" s="16"/>
      <c r="I94" s="16"/>
    </row>
    <row r="95" spans="1:9" x14ac:dyDescent="0.2">
      <c r="A95" s="13" t="s">
        <v>14</v>
      </c>
      <c r="B95" s="16">
        <v>16715</v>
      </c>
      <c r="C95" s="16">
        <v>2725</v>
      </c>
      <c r="D95" s="20">
        <v>0</v>
      </c>
      <c r="E95" s="16">
        <v>12351</v>
      </c>
      <c r="F95" s="20">
        <v>0</v>
      </c>
      <c r="G95" s="16">
        <v>653</v>
      </c>
      <c r="H95" s="16">
        <v>827</v>
      </c>
      <c r="I95" s="16">
        <v>159</v>
      </c>
    </row>
    <row r="96" spans="1:9" x14ac:dyDescent="0.2">
      <c r="A96" s="13" t="s">
        <v>15</v>
      </c>
      <c r="B96" s="16">
        <v>4271</v>
      </c>
      <c r="C96" s="16">
        <v>258</v>
      </c>
      <c r="D96" s="20">
        <v>0</v>
      </c>
      <c r="E96" s="16">
        <v>3878</v>
      </c>
      <c r="F96" s="20">
        <v>0</v>
      </c>
      <c r="G96" s="16">
        <v>39</v>
      </c>
      <c r="H96" s="16">
        <v>89</v>
      </c>
      <c r="I96" s="16">
        <v>7</v>
      </c>
    </row>
    <row r="97" spans="1:9" x14ac:dyDescent="0.2">
      <c r="A97" s="13" t="s">
        <v>16</v>
      </c>
      <c r="B97" s="16">
        <v>516</v>
      </c>
      <c r="C97" s="20">
        <v>0</v>
      </c>
      <c r="D97" s="20">
        <v>0</v>
      </c>
      <c r="E97" s="20">
        <v>516</v>
      </c>
      <c r="F97" s="16" t="s">
        <v>21</v>
      </c>
      <c r="G97" s="20">
        <v>0</v>
      </c>
      <c r="H97" s="20">
        <v>0</v>
      </c>
      <c r="I97" s="16" t="s">
        <v>21</v>
      </c>
    </row>
    <row r="98" spans="1:9" x14ac:dyDescent="0.2">
      <c r="A98" s="13" t="s">
        <v>17</v>
      </c>
      <c r="B98" s="16">
        <v>78</v>
      </c>
      <c r="C98" s="16">
        <v>22</v>
      </c>
      <c r="D98" s="20">
        <v>0</v>
      </c>
      <c r="E98" s="16">
        <v>45</v>
      </c>
      <c r="F98" s="16">
        <v>0</v>
      </c>
      <c r="G98" s="20">
        <v>5</v>
      </c>
      <c r="H98" s="16">
        <v>2</v>
      </c>
      <c r="I98" s="16">
        <v>4</v>
      </c>
    </row>
    <row r="99" spans="1:9" x14ac:dyDescent="0.2">
      <c r="A99" s="13"/>
      <c r="B99" s="16"/>
      <c r="C99" s="16"/>
      <c r="D99" s="16"/>
      <c r="E99" s="16"/>
      <c r="F99" s="16"/>
      <c r="G99" s="16"/>
      <c r="H99" s="16"/>
      <c r="I99" s="16"/>
    </row>
    <row r="100" spans="1:9" x14ac:dyDescent="0.2">
      <c r="A100" s="13" t="s">
        <v>19</v>
      </c>
      <c r="B100" s="16"/>
      <c r="C100" s="16"/>
      <c r="D100" s="16"/>
      <c r="E100" s="16"/>
      <c r="F100" s="16"/>
      <c r="G100" s="16"/>
      <c r="H100" s="16"/>
      <c r="I100" s="16"/>
    </row>
    <row r="101" spans="1:9" x14ac:dyDescent="0.2">
      <c r="A101" s="13"/>
      <c r="B101" s="16"/>
      <c r="C101" s="16"/>
      <c r="D101" s="16"/>
      <c r="E101" s="16"/>
      <c r="F101" s="16"/>
      <c r="G101" s="16"/>
      <c r="H101" s="16"/>
      <c r="I101" s="16"/>
    </row>
    <row r="102" spans="1:9" x14ac:dyDescent="0.2">
      <c r="A102" s="13" t="s">
        <v>14</v>
      </c>
      <c r="B102" s="16">
        <v>938</v>
      </c>
      <c r="C102" s="16">
        <v>118</v>
      </c>
      <c r="D102" s="20">
        <v>0</v>
      </c>
      <c r="E102" s="16">
        <v>754</v>
      </c>
      <c r="F102" s="20">
        <v>0</v>
      </c>
      <c r="G102" s="16">
        <v>39</v>
      </c>
      <c r="H102" s="16">
        <v>27</v>
      </c>
      <c r="I102" s="16">
        <v>0</v>
      </c>
    </row>
    <row r="103" spans="1:9" x14ac:dyDescent="0.2">
      <c r="A103" s="13" t="s">
        <v>15</v>
      </c>
      <c r="B103" s="16">
        <v>132</v>
      </c>
      <c r="C103" s="16">
        <v>9</v>
      </c>
      <c r="D103" s="20">
        <v>0</v>
      </c>
      <c r="E103" s="16">
        <v>121</v>
      </c>
      <c r="F103" s="20">
        <v>0</v>
      </c>
      <c r="G103" s="20">
        <v>2</v>
      </c>
      <c r="H103" s="16">
        <v>0</v>
      </c>
      <c r="I103" s="20">
        <v>0</v>
      </c>
    </row>
    <row r="104" spans="1:9" x14ac:dyDescent="0.2">
      <c r="A104" s="13" t="s">
        <v>16</v>
      </c>
      <c r="B104" s="16">
        <v>0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16">
        <v>0</v>
      </c>
      <c r="I104" s="20">
        <v>0</v>
      </c>
    </row>
    <row r="105" spans="1:9" x14ac:dyDescent="0.2">
      <c r="A105" s="21" t="s">
        <v>17</v>
      </c>
      <c r="B105" s="22">
        <v>1</v>
      </c>
      <c r="C105" s="23">
        <v>0</v>
      </c>
      <c r="D105" s="23">
        <v>0</v>
      </c>
      <c r="E105" s="23">
        <v>0</v>
      </c>
      <c r="F105" s="23">
        <v>0</v>
      </c>
      <c r="G105" s="23">
        <v>1</v>
      </c>
      <c r="H105" s="22">
        <v>0</v>
      </c>
      <c r="I105" s="23">
        <v>0</v>
      </c>
    </row>
    <row r="107" spans="1:9" x14ac:dyDescent="0.2">
      <c r="A107" s="9"/>
      <c r="B107" s="6"/>
      <c r="C107" s="6"/>
      <c r="D107" s="7"/>
      <c r="E107" s="7"/>
    </row>
    <row r="110" spans="1:9" x14ac:dyDescent="0.2">
      <c r="A110" s="8" t="s">
        <v>24</v>
      </c>
      <c r="B110" s="6"/>
      <c r="C110" s="6"/>
      <c r="D110" s="6"/>
      <c r="E110" s="6"/>
      <c r="F110" s="6"/>
      <c r="G110" s="6"/>
      <c r="H110" s="6"/>
      <c r="I110" s="6"/>
    </row>
    <row r="111" spans="1:9" x14ac:dyDescent="0.2">
      <c r="A111" s="4"/>
      <c r="B111" s="5"/>
    </row>
    <row r="112" spans="1:9" x14ac:dyDescent="0.2">
      <c r="A112" s="4"/>
    </row>
    <row r="113" spans="1:10" x14ac:dyDescent="0.2">
      <c r="A113" s="4"/>
    </row>
    <row r="114" spans="1:10" x14ac:dyDescent="0.2">
      <c r="A114" s="10" t="s">
        <v>2</v>
      </c>
      <c r="B114" s="52" t="s">
        <v>3</v>
      </c>
      <c r="C114" s="52" t="s">
        <v>4</v>
      </c>
      <c r="D114" s="52" t="s">
        <v>5</v>
      </c>
      <c r="E114" s="14" t="s">
        <v>6</v>
      </c>
      <c r="F114" s="52" t="s">
        <v>7</v>
      </c>
      <c r="G114" s="52" t="s">
        <v>9</v>
      </c>
      <c r="H114" s="52" t="s">
        <v>8</v>
      </c>
      <c r="I114" s="18" t="s">
        <v>20</v>
      </c>
    </row>
    <row r="115" spans="1:10" x14ac:dyDescent="0.2">
      <c r="A115" s="11" t="s">
        <v>10</v>
      </c>
      <c r="B115" s="53"/>
      <c r="C115" s="53"/>
      <c r="D115" s="53"/>
      <c r="E115" s="15" t="s">
        <v>11</v>
      </c>
      <c r="F115" s="53"/>
      <c r="G115" s="53"/>
      <c r="H115" s="53"/>
      <c r="I115" s="15" t="s">
        <v>12</v>
      </c>
    </row>
    <row r="118" spans="1:10" x14ac:dyDescent="0.2">
      <c r="A118" s="12">
        <v>2005</v>
      </c>
      <c r="B118" s="17"/>
      <c r="C118" s="17"/>
      <c r="D118" s="16"/>
      <c r="E118" s="16"/>
      <c r="F118" s="16"/>
      <c r="G118" s="16"/>
      <c r="H118" s="16"/>
      <c r="I118" s="17"/>
    </row>
    <row r="119" spans="1:10" x14ac:dyDescent="0.2">
      <c r="A119" s="12"/>
      <c r="B119" s="17"/>
      <c r="C119" s="17"/>
      <c r="D119" s="16"/>
      <c r="E119" s="16"/>
      <c r="F119" s="16"/>
      <c r="G119" s="16"/>
      <c r="H119" s="16"/>
      <c r="I119" s="17"/>
    </row>
    <row r="120" spans="1:10" x14ac:dyDescent="0.2">
      <c r="A120" s="13" t="s">
        <v>13</v>
      </c>
      <c r="B120" s="17"/>
      <c r="C120" s="17"/>
      <c r="D120" s="16"/>
      <c r="E120" s="16"/>
      <c r="F120" s="16"/>
      <c r="G120" s="16"/>
      <c r="H120" s="16"/>
      <c r="I120" s="17"/>
    </row>
    <row r="121" spans="1:10" x14ac:dyDescent="0.2">
      <c r="A121" s="13"/>
      <c r="B121" s="16"/>
      <c r="C121" s="16"/>
      <c r="D121" s="16"/>
      <c r="E121" s="16"/>
      <c r="F121" s="16"/>
      <c r="G121" s="16"/>
      <c r="H121" s="16"/>
      <c r="I121" s="16"/>
    </row>
    <row r="122" spans="1:10" x14ac:dyDescent="0.2">
      <c r="A122" s="13" t="s">
        <v>14</v>
      </c>
      <c r="B122" s="40">
        <f>SUM(C122:I122)</f>
        <v>4020</v>
      </c>
      <c r="C122" s="40">
        <f>Sheet1!B11</f>
        <v>940</v>
      </c>
      <c r="D122" s="16">
        <v>0</v>
      </c>
      <c r="E122" s="40">
        <f>Sheet1!B6</f>
        <v>2656</v>
      </c>
      <c r="F122" s="16">
        <f>Sheet1!B26</f>
        <v>0</v>
      </c>
      <c r="G122" s="40">
        <f>Sheet1!B21</f>
        <v>314</v>
      </c>
      <c r="H122" s="40">
        <f>Sheet1!B31</f>
        <v>80</v>
      </c>
      <c r="I122" s="40">
        <f>Sheet1!B16</f>
        <v>30</v>
      </c>
      <c r="J122" s="25"/>
    </row>
    <row r="123" spans="1:10" x14ac:dyDescent="0.2">
      <c r="A123" s="13" t="s">
        <v>15</v>
      </c>
      <c r="B123" s="40">
        <f>SUM(C123:I123)</f>
        <v>2996</v>
      </c>
      <c r="C123" s="40">
        <f>Sheet1!F11</f>
        <v>377</v>
      </c>
      <c r="D123" s="16">
        <v>0</v>
      </c>
      <c r="E123" s="40">
        <f>Sheet1!F6</f>
        <v>2486</v>
      </c>
      <c r="F123" s="16">
        <f>Sheet1!F26</f>
        <v>0</v>
      </c>
      <c r="G123" s="40">
        <f>Sheet1!F21</f>
        <v>73</v>
      </c>
      <c r="H123" s="40">
        <f>Sheet1!F31</f>
        <v>54</v>
      </c>
      <c r="I123" s="40">
        <f>Sheet1!F16</f>
        <v>6</v>
      </c>
      <c r="J123" s="25"/>
    </row>
    <row r="124" spans="1:10" x14ac:dyDescent="0.2">
      <c r="A124" s="13" t="s">
        <v>16</v>
      </c>
      <c r="B124" s="40">
        <f>SUM(C124:I124)</f>
        <v>23146</v>
      </c>
      <c r="C124" s="40">
        <f>Sheet1!J11</f>
        <v>3632</v>
      </c>
      <c r="D124" s="16">
        <v>0</v>
      </c>
      <c r="E124" s="40">
        <f>Sheet1!J6</f>
        <v>12699</v>
      </c>
      <c r="F124" s="40">
        <f>Sheet1!J26</f>
        <v>5567</v>
      </c>
      <c r="G124" s="40">
        <f>Sheet1!J21</f>
        <v>1248</v>
      </c>
      <c r="H124" s="40">
        <f>Sheet1!J31</f>
        <v>0</v>
      </c>
      <c r="I124" s="40">
        <f>Sheet1!J16</f>
        <v>0</v>
      </c>
      <c r="J124" s="25"/>
    </row>
    <row r="125" spans="1:10" x14ac:dyDescent="0.2">
      <c r="A125" s="13" t="s">
        <v>17</v>
      </c>
      <c r="B125" s="40">
        <f>SUM(C125:I125)</f>
        <v>95</v>
      </c>
      <c r="C125" s="40">
        <f>Sheet1!N11</f>
        <v>33</v>
      </c>
      <c r="D125" s="16">
        <v>0</v>
      </c>
      <c r="E125" s="40">
        <f>Sheet1!N6</f>
        <v>45</v>
      </c>
      <c r="F125" s="16">
        <f>Sheet1!N26</f>
        <v>0</v>
      </c>
      <c r="G125" s="40">
        <f>Sheet1!N21</f>
        <v>8</v>
      </c>
      <c r="H125" s="40">
        <f>Sheet1!N31</f>
        <v>6</v>
      </c>
      <c r="I125" s="40">
        <f>Sheet1!N16</f>
        <v>3</v>
      </c>
      <c r="J125" s="25"/>
    </row>
    <row r="126" spans="1:10" x14ac:dyDescent="0.2">
      <c r="A126" s="13"/>
      <c r="B126" s="16"/>
      <c r="C126" s="16"/>
      <c r="D126" s="16"/>
      <c r="E126" s="16"/>
      <c r="F126" s="16"/>
      <c r="G126" s="16"/>
      <c r="H126" s="16"/>
      <c r="I126" s="16"/>
      <c r="J126" s="25"/>
    </row>
    <row r="127" spans="1:10" x14ac:dyDescent="0.2">
      <c r="A127" s="13" t="s">
        <v>18</v>
      </c>
      <c r="B127" s="16"/>
      <c r="C127" s="16"/>
      <c r="D127" s="16"/>
      <c r="E127" s="16"/>
      <c r="F127" s="16"/>
      <c r="G127" s="16"/>
      <c r="H127" s="16"/>
      <c r="I127" s="16"/>
      <c r="J127" s="25"/>
    </row>
    <row r="128" spans="1:10" x14ac:dyDescent="0.2">
      <c r="A128" s="13"/>
      <c r="B128" s="16"/>
      <c r="C128" s="16"/>
      <c r="D128" s="16"/>
      <c r="E128" s="16"/>
      <c r="F128" s="16"/>
      <c r="G128" s="16"/>
      <c r="H128" s="16"/>
      <c r="I128" s="16"/>
      <c r="J128" s="25"/>
    </row>
    <row r="129" spans="1:10" x14ac:dyDescent="0.2">
      <c r="A129" s="13" t="s">
        <v>14</v>
      </c>
      <c r="B129" s="40">
        <f>SUM(C129:I129)</f>
        <v>20798</v>
      </c>
      <c r="C129" s="40">
        <f>3800+97</f>
        <v>3897</v>
      </c>
      <c r="D129" s="16"/>
      <c r="E129" s="40">
        <f>14640+32</f>
        <v>14672</v>
      </c>
      <c r="F129" s="16">
        <v>0</v>
      </c>
      <c r="G129" s="40">
        <f>946+1</f>
        <v>947</v>
      </c>
      <c r="H129" s="40">
        <f>939+7</f>
        <v>946</v>
      </c>
      <c r="I129" s="40">
        <v>336</v>
      </c>
      <c r="J129" s="25"/>
    </row>
    <row r="130" spans="1:10" x14ac:dyDescent="0.2">
      <c r="A130" s="13" t="s">
        <v>15</v>
      </c>
      <c r="B130" s="40">
        <f>SUM(C130:I130)</f>
        <v>5344</v>
      </c>
      <c r="C130" s="40">
        <f>310+124</f>
        <v>434</v>
      </c>
      <c r="D130" s="16"/>
      <c r="E130" s="40">
        <f>2845+1908</f>
        <v>4753</v>
      </c>
      <c r="F130" s="16">
        <v>0</v>
      </c>
      <c r="G130" s="40">
        <f>37+27</f>
        <v>64</v>
      </c>
      <c r="H130" s="40">
        <f>62+22</f>
        <v>84</v>
      </c>
      <c r="I130" s="40">
        <v>9</v>
      </c>
      <c r="J130" s="25"/>
    </row>
    <row r="131" spans="1:10" x14ac:dyDescent="0.2">
      <c r="A131" s="13" t="s">
        <v>16</v>
      </c>
      <c r="B131" s="40">
        <f>SUM(C131:I131)</f>
        <v>74</v>
      </c>
      <c r="C131" s="40">
        <v>0</v>
      </c>
      <c r="D131" s="16"/>
      <c r="E131" s="40">
        <v>0</v>
      </c>
      <c r="F131" s="16">
        <v>0</v>
      </c>
      <c r="G131" s="40">
        <v>0</v>
      </c>
      <c r="H131" s="40">
        <f>72+2</f>
        <v>74</v>
      </c>
      <c r="I131" s="40">
        <v>0</v>
      </c>
      <c r="J131" s="25"/>
    </row>
    <row r="132" spans="1:10" x14ac:dyDescent="0.2">
      <c r="A132" s="13" t="s">
        <v>17</v>
      </c>
      <c r="B132" s="40">
        <f>SUM(C132:I132)</f>
        <v>98</v>
      </c>
      <c r="C132" s="40">
        <v>38</v>
      </c>
      <c r="D132" s="16"/>
      <c r="E132" s="40">
        <v>53</v>
      </c>
      <c r="F132" s="16">
        <v>0</v>
      </c>
      <c r="G132" s="40">
        <v>2</v>
      </c>
      <c r="H132" s="40">
        <v>0</v>
      </c>
      <c r="I132" s="40">
        <v>5</v>
      </c>
      <c r="J132" s="25"/>
    </row>
    <row r="133" spans="1:10" x14ac:dyDescent="0.2">
      <c r="A133" s="13"/>
      <c r="B133" s="16"/>
      <c r="C133" s="16"/>
      <c r="D133" s="16"/>
      <c r="E133" s="16"/>
      <c r="F133" s="16"/>
      <c r="G133" s="16"/>
      <c r="H133" s="16"/>
      <c r="I133" s="16"/>
      <c r="J133" s="25"/>
    </row>
    <row r="134" spans="1:10" x14ac:dyDescent="0.2">
      <c r="A134" s="13" t="s">
        <v>19</v>
      </c>
      <c r="B134" s="16"/>
      <c r="C134" s="16"/>
      <c r="D134" s="16"/>
      <c r="E134" s="16"/>
      <c r="F134" s="16"/>
      <c r="G134" s="16"/>
      <c r="H134" s="16"/>
      <c r="I134" s="16"/>
      <c r="J134" s="25"/>
    </row>
    <row r="135" spans="1:10" x14ac:dyDescent="0.2">
      <c r="A135" s="13"/>
      <c r="B135" s="16"/>
      <c r="C135" s="16"/>
      <c r="D135" s="16"/>
      <c r="E135" s="40"/>
      <c r="F135" s="16"/>
      <c r="G135" s="16"/>
      <c r="H135" s="16"/>
      <c r="I135" s="16"/>
      <c r="J135" s="25"/>
    </row>
    <row r="136" spans="1:10" x14ac:dyDescent="0.2">
      <c r="A136" s="13" t="s">
        <v>14</v>
      </c>
      <c r="B136" s="40">
        <f>SUM(C136:I136)</f>
        <v>869</v>
      </c>
      <c r="C136" s="40">
        <f>101+5</f>
        <v>106</v>
      </c>
      <c r="D136" s="16"/>
      <c r="E136" s="40">
        <f>690+20</f>
        <v>710</v>
      </c>
      <c r="F136" s="16">
        <v>0</v>
      </c>
      <c r="G136" s="40">
        <v>30</v>
      </c>
      <c r="H136" s="40">
        <f>20+3</f>
        <v>23</v>
      </c>
      <c r="I136" s="40">
        <v>0</v>
      </c>
      <c r="J136" s="25"/>
    </row>
    <row r="137" spans="1:10" x14ac:dyDescent="0.2">
      <c r="A137" s="13" t="s">
        <v>15</v>
      </c>
      <c r="B137" s="40">
        <f>SUM(C137:I137)</f>
        <v>110</v>
      </c>
      <c r="C137" s="40">
        <v>1</v>
      </c>
      <c r="D137" s="16"/>
      <c r="E137" s="40">
        <f>75+31</f>
        <v>106</v>
      </c>
      <c r="F137" s="16">
        <v>0</v>
      </c>
      <c r="G137" s="40">
        <v>1</v>
      </c>
      <c r="H137" s="40">
        <v>2</v>
      </c>
      <c r="I137" s="16">
        <v>0</v>
      </c>
      <c r="J137" s="25"/>
    </row>
    <row r="138" spans="1:10" x14ac:dyDescent="0.2">
      <c r="A138" s="13" t="s">
        <v>16</v>
      </c>
      <c r="B138" s="40">
        <f>SUM(C138:I138)</f>
        <v>0</v>
      </c>
      <c r="C138" s="16"/>
      <c r="D138" s="16"/>
      <c r="E138" s="40">
        <v>0</v>
      </c>
      <c r="F138" s="16">
        <v>0</v>
      </c>
      <c r="G138" s="40">
        <v>0</v>
      </c>
      <c r="H138" s="40">
        <v>0</v>
      </c>
      <c r="I138" s="16">
        <v>0</v>
      </c>
      <c r="J138" s="25"/>
    </row>
    <row r="139" spans="1:10" x14ac:dyDescent="0.2">
      <c r="A139" s="21" t="s">
        <v>17</v>
      </c>
      <c r="B139" s="41">
        <f>SUM(C139:I139)</f>
        <v>0</v>
      </c>
      <c r="C139" s="22"/>
      <c r="D139" s="22"/>
      <c r="E139" s="41">
        <v>0</v>
      </c>
      <c r="F139" s="22">
        <v>0</v>
      </c>
      <c r="G139" s="41">
        <v>0</v>
      </c>
      <c r="H139" s="41">
        <v>0</v>
      </c>
      <c r="I139" s="22">
        <v>0</v>
      </c>
      <c r="J139" s="25"/>
    </row>
  </sheetData>
  <mergeCells count="18">
    <mergeCell ref="G58:G59"/>
    <mergeCell ref="H58:H59"/>
    <mergeCell ref="B58:B59"/>
    <mergeCell ref="C58:C59"/>
    <mergeCell ref="D58:D59"/>
    <mergeCell ref="F58:F59"/>
    <mergeCell ref="G5:G6"/>
    <mergeCell ref="H5:H6"/>
    <mergeCell ref="B5:B6"/>
    <mergeCell ref="C5:C6"/>
    <mergeCell ref="D5:D6"/>
    <mergeCell ref="F5:F6"/>
    <mergeCell ref="G114:G115"/>
    <mergeCell ref="H114:H115"/>
    <mergeCell ref="B114:B115"/>
    <mergeCell ref="C114:C115"/>
    <mergeCell ref="D114:D115"/>
    <mergeCell ref="F114:F115"/>
  </mergeCells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&amp;C13-&amp;P+10
</oddFooter>
  </headerFooter>
  <rowBreaks count="2" manualBreakCount="2">
    <brk id="53" max="8" man="1"/>
    <brk id="10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H1" workbookViewId="0">
      <selection activeCell="N36" sqref="N36:P36"/>
    </sheetView>
  </sheetViews>
  <sheetFormatPr defaultRowHeight="12.75" x14ac:dyDescent="0.2"/>
  <cols>
    <col min="1" max="1" width="16" customWidth="1"/>
    <col min="17" max="17" width="15.7109375" customWidth="1"/>
  </cols>
  <sheetData>
    <row r="1" spans="1:20" s="28" customFormat="1" x14ac:dyDescent="0.2">
      <c r="A1" s="42"/>
      <c r="B1" s="54" t="s">
        <v>26</v>
      </c>
      <c r="C1" s="54"/>
      <c r="D1" s="54"/>
      <c r="E1" s="44"/>
      <c r="F1" s="54" t="s">
        <v>27</v>
      </c>
      <c r="G1" s="54"/>
      <c r="H1" s="54"/>
      <c r="I1" s="44"/>
      <c r="J1" s="54" t="s">
        <v>28</v>
      </c>
      <c r="K1" s="54"/>
      <c r="L1" s="54"/>
      <c r="M1" s="44"/>
      <c r="N1" s="54" t="s">
        <v>29</v>
      </c>
      <c r="O1" s="54"/>
      <c r="P1" s="54"/>
      <c r="Q1" s="54" t="s">
        <v>30</v>
      </c>
      <c r="R1" s="54"/>
      <c r="S1" s="54"/>
      <c r="T1" s="43" t="s">
        <v>31</v>
      </c>
    </row>
    <row r="2" spans="1:20" s="29" customFormat="1" x14ac:dyDescent="0.2">
      <c r="A2" s="43"/>
      <c r="B2" s="45" t="s">
        <v>32</v>
      </c>
      <c r="C2" s="46" t="s">
        <v>33</v>
      </c>
      <c r="D2" s="47" t="s">
        <v>34</v>
      </c>
      <c r="E2" s="44"/>
      <c r="F2" s="45" t="s">
        <v>35</v>
      </c>
      <c r="G2" s="46" t="s">
        <v>33</v>
      </c>
      <c r="H2" s="47" t="s">
        <v>34</v>
      </c>
      <c r="I2" s="44"/>
      <c r="J2" s="45" t="s">
        <v>35</v>
      </c>
      <c r="K2" s="46" t="s">
        <v>33</v>
      </c>
      <c r="L2" s="47" t="s">
        <v>34</v>
      </c>
      <c r="M2" s="44"/>
      <c r="N2" s="45" t="s">
        <v>35</v>
      </c>
      <c r="O2" s="46" t="s">
        <v>33</v>
      </c>
      <c r="P2" s="47" t="s">
        <v>34</v>
      </c>
      <c r="Q2" s="43" t="s">
        <v>35</v>
      </c>
      <c r="R2" s="43" t="s">
        <v>33</v>
      </c>
      <c r="S2" s="43" t="s">
        <v>34</v>
      </c>
      <c r="T2" s="43"/>
    </row>
    <row r="3" spans="1:20" s="29" customFormat="1" x14ac:dyDescent="0.2">
      <c r="A3" s="43" t="s">
        <v>36</v>
      </c>
      <c r="B3" s="34"/>
      <c r="C3" s="32"/>
      <c r="D3" s="33"/>
      <c r="E3" s="48"/>
      <c r="F3" s="34"/>
      <c r="G3" s="32"/>
      <c r="H3" s="33"/>
      <c r="I3" s="48"/>
      <c r="J3" s="34"/>
      <c r="K3" s="32"/>
      <c r="L3" s="33"/>
      <c r="M3" s="48"/>
      <c r="N3" s="34"/>
      <c r="O3" s="32"/>
      <c r="P3" s="33"/>
      <c r="Q3" s="31"/>
      <c r="R3" s="31"/>
      <c r="S3" s="31"/>
      <c r="T3" s="31"/>
    </row>
    <row r="4" spans="1:20" s="30" customFormat="1" x14ac:dyDescent="0.2">
      <c r="A4" s="49" t="s">
        <v>37</v>
      </c>
      <c r="B4" s="36">
        <v>2621</v>
      </c>
      <c r="C4" s="37">
        <v>14640</v>
      </c>
      <c r="D4" s="38">
        <v>690</v>
      </c>
      <c r="E4" s="39"/>
      <c r="F4" s="36">
        <v>1516</v>
      </c>
      <c r="G4" s="37">
        <v>2845</v>
      </c>
      <c r="H4" s="38">
        <v>75</v>
      </c>
      <c r="I4" s="39"/>
      <c r="J4" s="36">
        <v>10384</v>
      </c>
      <c r="K4" s="37">
        <v>0</v>
      </c>
      <c r="L4" s="38">
        <v>0</v>
      </c>
      <c r="M4" s="39"/>
      <c r="N4" s="36">
        <v>45</v>
      </c>
      <c r="O4" s="37">
        <v>53</v>
      </c>
      <c r="P4" s="38">
        <v>0</v>
      </c>
      <c r="Q4" s="35">
        <f>2621+1516+10384+45</f>
        <v>14566</v>
      </c>
      <c r="R4" s="35">
        <f>14640+2845+53</f>
        <v>17538</v>
      </c>
      <c r="S4" s="35">
        <f>690+75</f>
        <v>765</v>
      </c>
      <c r="T4" s="35"/>
    </row>
    <row r="5" spans="1:20" s="30" customFormat="1" x14ac:dyDescent="0.2">
      <c r="A5" s="49" t="s">
        <v>38</v>
      </c>
      <c r="B5" s="36">
        <v>35</v>
      </c>
      <c r="C5" s="37">
        <v>32</v>
      </c>
      <c r="D5" s="38">
        <v>20</v>
      </c>
      <c r="E5" s="39"/>
      <c r="F5" s="36">
        <v>970</v>
      </c>
      <c r="G5" s="37">
        <v>1908</v>
      </c>
      <c r="H5" s="38">
        <v>31</v>
      </c>
      <c r="I5" s="39"/>
      <c r="J5" s="36">
        <v>2315</v>
      </c>
      <c r="K5" s="37">
        <v>0</v>
      </c>
      <c r="L5" s="38">
        <v>0</v>
      </c>
      <c r="M5" s="39"/>
      <c r="N5" s="36">
        <v>0</v>
      </c>
      <c r="O5" s="37">
        <v>0</v>
      </c>
      <c r="P5" s="38">
        <v>0</v>
      </c>
      <c r="Q5" s="35">
        <f>35+970+2315</f>
        <v>3320</v>
      </c>
      <c r="R5" s="35">
        <f>32+1908+0</f>
        <v>1940</v>
      </c>
      <c r="S5" s="35">
        <f>20+31</f>
        <v>51</v>
      </c>
      <c r="T5" s="35"/>
    </row>
    <row r="6" spans="1:20" s="29" customFormat="1" x14ac:dyDescent="0.2">
      <c r="A6" s="43"/>
      <c r="B6" s="34">
        <f>2621+35</f>
        <v>2656</v>
      </c>
      <c r="C6" s="32">
        <f>14640+32</f>
        <v>14672</v>
      </c>
      <c r="D6" s="33">
        <f>690+20</f>
        <v>710</v>
      </c>
      <c r="E6" s="48"/>
      <c r="F6" s="34">
        <f>1516+970</f>
        <v>2486</v>
      </c>
      <c r="G6" s="32">
        <f>2845+1908</f>
        <v>4753</v>
      </c>
      <c r="H6" s="33">
        <f>75+31</f>
        <v>106</v>
      </c>
      <c r="I6" s="48"/>
      <c r="J6" s="34">
        <f>10384+2315</f>
        <v>12699</v>
      </c>
      <c r="K6" s="32">
        <v>0</v>
      </c>
      <c r="L6" s="33">
        <v>0</v>
      </c>
      <c r="M6" s="48"/>
      <c r="N6" s="34">
        <v>45</v>
      </c>
      <c r="O6" s="32">
        <v>53</v>
      </c>
      <c r="P6" s="33">
        <v>0</v>
      </c>
      <c r="Q6" s="31">
        <f>14566+3320</f>
        <v>17886</v>
      </c>
      <c r="R6" s="31">
        <f>17538+1940</f>
        <v>19478</v>
      </c>
      <c r="S6" s="31">
        <f>765+51</f>
        <v>816</v>
      </c>
      <c r="T6" s="31">
        <f>17886+19478+816</f>
        <v>38180</v>
      </c>
    </row>
    <row r="7" spans="1:20" s="51" customFormat="1" x14ac:dyDescent="0.2">
      <c r="A7" s="5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spans="1:20" s="29" customFormat="1" x14ac:dyDescent="0.2">
      <c r="A8" s="43" t="s">
        <v>39</v>
      </c>
      <c r="B8" s="34"/>
      <c r="C8" s="32"/>
      <c r="D8" s="33"/>
      <c r="E8" s="48"/>
      <c r="F8" s="34"/>
      <c r="G8" s="32"/>
      <c r="H8" s="33"/>
      <c r="I8" s="48"/>
      <c r="J8" s="34"/>
      <c r="K8" s="37"/>
      <c r="L8" s="38"/>
      <c r="M8" s="39"/>
      <c r="N8" s="34"/>
      <c r="O8" s="32"/>
      <c r="P8" s="38"/>
      <c r="Q8" s="31"/>
      <c r="R8" s="31"/>
      <c r="S8" s="31"/>
      <c r="T8" s="31"/>
    </row>
    <row r="9" spans="1:20" s="30" customFormat="1" x14ac:dyDescent="0.2">
      <c r="A9" s="49" t="s">
        <v>40</v>
      </c>
      <c r="B9" s="36">
        <v>910</v>
      </c>
      <c r="C9" s="37">
        <v>3800</v>
      </c>
      <c r="D9" s="38">
        <v>101</v>
      </c>
      <c r="E9" s="39"/>
      <c r="F9" s="36">
        <v>254</v>
      </c>
      <c r="G9" s="37">
        <v>310</v>
      </c>
      <c r="H9" s="38">
        <v>1</v>
      </c>
      <c r="I9" s="39"/>
      <c r="J9" s="36">
        <v>3183</v>
      </c>
      <c r="K9" s="37">
        <v>0</v>
      </c>
      <c r="L9" s="38">
        <v>0</v>
      </c>
      <c r="M9" s="39"/>
      <c r="N9" s="36">
        <v>33</v>
      </c>
      <c r="O9" s="37">
        <v>38</v>
      </c>
      <c r="P9" s="38">
        <v>0</v>
      </c>
      <c r="Q9" s="35">
        <f>910+254+3183+33</f>
        <v>4380</v>
      </c>
      <c r="R9" s="35">
        <f>3800+310+38</f>
        <v>4148</v>
      </c>
      <c r="S9" s="35">
        <f>101+1</f>
        <v>102</v>
      </c>
      <c r="T9" s="35"/>
    </row>
    <row r="10" spans="1:20" s="30" customFormat="1" x14ac:dyDescent="0.2">
      <c r="A10" s="49" t="s">
        <v>38</v>
      </c>
      <c r="B10" s="36">
        <v>30</v>
      </c>
      <c r="C10" s="37">
        <v>97</v>
      </c>
      <c r="D10" s="38">
        <v>5</v>
      </c>
      <c r="E10" s="39"/>
      <c r="F10" s="36">
        <v>123</v>
      </c>
      <c r="G10" s="37">
        <v>124</v>
      </c>
      <c r="H10" s="38">
        <v>0</v>
      </c>
      <c r="I10" s="39"/>
      <c r="J10" s="36">
        <v>449</v>
      </c>
      <c r="K10" s="37">
        <v>0</v>
      </c>
      <c r="L10" s="38">
        <v>0</v>
      </c>
      <c r="M10" s="39"/>
      <c r="N10" s="36">
        <v>0</v>
      </c>
      <c r="O10" s="37">
        <v>0</v>
      </c>
      <c r="P10" s="38">
        <v>0</v>
      </c>
      <c r="Q10" s="35">
        <f>30+123+449</f>
        <v>602</v>
      </c>
      <c r="R10" s="35">
        <f>97+124</f>
        <v>221</v>
      </c>
      <c r="S10" s="35">
        <f>5</f>
        <v>5</v>
      </c>
      <c r="T10" s="35"/>
    </row>
    <row r="11" spans="1:20" s="29" customFormat="1" x14ac:dyDescent="0.2">
      <c r="A11" s="43"/>
      <c r="B11" s="34">
        <f>910+30</f>
        <v>940</v>
      </c>
      <c r="C11" s="32">
        <f>3800+97</f>
        <v>3897</v>
      </c>
      <c r="D11" s="33">
        <f>101+5</f>
        <v>106</v>
      </c>
      <c r="E11" s="48"/>
      <c r="F11" s="34">
        <f>254+123</f>
        <v>377</v>
      </c>
      <c r="G11" s="32">
        <f>310+124</f>
        <v>434</v>
      </c>
      <c r="H11" s="33">
        <v>1</v>
      </c>
      <c r="I11" s="48"/>
      <c r="J11" s="34">
        <f>3183+449</f>
        <v>3632</v>
      </c>
      <c r="K11" s="32">
        <v>0</v>
      </c>
      <c r="L11" s="33">
        <v>0</v>
      </c>
      <c r="M11" s="48"/>
      <c r="N11" s="34">
        <v>33</v>
      </c>
      <c r="O11" s="32">
        <v>38</v>
      </c>
      <c r="P11" s="33">
        <v>0</v>
      </c>
      <c r="Q11" s="31">
        <f>4380+602</f>
        <v>4982</v>
      </c>
      <c r="R11" s="31">
        <f>4148+221</f>
        <v>4369</v>
      </c>
      <c r="S11" s="31">
        <f>102+5</f>
        <v>107</v>
      </c>
      <c r="T11" s="31">
        <f>4982+4369+107</f>
        <v>9458</v>
      </c>
    </row>
    <row r="12" spans="1:20" s="51" customFormat="1" x14ac:dyDescent="0.2">
      <c r="A12" s="50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s="29" customFormat="1" x14ac:dyDescent="0.2">
      <c r="A13" s="43" t="s">
        <v>41</v>
      </c>
      <c r="B13" s="34"/>
      <c r="C13" s="32"/>
      <c r="D13" s="33"/>
      <c r="E13" s="48"/>
      <c r="F13" s="34"/>
      <c r="G13" s="32"/>
      <c r="H13" s="33"/>
      <c r="I13" s="48"/>
      <c r="J13" s="34"/>
      <c r="K13" s="37"/>
      <c r="L13" s="38"/>
      <c r="M13" s="39"/>
      <c r="N13" s="34"/>
      <c r="O13" s="32"/>
      <c r="P13" s="38"/>
      <c r="Q13" s="31"/>
      <c r="R13" s="31"/>
      <c r="S13" s="31"/>
      <c r="T13" s="31"/>
    </row>
    <row r="14" spans="1:20" s="30" customFormat="1" x14ac:dyDescent="0.2">
      <c r="A14" s="49" t="s">
        <v>37</v>
      </c>
      <c r="B14" s="36">
        <v>30</v>
      </c>
      <c r="C14" s="37">
        <v>336</v>
      </c>
      <c r="D14" s="38">
        <v>0</v>
      </c>
      <c r="E14" s="39"/>
      <c r="F14" s="36">
        <v>6</v>
      </c>
      <c r="G14" s="37">
        <v>9</v>
      </c>
      <c r="H14" s="38">
        <v>0</v>
      </c>
      <c r="I14" s="39"/>
      <c r="J14" s="36">
        <v>0</v>
      </c>
      <c r="K14" s="37">
        <v>0</v>
      </c>
      <c r="L14" s="38">
        <v>0</v>
      </c>
      <c r="M14" s="39"/>
      <c r="N14" s="36">
        <v>3</v>
      </c>
      <c r="O14" s="37">
        <v>5</v>
      </c>
      <c r="P14" s="38">
        <v>0</v>
      </c>
      <c r="Q14" s="35">
        <f>30+6+3</f>
        <v>39</v>
      </c>
      <c r="R14" s="35">
        <f>336+9+5</f>
        <v>350</v>
      </c>
      <c r="S14" s="35">
        <v>0</v>
      </c>
      <c r="T14" s="35"/>
    </row>
    <row r="15" spans="1:20" s="30" customFormat="1" x14ac:dyDescent="0.2">
      <c r="A15" s="49" t="s">
        <v>38</v>
      </c>
      <c r="B15" s="36">
        <v>0</v>
      </c>
      <c r="C15" s="37">
        <v>0</v>
      </c>
      <c r="D15" s="38">
        <v>0</v>
      </c>
      <c r="E15" s="39"/>
      <c r="F15" s="36">
        <v>0</v>
      </c>
      <c r="G15" s="37">
        <v>0</v>
      </c>
      <c r="H15" s="38">
        <v>0</v>
      </c>
      <c r="I15" s="39"/>
      <c r="J15" s="36">
        <v>0</v>
      </c>
      <c r="K15" s="37">
        <v>0</v>
      </c>
      <c r="L15" s="38">
        <v>0</v>
      </c>
      <c r="M15" s="39"/>
      <c r="N15" s="36">
        <v>0</v>
      </c>
      <c r="O15" s="37">
        <v>0</v>
      </c>
      <c r="P15" s="38">
        <v>0</v>
      </c>
      <c r="Q15" s="35">
        <v>0</v>
      </c>
      <c r="R15" s="35">
        <v>0</v>
      </c>
      <c r="S15" s="35">
        <v>0</v>
      </c>
      <c r="T15" s="35"/>
    </row>
    <row r="16" spans="1:20" s="29" customFormat="1" x14ac:dyDescent="0.2">
      <c r="A16" s="43"/>
      <c r="B16" s="34">
        <v>30</v>
      </c>
      <c r="C16" s="32">
        <v>336</v>
      </c>
      <c r="D16" s="33">
        <v>0</v>
      </c>
      <c r="E16" s="48"/>
      <c r="F16" s="34">
        <v>6</v>
      </c>
      <c r="G16" s="32">
        <v>9</v>
      </c>
      <c r="H16" s="33">
        <v>0</v>
      </c>
      <c r="I16" s="48"/>
      <c r="J16" s="34">
        <v>0</v>
      </c>
      <c r="K16" s="32">
        <v>0</v>
      </c>
      <c r="L16" s="33">
        <v>0</v>
      </c>
      <c r="M16" s="48"/>
      <c r="N16" s="34">
        <v>3</v>
      </c>
      <c r="O16" s="32">
        <v>5</v>
      </c>
      <c r="P16" s="33">
        <v>0</v>
      </c>
      <c r="Q16" s="31">
        <v>39</v>
      </c>
      <c r="R16" s="31">
        <v>350</v>
      </c>
      <c r="S16" s="31">
        <v>0</v>
      </c>
      <c r="T16" s="31">
        <f>39+350</f>
        <v>389</v>
      </c>
    </row>
    <row r="17" spans="1:20" s="51" customFormat="1" ht="9.75" customHeight="1" x14ac:dyDescent="0.2">
      <c r="A17" s="50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s="29" customFormat="1" x14ac:dyDescent="0.2">
      <c r="A18" s="43" t="s">
        <v>42</v>
      </c>
      <c r="B18" s="34"/>
      <c r="C18" s="32"/>
      <c r="D18" s="33"/>
      <c r="E18" s="48"/>
      <c r="F18" s="34"/>
      <c r="G18" s="32"/>
      <c r="H18" s="33"/>
      <c r="I18" s="48"/>
      <c r="J18" s="34"/>
      <c r="K18" s="37"/>
      <c r="L18" s="38"/>
      <c r="M18" s="39"/>
      <c r="N18" s="34"/>
      <c r="O18" s="32"/>
      <c r="P18" s="38"/>
      <c r="Q18" s="31"/>
      <c r="R18" s="31"/>
      <c r="S18" s="31"/>
      <c r="T18" s="31"/>
    </row>
    <row r="19" spans="1:20" s="30" customFormat="1" x14ac:dyDescent="0.2">
      <c r="A19" s="49" t="s">
        <v>37</v>
      </c>
      <c r="B19" s="36">
        <v>314</v>
      </c>
      <c r="C19" s="37">
        <v>946</v>
      </c>
      <c r="D19" s="38">
        <v>30</v>
      </c>
      <c r="E19" s="39"/>
      <c r="F19" s="36">
        <v>47</v>
      </c>
      <c r="G19" s="37">
        <v>37</v>
      </c>
      <c r="H19" s="38">
        <v>1</v>
      </c>
      <c r="I19" s="39"/>
      <c r="J19" s="36">
        <v>1142</v>
      </c>
      <c r="K19" s="37">
        <v>0</v>
      </c>
      <c r="L19" s="38">
        <v>0</v>
      </c>
      <c r="M19" s="39"/>
      <c r="N19" s="36">
        <v>8</v>
      </c>
      <c r="O19" s="37">
        <v>2</v>
      </c>
      <c r="P19" s="38">
        <v>0</v>
      </c>
      <c r="Q19" s="35">
        <f>314+47+1142+8</f>
        <v>1511</v>
      </c>
      <c r="R19" s="35">
        <f>946+37+2</f>
        <v>985</v>
      </c>
      <c r="S19" s="35">
        <f>30+1</f>
        <v>31</v>
      </c>
      <c r="T19" s="35"/>
    </row>
    <row r="20" spans="1:20" s="30" customFormat="1" x14ac:dyDescent="0.2">
      <c r="A20" s="49" t="s">
        <v>38</v>
      </c>
      <c r="B20" s="36">
        <v>0</v>
      </c>
      <c r="C20" s="37">
        <v>1</v>
      </c>
      <c r="D20" s="38">
        <v>0</v>
      </c>
      <c r="E20" s="39"/>
      <c r="F20" s="36">
        <v>26</v>
      </c>
      <c r="G20" s="37">
        <v>27</v>
      </c>
      <c r="H20" s="38">
        <v>0</v>
      </c>
      <c r="I20" s="39"/>
      <c r="J20" s="36">
        <v>106</v>
      </c>
      <c r="K20" s="37">
        <v>0</v>
      </c>
      <c r="L20" s="38">
        <v>0</v>
      </c>
      <c r="M20" s="39"/>
      <c r="N20" s="36">
        <v>0</v>
      </c>
      <c r="O20" s="37">
        <v>0</v>
      </c>
      <c r="P20" s="38">
        <v>0</v>
      </c>
      <c r="Q20" s="35">
        <f>26+106</f>
        <v>132</v>
      </c>
      <c r="R20" s="35">
        <f>1+27</f>
        <v>28</v>
      </c>
      <c r="S20" s="35">
        <v>0</v>
      </c>
      <c r="T20" s="35"/>
    </row>
    <row r="21" spans="1:20" s="29" customFormat="1" x14ac:dyDescent="0.2">
      <c r="A21" s="43"/>
      <c r="B21" s="34">
        <v>314</v>
      </c>
      <c r="C21" s="32">
        <f>946+1</f>
        <v>947</v>
      </c>
      <c r="D21" s="33">
        <v>30</v>
      </c>
      <c r="E21" s="48"/>
      <c r="F21" s="34">
        <f>47+26</f>
        <v>73</v>
      </c>
      <c r="G21" s="32">
        <f>37+27</f>
        <v>64</v>
      </c>
      <c r="H21" s="33">
        <v>1</v>
      </c>
      <c r="I21" s="48"/>
      <c r="J21" s="34">
        <f>1142+106</f>
        <v>1248</v>
      </c>
      <c r="K21" s="32">
        <v>0</v>
      </c>
      <c r="L21" s="33">
        <v>0</v>
      </c>
      <c r="M21" s="48"/>
      <c r="N21" s="34">
        <v>8</v>
      </c>
      <c r="O21" s="32">
        <v>2</v>
      </c>
      <c r="P21" s="33">
        <v>0</v>
      </c>
      <c r="Q21" s="31">
        <f>1511+132</f>
        <v>1643</v>
      </c>
      <c r="R21" s="31">
        <f>985+28</f>
        <v>1013</v>
      </c>
      <c r="S21" s="31">
        <v>31</v>
      </c>
      <c r="T21" s="31">
        <f>1643+1013+31</f>
        <v>2687</v>
      </c>
    </row>
    <row r="22" spans="1:20" s="51" customFormat="1" x14ac:dyDescent="0.2">
      <c r="A22" s="50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1:20" s="29" customFormat="1" x14ac:dyDescent="0.2">
      <c r="A23" s="43" t="s">
        <v>43</v>
      </c>
      <c r="B23" s="34"/>
      <c r="C23" s="32"/>
      <c r="D23" s="33"/>
      <c r="E23" s="48"/>
      <c r="F23" s="34"/>
      <c r="G23" s="32"/>
      <c r="H23" s="33"/>
      <c r="I23" s="48"/>
      <c r="J23" s="34"/>
      <c r="K23" s="37"/>
      <c r="L23" s="38"/>
      <c r="M23" s="39"/>
      <c r="N23" s="34"/>
      <c r="O23" s="32"/>
      <c r="P23" s="38"/>
      <c r="Q23" s="31"/>
      <c r="R23" s="31"/>
      <c r="S23" s="31"/>
      <c r="T23" s="31"/>
    </row>
    <row r="24" spans="1:20" s="30" customFormat="1" x14ac:dyDescent="0.2">
      <c r="A24" s="49" t="s">
        <v>37</v>
      </c>
      <c r="B24" s="36">
        <v>0</v>
      </c>
      <c r="C24" s="37">
        <v>0</v>
      </c>
      <c r="D24" s="38">
        <v>0</v>
      </c>
      <c r="E24" s="39"/>
      <c r="F24" s="36">
        <v>0</v>
      </c>
      <c r="G24" s="37">
        <v>0</v>
      </c>
      <c r="H24" s="38">
        <v>0</v>
      </c>
      <c r="I24" s="39"/>
      <c r="J24" s="36">
        <v>4396</v>
      </c>
      <c r="K24" s="37">
        <v>0</v>
      </c>
      <c r="L24" s="38">
        <v>0</v>
      </c>
      <c r="M24" s="39"/>
      <c r="N24" s="36">
        <v>0</v>
      </c>
      <c r="O24" s="37">
        <v>0</v>
      </c>
      <c r="P24" s="38">
        <v>0</v>
      </c>
      <c r="Q24" s="35">
        <f>4396</f>
        <v>4396</v>
      </c>
      <c r="R24" s="35">
        <v>0</v>
      </c>
      <c r="S24" s="35">
        <f>0</f>
        <v>0</v>
      </c>
      <c r="T24" s="35"/>
    </row>
    <row r="25" spans="1:20" s="30" customFormat="1" x14ac:dyDescent="0.2">
      <c r="A25" s="49" t="s">
        <v>38</v>
      </c>
      <c r="B25" s="36">
        <v>0</v>
      </c>
      <c r="C25" s="37">
        <v>0</v>
      </c>
      <c r="D25" s="38">
        <v>0</v>
      </c>
      <c r="E25" s="39"/>
      <c r="F25" s="36">
        <v>0</v>
      </c>
      <c r="G25" s="37">
        <v>0</v>
      </c>
      <c r="H25" s="38">
        <v>0</v>
      </c>
      <c r="I25" s="39"/>
      <c r="J25" s="36">
        <v>1171</v>
      </c>
      <c r="K25" s="37">
        <v>0</v>
      </c>
      <c r="L25" s="38">
        <v>0</v>
      </c>
      <c r="M25" s="39"/>
      <c r="N25" s="36">
        <v>0</v>
      </c>
      <c r="O25" s="37">
        <v>0</v>
      </c>
      <c r="P25" s="38">
        <v>0</v>
      </c>
      <c r="Q25" s="35">
        <f>1121</f>
        <v>1121</v>
      </c>
      <c r="R25" s="35">
        <v>0</v>
      </c>
      <c r="S25" s="35">
        <f>0</f>
        <v>0</v>
      </c>
      <c r="T25" s="35"/>
    </row>
    <row r="26" spans="1:20" s="29" customFormat="1" x14ac:dyDescent="0.2">
      <c r="A26" s="43"/>
      <c r="B26" s="34">
        <v>0</v>
      </c>
      <c r="C26" s="32">
        <v>0</v>
      </c>
      <c r="D26" s="33">
        <v>0</v>
      </c>
      <c r="E26" s="48"/>
      <c r="F26" s="34">
        <v>0</v>
      </c>
      <c r="G26" s="32">
        <v>0</v>
      </c>
      <c r="H26" s="33">
        <v>0</v>
      </c>
      <c r="I26" s="48"/>
      <c r="J26" s="34">
        <f>4396+1171</f>
        <v>5567</v>
      </c>
      <c r="K26" s="32">
        <v>0</v>
      </c>
      <c r="L26" s="33">
        <v>0</v>
      </c>
      <c r="M26" s="48"/>
      <c r="N26" s="34">
        <v>0</v>
      </c>
      <c r="O26" s="32">
        <v>0</v>
      </c>
      <c r="P26" s="33">
        <v>0</v>
      </c>
      <c r="Q26" s="31">
        <f>4396+1121</f>
        <v>5517</v>
      </c>
      <c r="R26" s="31">
        <v>0</v>
      </c>
      <c r="S26" s="31">
        <v>0</v>
      </c>
      <c r="T26" s="31">
        <f>5517</f>
        <v>5517</v>
      </c>
    </row>
    <row r="27" spans="1:20" s="51" customFormat="1" x14ac:dyDescent="0.2">
      <c r="A27" s="50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spans="1:20" s="29" customFormat="1" x14ac:dyDescent="0.2">
      <c r="A28" s="43" t="s">
        <v>44</v>
      </c>
      <c r="B28" s="34"/>
      <c r="C28" s="32"/>
      <c r="D28" s="33"/>
      <c r="E28" s="48"/>
      <c r="F28" s="34"/>
      <c r="G28" s="32"/>
      <c r="H28" s="33"/>
      <c r="I28" s="48"/>
      <c r="J28" s="34"/>
      <c r="K28" s="32"/>
      <c r="L28" s="38"/>
      <c r="M28" s="39"/>
      <c r="N28" s="34"/>
      <c r="O28" s="32"/>
      <c r="P28" s="38"/>
      <c r="Q28" s="31"/>
      <c r="R28" s="31"/>
      <c r="S28" s="31"/>
      <c r="T28" s="31"/>
    </row>
    <row r="29" spans="1:20" s="30" customFormat="1" x14ac:dyDescent="0.2">
      <c r="A29" s="49" t="s">
        <v>37</v>
      </c>
      <c r="B29" s="36">
        <v>79</v>
      </c>
      <c r="C29" s="37">
        <v>939</v>
      </c>
      <c r="D29" s="38">
        <v>20</v>
      </c>
      <c r="E29" s="39"/>
      <c r="F29" s="36">
        <v>41</v>
      </c>
      <c r="G29" s="37">
        <v>62</v>
      </c>
      <c r="H29" s="38">
        <v>2</v>
      </c>
      <c r="I29" s="39"/>
      <c r="J29" s="36">
        <v>0</v>
      </c>
      <c r="K29" s="37">
        <v>72</v>
      </c>
      <c r="L29" s="38">
        <v>0</v>
      </c>
      <c r="M29" s="39"/>
      <c r="N29" s="36">
        <v>6</v>
      </c>
      <c r="O29" s="37">
        <v>0</v>
      </c>
      <c r="P29" s="38">
        <v>0</v>
      </c>
      <c r="Q29" s="35">
        <f>79+41+0+6</f>
        <v>126</v>
      </c>
      <c r="R29" s="35">
        <f>939+62+72</f>
        <v>1073</v>
      </c>
      <c r="S29" s="35">
        <f>20+2</f>
        <v>22</v>
      </c>
      <c r="T29" s="35"/>
    </row>
    <row r="30" spans="1:20" s="30" customFormat="1" x14ac:dyDescent="0.2">
      <c r="A30" s="49" t="s">
        <v>38</v>
      </c>
      <c r="B30" s="36">
        <v>1</v>
      </c>
      <c r="C30" s="37">
        <v>7</v>
      </c>
      <c r="D30" s="38">
        <v>3</v>
      </c>
      <c r="E30" s="39"/>
      <c r="F30" s="36">
        <v>13</v>
      </c>
      <c r="G30" s="37">
        <v>22</v>
      </c>
      <c r="H30" s="38">
        <v>0</v>
      </c>
      <c r="I30" s="39"/>
      <c r="J30" s="36">
        <v>0</v>
      </c>
      <c r="K30" s="37">
        <v>2</v>
      </c>
      <c r="L30" s="38">
        <v>0</v>
      </c>
      <c r="M30" s="39"/>
      <c r="N30" s="36">
        <v>0</v>
      </c>
      <c r="O30" s="37">
        <v>0</v>
      </c>
      <c r="P30" s="38">
        <v>0</v>
      </c>
      <c r="Q30" s="35">
        <f>1+13+0</f>
        <v>14</v>
      </c>
      <c r="R30" s="35">
        <f>7+22+2</f>
        <v>31</v>
      </c>
      <c r="S30" s="35">
        <f>3+0</f>
        <v>3</v>
      </c>
      <c r="T30" s="35"/>
    </row>
    <row r="31" spans="1:20" s="29" customFormat="1" x14ac:dyDescent="0.2">
      <c r="A31" s="43"/>
      <c r="B31" s="34">
        <v>80</v>
      </c>
      <c r="C31" s="32">
        <f>939+7</f>
        <v>946</v>
      </c>
      <c r="D31" s="33">
        <f>20+3</f>
        <v>23</v>
      </c>
      <c r="E31" s="48"/>
      <c r="F31" s="34">
        <f>41+13</f>
        <v>54</v>
      </c>
      <c r="G31" s="32">
        <f>62+22</f>
        <v>84</v>
      </c>
      <c r="H31" s="33">
        <v>2</v>
      </c>
      <c r="I31" s="48"/>
      <c r="J31" s="34">
        <v>0</v>
      </c>
      <c r="K31" s="32">
        <f>72+2</f>
        <v>74</v>
      </c>
      <c r="L31" s="33">
        <v>0</v>
      </c>
      <c r="M31" s="48"/>
      <c r="N31" s="34">
        <v>6</v>
      </c>
      <c r="O31" s="32">
        <v>0</v>
      </c>
      <c r="P31" s="33">
        <v>0</v>
      </c>
      <c r="Q31" s="31">
        <f>126+14</f>
        <v>140</v>
      </c>
      <c r="R31" s="31">
        <f>1073+31</f>
        <v>1104</v>
      </c>
      <c r="S31" s="31">
        <f>22+3</f>
        <v>25</v>
      </c>
      <c r="T31" s="31">
        <f>140+1104+25</f>
        <v>1269</v>
      </c>
    </row>
    <row r="32" spans="1:20" s="51" customFormat="1" x14ac:dyDescent="0.2">
      <c r="A32" s="50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spans="1:20" s="29" customFormat="1" x14ac:dyDescent="0.2">
      <c r="A33" s="43" t="s">
        <v>3</v>
      </c>
      <c r="B33" s="34"/>
      <c r="C33" s="32"/>
      <c r="D33" s="33"/>
      <c r="E33" s="48"/>
      <c r="F33" s="34"/>
      <c r="G33" s="32"/>
      <c r="H33" s="33"/>
      <c r="I33" s="48"/>
      <c r="J33" s="34"/>
      <c r="K33" s="32"/>
      <c r="L33" s="33"/>
      <c r="M33" s="48"/>
      <c r="N33" s="34"/>
      <c r="O33" s="32"/>
      <c r="P33" s="33"/>
      <c r="Q33" s="31"/>
      <c r="R33" s="31"/>
      <c r="S33" s="31"/>
      <c r="T33" s="31"/>
    </row>
    <row r="34" spans="1:20" s="30" customFormat="1" x14ac:dyDescent="0.2">
      <c r="A34" s="49" t="s">
        <v>37</v>
      </c>
      <c r="B34" s="36">
        <f t="shared" ref="B34:D35" si="0">SUM(B4,B9,B14,B19,B24,B29)</f>
        <v>3954</v>
      </c>
      <c r="C34" s="36">
        <f t="shared" si="0"/>
        <v>20661</v>
      </c>
      <c r="D34" s="36">
        <f t="shared" si="0"/>
        <v>841</v>
      </c>
      <c r="E34" s="39"/>
      <c r="F34" s="36">
        <f t="shared" ref="F34:H35" si="1">SUM(F4,F9,F14,F19,F24,F29)</f>
        <v>1864</v>
      </c>
      <c r="G34" s="36">
        <f t="shared" si="1"/>
        <v>3263</v>
      </c>
      <c r="H34" s="36">
        <f t="shared" si="1"/>
        <v>79</v>
      </c>
      <c r="I34" s="39"/>
      <c r="J34" s="36">
        <f t="shared" ref="J34:L35" si="2">SUM(J4,J9,J14,J19,J24,J29)</f>
        <v>19105</v>
      </c>
      <c r="K34" s="36">
        <f t="shared" si="2"/>
        <v>72</v>
      </c>
      <c r="L34" s="36">
        <f t="shared" si="2"/>
        <v>0</v>
      </c>
      <c r="M34" s="39"/>
      <c r="N34" s="36">
        <f t="shared" ref="N34:P35" si="3">SUM(N4,N9,N14,N19,N24,N29)</f>
        <v>95</v>
      </c>
      <c r="O34" s="36">
        <f t="shared" si="3"/>
        <v>98</v>
      </c>
      <c r="P34" s="36">
        <f t="shared" si="3"/>
        <v>0</v>
      </c>
      <c r="Q34" s="35">
        <f>3954+1864+19105+95</f>
        <v>25018</v>
      </c>
      <c r="R34" s="39">
        <f>17538+4148+350+985+1073</f>
        <v>24094</v>
      </c>
      <c r="S34" s="35">
        <f>765+102+31+22</f>
        <v>920</v>
      </c>
      <c r="T34" s="35"/>
    </row>
    <row r="35" spans="1:20" s="30" customFormat="1" x14ac:dyDescent="0.2">
      <c r="A35" s="49" t="s">
        <v>38</v>
      </c>
      <c r="B35" s="36">
        <f t="shared" si="0"/>
        <v>66</v>
      </c>
      <c r="C35" s="36">
        <f t="shared" si="0"/>
        <v>137</v>
      </c>
      <c r="D35" s="36">
        <f t="shared" si="0"/>
        <v>28</v>
      </c>
      <c r="E35" s="39"/>
      <c r="F35" s="36">
        <f t="shared" si="1"/>
        <v>1132</v>
      </c>
      <c r="G35" s="36">
        <f t="shared" si="1"/>
        <v>2081</v>
      </c>
      <c r="H35" s="36">
        <f t="shared" si="1"/>
        <v>31</v>
      </c>
      <c r="I35" s="39"/>
      <c r="J35" s="36">
        <f t="shared" si="2"/>
        <v>4041</v>
      </c>
      <c r="K35" s="36">
        <f t="shared" si="2"/>
        <v>2</v>
      </c>
      <c r="L35" s="36">
        <f t="shared" si="2"/>
        <v>0</v>
      </c>
      <c r="M35" s="39"/>
      <c r="N35" s="36">
        <f t="shared" si="3"/>
        <v>0</v>
      </c>
      <c r="O35" s="36">
        <f t="shared" si="3"/>
        <v>0</v>
      </c>
      <c r="P35" s="36">
        <f t="shared" si="3"/>
        <v>0</v>
      </c>
      <c r="Q35" s="35">
        <f>66+1132+3991+0</f>
        <v>5189</v>
      </c>
      <c r="R35" s="35">
        <f>137+2081+2</f>
        <v>2220</v>
      </c>
      <c r="S35" s="35">
        <f>51+5+3</f>
        <v>59</v>
      </c>
      <c r="T35" s="35"/>
    </row>
    <row r="36" spans="1:20" s="29" customFormat="1" x14ac:dyDescent="0.2">
      <c r="A36" s="43"/>
      <c r="B36" s="34">
        <f>SUM(B34:B35)</f>
        <v>4020</v>
      </c>
      <c r="C36" s="34">
        <f>SUM(C34:C35)</f>
        <v>20798</v>
      </c>
      <c r="D36" s="34">
        <f>SUM(D34:D35)</f>
        <v>869</v>
      </c>
      <c r="E36" s="48"/>
      <c r="F36" s="34">
        <f>SUM(F34:F35)</f>
        <v>2996</v>
      </c>
      <c r="G36" s="34">
        <f>SUM(G34:G35)</f>
        <v>5344</v>
      </c>
      <c r="H36" s="34">
        <f>SUM(H34:H35)</f>
        <v>110</v>
      </c>
      <c r="I36" s="48"/>
      <c r="J36" s="34">
        <f>SUM(J34:J35)</f>
        <v>23146</v>
      </c>
      <c r="K36" s="34">
        <f>SUM(K34:K35)</f>
        <v>74</v>
      </c>
      <c r="L36" s="34">
        <f>SUM(L34:L35)</f>
        <v>0</v>
      </c>
      <c r="M36" s="48"/>
      <c r="N36" s="34">
        <f>SUM(N34:N35)</f>
        <v>95</v>
      </c>
      <c r="O36" s="34">
        <f>SUM(O34:O35)</f>
        <v>98</v>
      </c>
      <c r="P36" s="34">
        <f>SUM(P34:P35)</f>
        <v>0</v>
      </c>
      <c r="Q36" s="31">
        <f>25018+5189</f>
        <v>30207</v>
      </c>
      <c r="R36" s="31">
        <f>24094+2220</f>
        <v>26314</v>
      </c>
      <c r="S36" s="31">
        <f>920+59</f>
        <v>979</v>
      </c>
      <c r="T36" s="31">
        <f>38180+9458+389+2687+5517+1269</f>
        <v>57500</v>
      </c>
    </row>
  </sheetData>
  <mergeCells count="5">
    <mergeCell ref="Q1:S1"/>
    <mergeCell ref="B1:D1"/>
    <mergeCell ref="N1:P1"/>
    <mergeCell ref="F1:H1"/>
    <mergeCell ref="J1:L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showGridLines="0" tabSelected="1" view="pageBreakPreview" topLeftCell="A10" workbookViewId="0">
      <selection activeCell="L32" sqref="L32"/>
    </sheetView>
  </sheetViews>
  <sheetFormatPr defaultColWidth="10.28515625" defaultRowHeight="12.75" x14ac:dyDescent="0.2"/>
  <cols>
    <col min="1" max="1" width="17.140625" style="3" customWidth="1"/>
    <col min="2" max="9" width="8.85546875" style="2" customWidth="1"/>
    <col min="10" max="10" width="9.7109375" style="3" customWidth="1"/>
    <col min="11" max="16384" width="10.28515625" style="3"/>
  </cols>
  <sheetData>
    <row r="1" spans="1:9" x14ac:dyDescent="0.2">
      <c r="A1" s="1" t="s">
        <v>0</v>
      </c>
    </row>
    <row r="2" spans="1:9" x14ac:dyDescent="0.2">
      <c r="A2" s="4" t="s">
        <v>1</v>
      </c>
      <c r="B2" s="5"/>
    </row>
    <row r="3" spans="1:9" x14ac:dyDescent="0.2">
      <c r="A3" s="4" t="s">
        <v>45</v>
      </c>
    </row>
    <row r="4" spans="1:9" x14ac:dyDescent="0.2">
      <c r="A4" s="4"/>
    </row>
    <row r="5" spans="1:9" x14ac:dyDescent="0.2">
      <c r="A5" s="10" t="s">
        <v>2</v>
      </c>
      <c r="B5" s="52" t="s">
        <v>3</v>
      </c>
      <c r="C5" s="52" t="s">
        <v>4</v>
      </c>
      <c r="D5" s="52" t="s">
        <v>5</v>
      </c>
      <c r="E5" s="14" t="s">
        <v>6</v>
      </c>
      <c r="F5" s="52" t="s">
        <v>7</v>
      </c>
      <c r="G5" s="52" t="s">
        <v>9</v>
      </c>
      <c r="H5" s="52" t="s">
        <v>8</v>
      </c>
      <c r="I5" s="18" t="s">
        <v>20</v>
      </c>
    </row>
    <row r="6" spans="1:9" x14ac:dyDescent="0.2">
      <c r="A6" s="11" t="s">
        <v>10</v>
      </c>
      <c r="B6" s="53"/>
      <c r="C6" s="53"/>
      <c r="D6" s="53"/>
      <c r="E6" s="15" t="s">
        <v>11</v>
      </c>
      <c r="F6" s="53"/>
      <c r="G6" s="53"/>
      <c r="H6" s="53"/>
      <c r="I6" s="15" t="s">
        <v>12</v>
      </c>
    </row>
    <row r="8" spans="1:9" x14ac:dyDescent="0.2">
      <c r="A8" s="12">
        <v>2013</v>
      </c>
      <c r="B8" s="17"/>
      <c r="C8" s="17"/>
      <c r="D8" s="16"/>
      <c r="E8" s="16"/>
      <c r="F8" s="16"/>
      <c r="G8" s="16"/>
      <c r="H8" s="16"/>
      <c r="I8" s="17"/>
    </row>
    <row r="9" spans="1:9" x14ac:dyDescent="0.2">
      <c r="A9" s="12"/>
      <c r="B9" s="17"/>
      <c r="C9" s="17"/>
      <c r="D9" s="16"/>
      <c r="E9" s="16"/>
      <c r="F9" s="16"/>
      <c r="G9" s="16"/>
      <c r="H9" s="16"/>
      <c r="I9" s="17"/>
    </row>
    <row r="10" spans="1:9" x14ac:dyDescent="0.2">
      <c r="A10" s="13" t="s">
        <v>13</v>
      </c>
      <c r="B10" s="17"/>
      <c r="C10" s="17"/>
      <c r="D10" s="16"/>
      <c r="E10" s="16"/>
      <c r="F10" s="16"/>
      <c r="G10" s="16"/>
      <c r="H10" s="16"/>
      <c r="I10" s="17"/>
    </row>
    <row r="11" spans="1:9" x14ac:dyDescent="0.2">
      <c r="A11" s="13"/>
      <c r="B11" s="16"/>
      <c r="C11" s="16"/>
      <c r="D11" s="16"/>
      <c r="E11" s="16"/>
      <c r="F11" s="16"/>
      <c r="G11" s="16"/>
      <c r="H11" s="16"/>
      <c r="I11" s="16"/>
    </row>
    <row r="12" spans="1:9" x14ac:dyDescent="0.2">
      <c r="A12" s="13" t="s">
        <v>16</v>
      </c>
      <c r="B12" s="16">
        <f>SUM(C12:I12)</f>
        <v>32141</v>
      </c>
      <c r="C12" s="16">
        <v>5692</v>
      </c>
      <c r="D12" s="20">
        <v>1836</v>
      </c>
      <c r="E12" s="16">
        <v>12326</v>
      </c>
      <c r="F12" s="20">
        <v>4781</v>
      </c>
      <c r="G12" s="16">
        <v>2999</v>
      </c>
      <c r="H12" s="16">
        <v>2964</v>
      </c>
      <c r="I12" s="16">
        <v>1543</v>
      </c>
    </row>
    <row r="13" spans="1:9" x14ac:dyDescent="0.2">
      <c r="A13" s="13" t="s">
        <v>17</v>
      </c>
      <c r="B13" s="16">
        <f t="shared" ref="B13:B15" si="0">SUM(C13:I13)</f>
        <v>37</v>
      </c>
      <c r="C13" s="16">
        <v>9</v>
      </c>
      <c r="D13" s="20">
        <v>2</v>
      </c>
      <c r="E13" s="16">
        <v>11</v>
      </c>
      <c r="F13" s="20">
        <v>0</v>
      </c>
      <c r="G13" s="16">
        <v>3</v>
      </c>
      <c r="H13" s="16">
        <v>6</v>
      </c>
      <c r="I13" s="16">
        <v>6</v>
      </c>
    </row>
    <row r="14" spans="1:9" x14ac:dyDescent="0.2">
      <c r="A14" s="13" t="s">
        <v>15</v>
      </c>
      <c r="B14" s="16">
        <f t="shared" si="0"/>
        <v>4053</v>
      </c>
      <c r="C14" s="16">
        <v>790</v>
      </c>
      <c r="D14" s="16">
        <v>164</v>
      </c>
      <c r="E14" s="16">
        <v>2291</v>
      </c>
      <c r="F14" s="16">
        <v>0</v>
      </c>
      <c r="G14" s="16">
        <v>326</v>
      </c>
      <c r="H14" s="16">
        <v>397</v>
      </c>
      <c r="I14" s="16">
        <v>85</v>
      </c>
    </row>
    <row r="15" spans="1:9" x14ac:dyDescent="0.2">
      <c r="A15" s="13" t="s">
        <v>14</v>
      </c>
      <c r="B15" s="16">
        <f t="shared" si="0"/>
        <v>4263</v>
      </c>
      <c r="C15" s="16">
        <v>1711</v>
      </c>
      <c r="D15" s="20">
        <v>4</v>
      </c>
      <c r="E15" s="16">
        <v>674</v>
      </c>
      <c r="F15" s="16">
        <v>0</v>
      </c>
      <c r="G15" s="20">
        <v>817</v>
      </c>
      <c r="H15" s="16">
        <v>641</v>
      </c>
      <c r="I15" s="16">
        <v>416</v>
      </c>
    </row>
    <row r="16" spans="1:9" x14ac:dyDescent="0.2">
      <c r="A16" s="13"/>
      <c r="B16" s="19"/>
      <c r="C16" s="19"/>
      <c r="D16" s="19"/>
      <c r="E16" s="19"/>
      <c r="F16" s="19"/>
      <c r="G16" s="16"/>
      <c r="H16" s="16"/>
      <c r="I16" s="16"/>
    </row>
    <row r="17" spans="1:12" x14ac:dyDescent="0.2">
      <c r="A17" s="13" t="s">
        <v>18</v>
      </c>
      <c r="B17" s="19"/>
      <c r="C17" s="19"/>
      <c r="D17" s="19"/>
      <c r="E17" s="19"/>
      <c r="F17" s="19"/>
      <c r="G17" s="16"/>
      <c r="H17" s="16"/>
      <c r="I17" s="16"/>
    </row>
    <row r="18" spans="1:12" x14ac:dyDescent="0.2">
      <c r="A18" s="13"/>
      <c r="B18" s="19"/>
      <c r="C18" s="19"/>
      <c r="D18" s="19"/>
      <c r="E18" s="19"/>
      <c r="F18" s="19"/>
      <c r="G18" s="16"/>
      <c r="H18" s="16"/>
      <c r="I18" s="16"/>
    </row>
    <row r="19" spans="1:12" x14ac:dyDescent="0.2">
      <c r="A19" s="13" t="s">
        <v>16</v>
      </c>
      <c r="B19" s="16">
        <f>SUM(C19:I19)</f>
        <v>0</v>
      </c>
      <c r="C19" s="16">
        <v>0</v>
      </c>
      <c r="D19" s="20">
        <v>0</v>
      </c>
      <c r="E19" s="16">
        <v>0</v>
      </c>
      <c r="F19" s="20">
        <v>0</v>
      </c>
      <c r="G19" s="16">
        <v>0</v>
      </c>
      <c r="H19" s="16">
        <v>0</v>
      </c>
      <c r="I19" s="16">
        <v>0</v>
      </c>
    </row>
    <row r="20" spans="1:12" x14ac:dyDescent="0.2">
      <c r="A20" s="13" t="s">
        <v>17</v>
      </c>
      <c r="B20" s="16">
        <f t="shared" ref="B20:B22" si="1">SUM(C20:I20)</f>
        <v>65</v>
      </c>
      <c r="C20" s="16">
        <v>15</v>
      </c>
      <c r="D20" s="20">
        <v>2</v>
      </c>
      <c r="E20" s="16">
        <v>35</v>
      </c>
      <c r="F20" s="20">
        <v>0</v>
      </c>
      <c r="G20" s="16">
        <v>5</v>
      </c>
      <c r="H20" s="16">
        <v>4</v>
      </c>
      <c r="I20" s="16">
        <v>4</v>
      </c>
    </row>
    <row r="21" spans="1:12" x14ac:dyDescent="0.2">
      <c r="A21" s="13" t="s">
        <v>15</v>
      </c>
      <c r="B21" s="16">
        <f t="shared" si="1"/>
        <v>7792</v>
      </c>
      <c r="C21" s="20">
        <v>738</v>
      </c>
      <c r="D21" s="20">
        <v>106</v>
      </c>
      <c r="E21" s="20">
        <v>6459</v>
      </c>
      <c r="F21" s="16">
        <v>0</v>
      </c>
      <c r="G21" s="20">
        <v>204</v>
      </c>
      <c r="H21" s="20">
        <v>238</v>
      </c>
      <c r="I21" s="16">
        <v>47</v>
      </c>
    </row>
    <row r="22" spans="1:12" x14ac:dyDescent="0.2">
      <c r="A22" s="13" t="s">
        <v>14</v>
      </c>
      <c r="B22" s="16">
        <f t="shared" si="1"/>
        <v>26104</v>
      </c>
      <c r="C22" s="16">
        <v>5016</v>
      </c>
      <c r="D22" s="20">
        <v>614</v>
      </c>
      <c r="E22" s="16">
        <v>16611</v>
      </c>
      <c r="F22" s="16">
        <v>0</v>
      </c>
      <c r="G22" s="20">
        <v>1711</v>
      </c>
      <c r="H22" s="16">
        <v>1436</v>
      </c>
      <c r="I22" s="16">
        <v>716</v>
      </c>
    </row>
    <row r="23" spans="1:12" x14ac:dyDescent="0.2">
      <c r="A23" s="13"/>
      <c r="B23" s="16"/>
      <c r="C23" s="16"/>
      <c r="D23" s="16"/>
      <c r="E23" s="16"/>
      <c r="F23" s="16"/>
      <c r="G23" s="16"/>
      <c r="H23" s="16"/>
      <c r="I23" s="16"/>
    </row>
    <row r="24" spans="1:12" x14ac:dyDescent="0.2">
      <c r="A24" s="13" t="s">
        <v>46</v>
      </c>
      <c r="B24" s="16"/>
      <c r="C24" s="16"/>
      <c r="D24" s="16"/>
      <c r="E24" s="16"/>
      <c r="F24" s="16"/>
      <c r="G24" s="16"/>
      <c r="H24" s="16"/>
      <c r="I24" s="16"/>
    </row>
    <row r="25" spans="1:12" x14ac:dyDescent="0.2">
      <c r="A25" s="13"/>
      <c r="B25" s="16"/>
      <c r="C25" s="16"/>
      <c r="D25" s="16"/>
      <c r="E25" s="16"/>
      <c r="F25" s="16"/>
      <c r="G25" s="16"/>
      <c r="H25" s="16"/>
      <c r="I25" s="16"/>
    </row>
    <row r="26" spans="1:12" x14ac:dyDescent="0.2">
      <c r="A26" s="13" t="s">
        <v>16</v>
      </c>
      <c r="B26" s="16">
        <f>SUM(C26:I26)</f>
        <v>0</v>
      </c>
      <c r="C26" s="16">
        <v>0</v>
      </c>
      <c r="D26" s="20">
        <v>0</v>
      </c>
      <c r="E26" s="16">
        <v>0</v>
      </c>
      <c r="F26" s="20">
        <v>0</v>
      </c>
      <c r="G26" s="16">
        <v>0</v>
      </c>
      <c r="H26" s="16">
        <v>0</v>
      </c>
      <c r="I26" s="16">
        <v>0</v>
      </c>
    </row>
    <row r="27" spans="1:12" x14ac:dyDescent="0.2">
      <c r="A27" s="13" t="s">
        <v>17</v>
      </c>
      <c r="B27" s="16">
        <f t="shared" ref="B27:B29" si="2">SUM(C27:I27)</f>
        <v>0</v>
      </c>
      <c r="C27" s="16">
        <v>0</v>
      </c>
      <c r="D27" s="20">
        <v>0</v>
      </c>
      <c r="E27" s="16">
        <v>0</v>
      </c>
      <c r="F27" s="20">
        <v>0</v>
      </c>
      <c r="G27" s="20">
        <v>0</v>
      </c>
      <c r="H27" s="16">
        <v>0</v>
      </c>
      <c r="I27" s="20">
        <v>0</v>
      </c>
    </row>
    <row r="28" spans="1:12" x14ac:dyDescent="0.2">
      <c r="A28" s="13" t="s">
        <v>15</v>
      </c>
      <c r="B28" s="16">
        <f t="shared" si="2"/>
        <v>36</v>
      </c>
      <c r="C28" s="20">
        <v>0</v>
      </c>
      <c r="D28" s="20">
        <v>0</v>
      </c>
      <c r="E28" s="20">
        <v>36</v>
      </c>
      <c r="F28" s="20">
        <v>0</v>
      </c>
      <c r="G28" s="20">
        <v>0</v>
      </c>
      <c r="H28" s="16">
        <v>0</v>
      </c>
      <c r="I28" s="20">
        <v>0</v>
      </c>
    </row>
    <row r="29" spans="1:12" x14ac:dyDescent="0.2">
      <c r="A29" s="13" t="s">
        <v>14</v>
      </c>
      <c r="B29" s="16">
        <f t="shared" si="2"/>
        <v>166</v>
      </c>
      <c r="C29" s="24">
        <v>0</v>
      </c>
      <c r="D29" s="24">
        <v>0</v>
      </c>
      <c r="E29" s="24">
        <v>166</v>
      </c>
      <c r="F29" s="24">
        <v>0</v>
      </c>
      <c r="G29" s="24">
        <v>0</v>
      </c>
      <c r="H29" s="16">
        <v>0</v>
      </c>
      <c r="I29" s="24">
        <v>0</v>
      </c>
      <c r="K29" s="25">
        <f>B35+B36+B37+B38</f>
        <v>32240</v>
      </c>
      <c r="L29" s="3">
        <f>B35/K29*100</f>
        <v>78.647642679900741</v>
      </c>
    </row>
    <row r="30" spans="1:12" x14ac:dyDescent="0.2">
      <c r="B30" s="25"/>
      <c r="C30" s="25"/>
      <c r="D30" s="25"/>
      <c r="E30" s="25"/>
      <c r="F30" s="26"/>
      <c r="G30" s="26"/>
      <c r="H30" s="26"/>
      <c r="I30" s="27"/>
      <c r="L30" s="3">
        <f>B36/K29*100</f>
        <v>0.13337468982630274</v>
      </c>
    </row>
    <row r="31" spans="1:12" x14ac:dyDescent="0.2">
      <c r="A31" s="12">
        <v>2014</v>
      </c>
      <c r="B31" s="17"/>
      <c r="C31" s="17"/>
      <c r="D31" s="16"/>
      <c r="E31" s="16"/>
      <c r="F31" s="16"/>
      <c r="G31" s="16"/>
      <c r="H31" s="16"/>
      <c r="I31" s="17"/>
      <c r="L31" s="3">
        <f>B37/K29*100</f>
        <v>10.446650124069478</v>
      </c>
    </row>
    <row r="32" spans="1:12" x14ac:dyDescent="0.2">
      <c r="A32" s="12"/>
      <c r="B32" s="17"/>
      <c r="C32" s="17"/>
      <c r="D32" s="16"/>
      <c r="E32" s="16"/>
      <c r="F32" s="16"/>
      <c r="G32" s="16"/>
      <c r="H32" s="16"/>
      <c r="I32" s="17"/>
      <c r="L32" s="3">
        <f>B38/K29*100</f>
        <v>10.772332506203472</v>
      </c>
    </row>
    <row r="33" spans="1:19" x14ac:dyDescent="0.2">
      <c r="A33" s="13" t="s">
        <v>13</v>
      </c>
      <c r="B33" s="17"/>
      <c r="C33" s="17"/>
      <c r="D33" s="16"/>
      <c r="E33" s="16"/>
      <c r="F33" s="16"/>
      <c r="G33" s="16"/>
      <c r="H33" s="16"/>
      <c r="I33" s="17"/>
      <c r="L33" s="3">
        <f>SUM(L29:L32)</f>
        <v>99.999999999999986</v>
      </c>
    </row>
    <row r="34" spans="1:19" x14ac:dyDescent="0.2">
      <c r="A34" s="13"/>
      <c r="B34" s="16"/>
      <c r="C34" s="16"/>
      <c r="D34" s="16"/>
      <c r="E34" s="16"/>
      <c r="F34" s="16"/>
      <c r="G34" s="16"/>
      <c r="H34" s="16"/>
      <c r="I34" s="16"/>
    </row>
    <row r="35" spans="1:19" x14ac:dyDescent="0.2">
      <c r="A35" s="13" t="s">
        <v>16</v>
      </c>
      <c r="B35" s="16">
        <f>SUM(C35:I35)</f>
        <v>25356</v>
      </c>
      <c r="C35" s="16">
        <v>4322</v>
      </c>
      <c r="D35" s="20">
        <v>1484</v>
      </c>
      <c r="E35" s="16">
        <v>8875</v>
      </c>
      <c r="F35" s="20">
        <v>4464</v>
      </c>
      <c r="G35" s="16">
        <v>2318</v>
      </c>
      <c r="H35" s="16">
        <v>2684</v>
      </c>
      <c r="I35" s="16">
        <v>1209</v>
      </c>
    </row>
    <row r="36" spans="1:19" x14ac:dyDescent="0.2">
      <c r="A36" s="13" t="s">
        <v>17</v>
      </c>
      <c r="B36" s="16">
        <f t="shared" ref="B36:B38" si="3">SUM(C36:I36)</f>
        <v>43</v>
      </c>
      <c r="C36" s="16">
        <v>7</v>
      </c>
      <c r="D36" s="20">
        <v>3</v>
      </c>
      <c r="E36" s="16">
        <v>15</v>
      </c>
      <c r="F36" s="20">
        <v>0</v>
      </c>
      <c r="G36" s="16">
        <v>6</v>
      </c>
      <c r="H36" s="16">
        <v>5</v>
      </c>
      <c r="I36" s="16">
        <v>7</v>
      </c>
    </row>
    <row r="37" spans="1:19" x14ac:dyDescent="0.2">
      <c r="A37" s="13" t="s">
        <v>15</v>
      </c>
      <c r="B37" s="16">
        <f t="shared" si="3"/>
        <v>3368</v>
      </c>
      <c r="C37" s="16">
        <v>703</v>
      </c>
      <c r="D37" s="16">
        <v>84</v>
      </c>
      <c r="E37" s="16">
        <v>1923</v>
      </c>
      <c r="F37" s="20">
        <v>0</v>
      </c>
      <c r="G37" s="16">
        <v>276</v>
      </c>
      <c r="H37" s="16">
        <v>307</v>
      </c>
      <c r="I37" s="16">
        <v>75</v>
      </c>
    </row>
    <row r="38" spans="1:19" x14ac:dyDescent="0.2">
      <c r="A38" s="13" t="s">
        <v>14</v>
      </c>
      <c r="B38" s="16">
        <f t="shared" si="3"/>
        <v>3473</v>
      </c>
      <c r="C38" s="16">
        <v>1445</v>
      </c>
      <c r="D38" s="20">
        <v>59</v>
      </c>
      <c r="E38" s="16">
        <v>585</v>
      </c>
      <c r="F38" s="20">
        <v>0</v>
      </c>
      <c r="G38" s="20">
        <v>535</v>
      </c>
      <c r="H38" s="16">
        <v>493</v>
      </c>
      <c r="I38" s="16">
        <v>356</v>
      </c>
    </row>
    <row r="39" spans="1:19" x14ac:dyDescent="0.2">
      <c r="A39" s="13"/>
      <c r="B39" s="19"/>
      <c r="C39" s="19"/>
      <c r="D39" s="19"/>
      <c r="E39" s="19"/>
      <c r="F39" s="19"/>
      <c r="G39" s="16"/>
      <c r="H39" s="16"/>
      <c r="I39" s="16"/>
    </row>
    <row r="40" spans="1:19" x14ac:dyDescent="0.2">
      <c r="A40" s="13" t="s">
        <v>18</v>
      </c>
      <c r="B40" s="19"/>
      <c r="C40" s="19"/>
      <c r="D40" s="19"/>
      <c r="E40" s="19"/>
      <c r="F40" s="19"/>
      <c r="G40" s="16"/>
      <c r="H40" s="16"/>
      <c r="I40" s="16"/>
      <c r="M40" s="52" t="s">
        <v>4</v>
      </c>
      <c r="N40" s="52" t="s">
        <v>5</v>
      </c>
      <c r="O40" s="14" t="s">
        <v>6</v>
      </c>
      <c r="P40" s="52" t="s">
        <v>7</v>
      </c>
      <c r="Q40" s="52" t="s">
        <v>9</v>
      </c>
      <c r="R40" s="52" t="s">
        <v>8</v>
      </c>
      <c r="S40" s="18" t="s">
        <v>20</v>
      </c>
    </row>
    <row r="41" spans="1:19" x14ac:dyDescent="0.2">
      <c r="A41" s="13"/>
      <c r="B41" s="19"/>
      <c r="C41" s="19"/>
      <c r="D41" s="19"/>
      <c r="E41" s="19"/>
      <c r="F41" s="19"/>
      <c r="G41" s="16"/>
      <c r="H41" s="16"/>
      <c r="I41" s="16"/>
      <c r="M41" s="53"/>
      <c r="N41" s="53"/>
      <c r="O41" s="15" t="s">
        <v>11</v>
      </c>
      <c r="P41" s="53"/>
      <c r="Q41" s="53"/>
      <c r="R41" s="53"/>
      <c r="S41" s="15" t="s">
        <v>12</v>
      </c>
    </row>
    <row r="42" spans="1:19" x14ac:dyDescent="0.2">
      <c r="A42" s="13" t="s">
        <v>16</v>
      </c>
      <c r="B42" s="16">
        <f>SUM(C42:I42)</f>
        <v>197</v>
      </c>
      <c r="C42" s="16">
        <v>82</v>
      </c>
      <c r="D42" s="20">
        <v>0</v>
      </c>
      <c r="E42" s="16">
        <v>0</v>
      </c>
      <c r="F42" s="20">
        <v>107</v>
      </c>
      <c r="G42" s="16">
        <v>0</v>
      </c>
      <c r="H42" s="16">
        <v>0</v>
      </c>
      <c r="I42" s="16">
        <v>8</v>
      </c>
      <c r="K42" s="13" t="s">
        <v>16</v>
      </c>
      <c r="M42" s="25">
        <f>C35+C42+C49</f>
        <v>4404</v>
      </c>
      <c r="N42" s="25">
        <f t="shared" ref="N42:S42" si="4">D35+D42+D49</f>
        <v>1484</v>
      </c>
      <c r="O42" s="25">
        <f t="shared" si="4"/>
        <v>8875</v>
      </c>
      <c r="P42" s="25">
        <f t="shared" si="4"/>
        <v>4571</v>
      </c>
      <c r="Q42" s="25">
        <f t="shared" si="4"/>
        <v>2318</v>
      </c>
      <c r="R42" s="25">
        <f t="shared" si="4"/>
        <v>2684</v>
      </c>
      <c r="S42" s="25">
        <f t="shared" si="4"/>
        <v>1217</v>
      </c>
    </row>
    <row r="43" spans="1:19" x14ac:dyDescent="0.2">
      <c r="A43" s="13" t="s">
        <v>17</v>
      </c>
      <c r="B43" s="16">
        <f t="shared" ref="B43:B45" si="5">SUM(C43:I43)</f>
        <v>70</v>
      </c>
      <c r="C43" s="16">
        <v>11</v>
      </c>
      <c r="D43" s="20">
        <v>2</v>
      </c>
      <c r="E43" s="16">
        <v>34</v>
      </c>
      <c r="F43" s="20">
        <v>0</v>
      </c>
      <c r="G43" s="16">
        <v>12</v>
      </c>
      <c r="H43" s="16">
        <v>3</v>
      </c>
      <c r="I43" s="16">
        <v>8</v>
      </c>
      <c r="K43" s="13" t="s">
        <v>17</v>
      </c>
      <c r="M43" s="25">
        <f>C36+C43+C50</f>
        <v>18</v>
      </c>
      <c r="N43" s="25">
        <f t="shared" ref="N43:S43" si="6">D36+D43+D50</f>
        <v>5</v>
      </c>
      <c r="O43" s="25">
        <f t="shared" si="6"/>
        <v>49</v>
      </c>
      <c r="P43" s="25">
        <f t="shared" si="6"/>
        <v>0</v>
      </c>
      <c r="Q43" s="25">
        <f t="shared" si="6"/>
        <v>18</v>
      </c>
      <c r="R43" s="25">
        <f t="shared" si="6"/>
        <v>8</v>
      </c>
      <c r="S43" s="25">
        <f t="shared" si="6"/>
        <v>15</v>
      </c>
    </row>
    <row r="44" spans="1:19" x14ac:dyDescent="0.2">
      <c r="A44" s="13" t="s">
        <v>15</v>
      </c>
      <c r="B44" s="16">
        <f t="shared" si="5"/>
        <v>6429</v>
      </c>
      <c r="C44" s="20">
        <v>655</v>
      </c>
      <c r="D44" s="20">
        <v>84</v>
      </c>
      <c r="E44" s="20">
        <v>5189</v>
      </c>
      <c r="F44" s="20">
        <v>0</v>
      </c>
      <c r="G44" s="20">
        <v>172</v>
      </c>
      <c r="H44" s="20">
        <v>257</v>
      </c>
      <c r="I44" s="16">
        <v>72</v>
      </c>
      <c r="K44" s="13" t="s">
        <v>15</v>
      </c>
      <c r="M44" s="25">
        <f>C37+C44+C51</f>
        <v>1358</v>
      </c>
      <c r="N44" s="25">
        <f t="shared" ref="N44:S44" si="7">D37+D44+D51</f>
        <v>168</v>
      </c>
      <c r="O44" s="25">
        <f t="shared" si="7"/>
        <v>7171</v>
      </c>
      <c r="P44" s="25">
        <f t="shared" si="7"/>
        <v>0</v>
      </c>
      <c r="Q44" s="25">
        <f t="shared" si="7"/>
        <v>448</v>
      </c>
      <c r="R44" s="25">
        <f t="shared" si="7"/>
        <v>564</v>
      </c>
      <c r="S44" s="25">
        <f t="shared" si="7"/>
        <v>147</v>
      </c>
    </row>
    <row r="45" spans="1:19" x14ac:dyDescent="0.2">
      <c r="A45" s="13" t="s">
        <v>14</v>
      </c>
      <c r="B45" s="16">
        <f t="shared" si="5"/>
        <v>20963</v>
      </c>
      <c r="C45" s="16">
        <v>3835</v>
      </c>
      <c r="D45" s="20">
        <v>524</v>
      </c>
      <c r="E45" s="16">
        <v>13133</v>
      </c>
      <c r="F45" s="20">
        <v>0</v>
      </c>
      <c r="G45" s="20">
        <v>1423</v>
      </c>
      <c r="H45" s="16">
        <v>1374</v>
      </c>
      <c r="I45" s="16">
        <v>674</v>
      </c>
      <c r="K45" s="13" t="s">
        <v>14</v>
      </c>
      <c r="M45" s="25">
        <f>C38+C45+C52</f>
        <v>5280</v>
      </c>
      <c r="N45" s="25">
        <f t="shared" ref="N45:S45" si="8">D38+D45+D52</f>
        <v>583</v>
      </c>
      <c r="O45" s="25">
        <f t="shared" si="8"/>
        <v>13901</v>
      </c>
      <c r="P45" s="25">
        <f t="shared" si="8"/>
        <v>0</v>
      </c>
      <c r="Q45" s="25">
        <f t="shared" si="8"/>
        <v>1958</v>
      </c>
      <c r="R45" s="25">
        <f t="shared" si="8"/>
        <v>1867</v>
      </c>
      <c r="S45" s="25">
        <f t="shared" si="8"/>
        <v>1030</v>
      </c>
    </row>
    <row r="46" spans="1:19" x14ac:dyDescent="0.2">
      <c r="A46" s="13"/>
      <c r="B46" s="16"/>
      <c r="C46" s="16"/>
      <c r="D46" s="16"/>
      <c r="E46" s="16"/>
      <c r="F46" s="16"/>
      <c r="G46" s="16"/>
      <c r="H46" s="16"/>
      <c r="I46" s="16"/>
    </row>
    <row r="47" spans="1:19" x14ac:dyDescent="0.2">
      <c r="A47" s="13" t="s">
        <v>19</v>
      </c>
      <c r="B47" s="16"/>
      <c r="C47" s="16"/>
      <c r="D47" s="16"/>
      <c r="E47" s="16"/>
      <c r="F47" s="16"/>
      <c r="G47" s="16"/>
      <c r="H47" s="16"/>
      <c r="I47" s="16"/>
    </row>
    <row r="48" spans="1:19" x14ac:dyDescent="0.2">
      <c r="A48" s="13"/>
      <c r="B48" s="16"/>
      <c r="C48" s="16"/>
      <c r="D48" s="16"/>
      <c r="E48" s="16"/>
      <c r="F48" s="16"/>
      <c r="G48" s="16"/>
      <c r="H48" s="16"/>
      <c r="I48" s="16"/>
    </row>
    <row r="49" spans="1:9" x14ac:dyDescent="0.2">
      <c r="A49" s="13" t="s">
        <v>16</v>
      </c>
      <c r="B49" s="16">
        <f>SUM(C49:I49)</f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</row>
    <row r="50" spans="1:9" x14ac:dyDescent="0.2">
      <c r="A50" s="13" t="s">
        <v>17</v>
      </c>
      <c r="B50" s="16">
        <f t="shared" ref="B50:B52" si="9">SUM(C50:I50)</f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</row>
    <row r="51" spans="1:9" x14ac:dyDescent="0.2">
      <c r="A51" s="13" t="s">
        <v>15</v>
      </c>
      <c r="B51" s="16">
        <f t="shared" si="9"/>
        <v>59</v>
      </c>
      <c r="C51" s="20">
        <v>0</v>
      </c>
      <c r="D51" s="20">
        <v>0</v>
      </c>
      <c r="E51" s="20">
        <v>59</v>
      </c>
      <c r="F51" s="20">
        <v>0</v>
      </c>
      <c r="G51" s="20">
        <v>0</v>
      </c>
      <c r="H51" s="20">
        <v>0</v>
      </c>
      <c r="I51" s="20">
        <v>0</v>
      </c>
    </row>
    <row r="52" spans="1:9" x14ac:dyDescent="0.2">
      <c r="A52" s="21" t="s">
        <v>14</v>
      </c>
      <c r="B52" s="22">
        <f t="shared" si="9"/>
        <v>183</v>
      </c>
      <c r="C52" s="23">
        <v>0</v>
      </c>
      <c r="D52" s="23">
        <v>0</v>
      </c>
      <c r="E52" s="23">
        <v>183</v>
      </c>
      <c r="F52" s="23">
        <v>0</v>
      </c>
      <c r="G52" s="23">
        <v>0</v>
      </c>
      <c r="H52" s="23">
        <v>0</v>
      </c>
      <c r="I52" s="23">
        <v>0</v>
      </c>
    </row>
    <row r="53" spans="1:9" ht="12.75" customHeight="1" x14ac:dyDescent="0.2">
      <c r="A53" s="9" t="s">
        <v>48</v>
      </c>
      <c r="B53" s="6"/>
      <c r="C53" s="6"/>
      <c r="D53" s="7"/>
      <c r="E53" s="7"/>
      <c r="F53" s="7"/>
      <c r="G53" s="7"/>
      <c r="H53" s="7"/>
      <c r="I53" s="6"/>
    </row>
    <row r="54" spans="1:9" x14ac:dyDescent="0.2">
      <c r="A54" s="9" t="s">
        <v>47</v>
      </c>
    </row>
  </sheetData>
  <mergeCells count="11">
    <mergeCell ref="M40:M41"/>
    <mergeCell ref="N40:N41"/>
    <mergeCell ref="P40:P41"/>
    <mergeCell ref="Q40:Q41"/>
    <mergeCell ref="R40:R41"/>
    <mergeCell ref="H5:H6"/>
    <mergeCell ref="B5:B6"/>
    <mergeCell ref="C5:C6"/>
    <mergeCell ref="D5:D6"/>
    <mergeCell ref="F5:F6"/>
    <mergeCell ref="G5:G6"/>
  </mergeCells>
  <pageMargins left="0.75" right="0.75" top="0.75" bottom="0.75" header="0" footer="0.25"/>
  <pageSetup paperSize="9" pageOrder="overThenDown" orientation="portrait" r:id="rId1"/>
  <headerFooter alignWithMargins="0">
    <oddFooter xml:space="preserve">&amp;C13-&amp;P+8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Table13.4_10</vt:lpstr>
      <vt:lpstr>Sheet1</vt:lpstr>
      <vt:lpstr>Table13.4_10 (2)</vt:lpstr>
      <vt:lpstr>Table13.4_10!Print_Area</vt:lpstr>
      <vt:lpstr>'Table13.4_10 (2)'!Print_Area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Table13.4</dc:title>
  <dc:subject>Number/Permit issued  by type and Province/City/.</dc:subject>
  <dc:creator>NSCB</dc:creator>
  <cp:lastModifiedBy>My PC</cp:lastModifiedBy>
  <cp:lastPrinted>2014-12-03T00:08:15Z</cp:lastPrinted>
  <dcterms:created xsi:type="dcterms:W3CDTF">1999-10-19T13:44:13Z</dcterms:created>
  <dcterms:modified xsi:type="dcterms:W3CDTF">2014-12-03T00:54:54Z</dcterms:modified>
</cp:coreProperties>
</file>