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100" yWindow="0" windowWidth="2052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4" i="1" l="1"/>
  <c r="K45" i="1"/>
  <c r="K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L44" i="1"/>
  <c r="M44" i="1"/>
  <c r="M45" i="1"/>
  <c r="M46" i="1"/>
  <c r="M47" i="1"/>
  <c r="M48" i="1"/>
  <c r="M49" i="1"/>
  <c r="M50" i="1"/>
  <c r="M51" i="1"/>
  <c r="M5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5" i="1"/>
  <c r="L46" i="1"/>
  <c r="L47" i="1"/>
  <c r="L48" i="1"/>
  <c r="L49" i="1"/>
  <c r="L50" i="1"/>
  <c r="L51" i="1"/>
  <c r="L5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6" i="1"/>
  <c r="K47" i="1"/>
  <c r="K48" i="1"/>
  <c r="K49" i="1"/>
  <c r="K50" i="1"/>
  <c r="K51" i="1"/>
  <c r="K52" i="1"/>
  <c r="E2" i="1"/>
  <c r="F2" i="1"/>
  <c r="G2" i="1"/>
  <c r="J3" i="1"/>
  <c r="H4" i="1"/>
  <c r="J4" i="1"/>
  <c r="H5" i="1"/>
  <c r="J5" i="1"/>
  <c r="H6" i="1"/>
  <c r="J6" i="1"/>
  <c r="H7" i="1"/>
  <c r="J7" i="1"/>
  <c r="H8" i="1"/>
  <c r="J8" i="1"/>
  <c r="H9" i="1"/>
  <c r="J9" i="1"/>
  <c r="H10" i="1"/>
  <c r="J10" i="1"/>
  <c r="H11" i="1"/>
  <c r="J11" i="1"/>
  <c r="H12" i="1"/>
  <c r="J12" i="1"/>
  <c r="H13" i="1"/>
  <c r="J13" i="1"/>
  <c r="H14" i="1"/>
  <c r="J14" i="1"/>
  <c r="H15" i="1"/>
  <c r="J15" i="1"/>
  <c r="H16" i="1"/>
  <c r="J16" i="1"/>
  <c r="H17" i="1"/>
  <c r="J17" i="1"/>
  <c r="H18" i="1"/>
  <c r="J18" i="1"/>
  <c r="H19" i="1"/>
  <c r="J19" i="1"/>
  <c r="H20" i="1"/>
  <c r="J20" i="1"/>
  <c r="J21" i="1"/>
  <c r="H22" i="1"/>
  <c r="J22" i="1"/>
  <c r="H23" i="1"/>
  <c r="J23" i="1"/>
  <c r="H24" i="1"/>
  <c r="J24" i="1"/>
  <c r="H25" i="1"/>
  <c r="J25" i="1"/>
  <c r="H26" i="1"/>
  <c r="J26" i="1"/>
  <c r="H27" i="1"/>
  <c r="J27" i="1"/>
  <c r="H28" i="1"/>
  <c r="J28" i="1"/>
  <c r="H29" i="1"/>
  <c r="J29" i="1"/>
  <c r="H30" i="1"/>
  <c r="J30" i="1"/>
  <c r="J31" i="1"/>
  <c r="H32" i="1"/>
  <c r="J32" i="1"/>
  <c r="H33" i="1"/>
  <c r="J33" i="1"/>
  <c r="H34" i="1"/>
  <c r="J34" i="1"/>
  <c r="H35" i="1"/>
  <c r="J35" i="1"/>
  <c r="H36" i="1"/>
  <c r="J36" i="1"/>
  <c r="H37" i="1"/>
  <c r="J37" i="1"/>
  <c r="H38" i="1"/>
  <c r="J38" i="1"/>
  <c r="H39" i="1"/>
  <c r="J39" i="1"/>
  <c r="H40" i="1"/>
  <c r="J40" i="1"/>
  <c r="H41" i="1"/>
  <c r="J41" i="1"/>
  <c r="H42" i="1"/>
  <c r="J42" i="1"/>
  <c r="H43" i="1"/>
  <c r="J43" i="1"/>
  <c r="H44" i="1"/>
  <c r="J44" i="1"/>
  <c r="H45" i="1"/>
  <c r="J45" i="1"/>
  <c r="H46" i="1"/>
  <c r="J46" i="1"/>
  <c r="H47" i="1"/>
  <c r="J47" i="1"/>
  <c r="H48" i="1"/>
  <c r="J48" i="1"/>
  <c r="H49" i="1"/>
  <c r="J49" i="1"/>
  <c r="H50" i="1"/>
  <c r="J50" i="1"/>
  <c r="H51" i="1"/>
  <c r="J51" i="1"/>
  <c r="H52" i="1"/>
  <c r="J52" i="1"/>
  <c r="H2" i="1"/>
  <c r="J2" i="1"/>
  <c r="E52" i="1"/>
  <c r="G52" i="1"/>
  <c r="F52" i="1"/>
  <c r="I51" i="1"/>
  <c r="E51" i="1"/>
  <c r="G51" i="1"/>
  <c r="F51" i="1"/>
  <c r="I50" i="1"/>
  <c r="E50" i="1"/>
  <c r="G50" i="1"/>
  <c r="F50" i="1"/>
  <c r="I49" i="1"/>
  <c r="E49" i="1"/>
  <c r="G49" i="1"/>
  <c r="F49" i="1"/>
  <c r="I48" i="1"/>
  <c r="E48" i="1"/>
  <c r="G48" i="1"/>
  <c r="F48" i="1"/>
  <c r="I47" i="1"/>
  <c r="G47" i="1"/>
  <c r="I46" i="1"/>
  <c r="E46" i="1"/>
  <c r="G46" i="1"/>
  <c r="F46" i="1"/>
  <c r="I45" i="1"/>
  <c r="E45" i="1"/>
  <c r="G45" i="1"/>
  <c r="F45" i="1"/>
  <c r="I44" i="1"/>
  <c r="E44" i="1"/>
  <c r="G44" i="1"/>
  <c r="F44" i="1"/>
  <c r="E43" i="1"/>
  <c r="G43" i="1"/>
  <c r="I42" i="1"/>
  <c r="E42" i="1"/>
  <c r="G42" i="1"/>
  <c r="F42" i="1"/>
  <c r="I41" i="1"/>
  <c r="E41" i="1"/>
  <c r="G41" i="1"/>
  <c r="I40" i="1"/>
  <c r="E40" i="1"/>
  <c r="G40" i="1"/>
  <c r="F40" i="1"/>
  <c r="I39" i="1"/>
  <c r="E39" i="1"/>
  <c r="G39" i="1"/>
  <c r="F39" i="1"/>
  <c r="E38" i="1"/>
  <c r="G38" i="1"/>
  <c r="F38" i="1"/>
  <c r="I37" i="1"/>
  <c r="E37" i="1"/>
  <c r="G37" i="1"/>
  <c r="F37" i="1"/>
  <c r="E36" i="1"/>
  <c r="G36" i="1"/>
  <c r="F36" i="1"/>
  <c r="I35" i="1"/>
  <c r="E35" i="1"/>
  <c r="G35" i="1"/>
  <c r="F35" i="1"/>
  <c r="I34" i="1"/>
  <c r="E34" i="1"/>
  <c r="G34" i="1"/>
  <c r="F34" i="1"/>
  <c r="I33" i="1"/>
  <c r="E33" i="1"/>
  <c r="G33" i="1"/>
  <c r="F33" i="1"/>
  <c r="E32" i="1"/>
  <c r="G32" i="1"/>
  <c r="F32" i="1"/>
  <c r="I31" i="1"/>
  <c r="E31" i="1"/>
  <c r="G31" i="1"/>
  <c r="I30" i="1"/>
  <c r="E30" i="1"/>
  <c r="F30" i="1"/>
  <c r="I29" i="1"/>
  <c r="E29" i="1"/>
  <c r="I28" i="1"/>
  <c r="E28" i="1"/>
  <c r="G28" i="1"/>
  <c r="F28" i="1"/>
  <c r="I27" i="1"/>
  <c r="E27" i="1"/>
  <c r="G27" i="1"/>
  <c r="F27" i="1"/>
  <c r="I26" i="1"/>
  <c r="E26" i="1"/>
  <c r="G26" i="1"/>
  <c r="F26" i="1"/>
  <c r="I25" i="1"/>
  <c r="E25" i="1"/>
  <c r="G25" i="1"/>
  <c r="F25" i="1"/>
  <c r="I24" i="1"/>
  <c r="E24" i="1"/>
  <c r="G24" i="1"/>
  <c r="F24" i="1"/>
  <c r="I23" i="1"/>
  <c r="E23" i="1"/>
  <c r="G23" i="1"/>
  <c r="I22" i="1"/>
  <c r="E22" i="1"/>
  <c r="G22" i="1"/>
  <c r="F22" i="1"/>
  <c r="I21" i="1"/>
  <c r="E21" i="1"/>
  <c r="G21" i="1"/>
  <c r="F21" i="1"/>
  <c r="I20" i="1"/>
  <c r="E20" i="1"/>
  <c r="G20" i="1"/>
  <c r="F20" i="1"/>
  <c r="I19" i="1"/>
  <c r="E19" i="1"/>
  <c r="G19" i="1"/>
  <c r="F19" i="1"/>
  <c r="I18" i="1"/>
  <c r="E18" i="1"/>
  <c r="G18" i="1"/>
  <c r="F18" i="1"/>
  <c r="I17" i="1"/>
  <c r="E17" i="1"/>
  <c r="G17" i="1"/>
  <c r="F17" i="1"/>
  <c r="I16" i="1"/>
  <c r="E16" i="1"/>
  <c r="G16" i="1"/>
  <c r="F16" i="1"/>
  <c r="I15" i="1"/>
  <c r="E15" i="1"/>
  <c r="G15" i="1"/>
  <c r="F15" i="1"/>
  <c r="I14" i="1"/>
  <c r="E14" i="1"/>
  <c r="G13" i="1"/>
  <c r="F13" i="1"/>
  <c r="I12" i="1"/>
  <c r="E12" i="1"/>
  <c r="G12" i="1"/>
  <c r="F12" i="1"/>
  <c r="I11" i="1"/>
  <c r="E11" i="1"/>
  <c r="G11" i="1"/>
  <c r="F11" i="1"/>
  <c r="I10" i="1"/>
  <c r="E10" i="1"/>
  <c r="F10" i="1"/>
  <c r="I8" i="1"/>
  <c r="E8" i="1"/>
  <c r="I7" i="1"/>
  <c r="E7" i="1"/>
  <c r="G7" i="1"/>
  <c r="F7" i="1"/>
  <c r="I6" i="1"/>
  <c r="E6" i="1"/>
  <c r="G6" i="1"/>
  <c r="F6" i="1"/>
  <c r="I5" i="1"/>
  <c r="E5" i="1"/>
  <c r="F5" i="1"/>
  <c r="I4" i="1"/>
  <c r="E4" i="1"/>
  <c r="G4" i="1"/>
  <c r="F4" i="1"/>
  <c r="I3" i="1"/>
  <c r="E3" i="1"/>
  <c r="G3" i="1"/>
  <c r="F3" i="1"/>
  <c r="I2" i="1"/>
</calcChain>
</file>

<file path=xl/sharedStrings.xml><?xml version="1.0" encoding="utf-8"?>
<sst xmlns="http://schemas.openxmlformats.org/spreadsheetml/2006/main" count="64" uniqueCount="64">
  <si>
    <t>State</t>
  </si>
  <si>
    <t>Solar</t>
  </si>
  <si>
    <t>Wind</t>
  </si>
  <si>
    <t>Hydro</t>
  </si>
  <si>
    <t>Natural Gas</t>
  </si>
  <si>
    <t>Coal</t>
  </si>
  <si>
    <t>Oil</t>
  </si>
  <si>
    <t>Other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</si>
  <si>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</si>
  <si>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</si>
  <si>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</si>
  <si>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</si>
  <si>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</si>
  <si>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</si>
  <si>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</si>
  <si>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</si>
  <si>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</si>
  <si>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</si>
  <si>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</si>
  <si>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</si>
  <si>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</si>
  <si>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</si>
  <si>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</si>
  <si>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</si>
  <si>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</si>
  <si>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</si>
  <si>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</si>
  <si>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</si>
  <si>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</si>
  <si>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</si>
  <si>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</si>
  <si>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</si>
  <si>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</si>
  <si>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</si>
  <si>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</si>
  <si>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</si>
  <si>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</si>
  <si>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</si>
  <si>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</si>
  <si>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</si>
  <si>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</si>
  <si>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</si>
  <si>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</si>
  <si>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</si>
  <si>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</si>
  <si>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</si>
  <si>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</si>
  <si>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</si>
  <si>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</si>
  <si>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</si>
  <si>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</si>
  <si>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</si>
  <si>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</si>
  <si>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</si>
  <si>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</si>
  <si>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</si>
  <si>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</si>
  <si>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</si>
  <si>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</si>
  <si>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Bio</t>
  </si>
  <si>
    <t>Clean</t>
  </si>
  <si>
    <t>Fossil</t>
  </si>
  <si>
    <t>Total</t>
  </si>
  <si>
    <t>Percent Clean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</si>
</sst>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workbookViewId="0">
      <selection activeCell="K45" sqref="K45"/>
    </sheetView>
  </sheetViews>
  <sheetFormatPr baseColWidth="10" defaultRowHeight="15" x14ac:dyDescent="0"/>
  <cols>
    <col min="2" max="9" width="10.83203125" style="2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59</v>
      </c>
      <c r="I1" t="s">
        <v>7</v>
      </c>
      <c r="J1" t="s">
        <v>60</v>
      </c>
      <c r="K1" t="s">
        <v>61</v>
      </c>
      <c r="L1" t="s">
        <v>62</v>
      </c>
      <c r="M1" t="s">
        <v>63</v>
      </c>
    </row>
    <row r="2" spans="1:13">
      <c r="A2" t="s">
        <v>8</v>
      </c>
      <c r="B2" s="2">
        <v>760</v>
      </c>
      <c r="C2" s="2">
        <v>1077</v>
      </c>
      <c r="D2" s="2">
        <v>350</v>
      </c>
      <c r="E2" s="2">
        <f>1657+912</f>
        <v>2569</v>
      </c>
      <c r="F2" s="2">
        <f>SUM(1529+2540)</f>
        <v>4069</v>
      </c>
      <c r="G2" s="2">
        <f>204+3398</f>
        <v>3602</v>
      </c>
      <c r="H2" s="2">
        <f>54+8+1047</f>
        <v>1109</v>
      </c>
      <c r="I2" s="2">
        <f>3468+2880</f>
        <v>6348</v>
      </c>
      <c r="J2">
        <f>SUM(B2+C2+D2+H2)</f>
        <v>3296</v>
      </c>
      <c r="K2">
        <f>SUM(E2+F2+G2)</f>
        <v>10240</v>
      </c>
      <c r="L2">
        <f>SUM(J2:K2)</f>
        <v>13536</v>
      </c>
      <c r="M2">
        <f>SUM((J2/L2)*100)</f>
        <v>24.349881796690305</v>
      </c>
    </row>
    <row r="3" spans="1:13">
      <c r="A3" t="s">
        <v>9</v>
      </c>
      <c r="B3" s="2">
        <v>98</v>
      </c>
      <c r="C3" s="2">
        <v>37</v>
      </c>
      <c r="D3" s="2">
        <v>469</v>
      </c>
      <c r="E3" s="2">
        <f>293+5874</f>
        <v>6167</v>
      </c>
      <c r="F3" s="2">
        <f>88+134</f>
        <v>222</v>
      </c>
      <c r="G3" s="2">
        <f>151+7395</f>
        <v>7546</v>
      </c>
      <c r="H3" s="2">
        <v>45</v>
      </c>
      <c r="I3" s="2">
        <f>188+55</f>
        <v>243</v>
      </c>
      <c r="J3">
        <f t="shared" ref="J3:J52" si="0">SUM(B3+C3+D3+H3)</f>
        <v>649</v>
      </c>
      <c r="K3">
        <f t="shared" ref="K3:K52" si="1">SUM(E3+F3+G3)</f>
        <v>13935</v>
      </c>
      <c r="L3">
        <f t="shared" ref="L3:L52" si="2">SUM(J3:K3)</f>
        <v>14584</v>
      </c>
      <c r="M3">
        <f t="shared" ref="M3:M52" si="3">SUM((J3/L3)*100)</f>
        <v>4.4500822819528256</v>
      </c>
    </row>
    <row r="4" spans="1:13">
      <c r="A4" t="s">
        <v>10</v>
      </c>
      <c r="B4" s="1">
        <v>9774</v>
      </c>
      <c r="C4" s="2">
        <v>694</v>
      </c>
      <c r="D4" s="2">
        <v>151</v>
      </c>
      <c r="E4" s="1">
        <f>3649+174</f>
        <v>3823</v>
      </c>
      <c r="F4" s="1">
        <f>6060+433</f>
        <v>6493</v>
      </c>
      <c r="G4" s="2">
        <f>154+303</f>
        <v>457</v>
      </c>
      <c r="H4" s="2">
        <f>52+64</f>
        <v>116</v>
      </c>
      <c r="I4" s="2">
        <f>781+56</f>
        <v>837</v>
      </c>
      <c r="J4">
        <f t="shared" si="0"/>
        <v>10735</v>
      </c>
      <c r="K4">
        <f t="shared" si="1"/>
        <v>10773</v>
      </c>
      <c r="L4">
        <f t="shared" si="2"/>
        <v>21508</v>
      </c>
      <c r="M4">
        <f t="shared" si="3"/>
        <v>49.911660777385158</v>
      </c>
    </row>
    <row r="5" spans="1:13">
      <c r="A5" t="s">
        <v>11</v>
      </c>
      <c r="B5" s="2">
        <v>339</v>
      </c>
      <c r="C5" s="2">
        <v>825</v>
      </c>
      <c r="D5" s="2">
        <v>33</v>
      </c>
      <c r="E5" s="2">
        <f>329+1723</f>
        <v>2052</v>
      </c>
      <c r="F5" s="2">
        <f>311+115</f>
        <v>426</v>
      </c>
      <c r="G5" s="1">
        <v>3936</v>
      </c>
      <c r="H5" s="2">
        <f>349+509+651</f>
        <v>1509</v>
      </c>
      <c r="I5" s="1">
        <f>1320+517</f>
        <v>1837</v>
      </c>
      <c r="J5">
        <f t="shared" si="0"/>
        <v>2706</v>
      </c>
      <c r="K5">
        <f t="shared" si="1"/>
        <v>6414</v>
      </c>
      <c r="L5">
        <f t="shared" si="2"/>
        <v>9120</v>
      </c>
      <c r="M5">
        <f t="shared" si="3"/>
        <v>29.671052631578949</v>
      </c>
    </row>
    <row r="6" spans="1:13">
      <c r="A6" t="s">
        <v>12</v>
      </c>
      <c r="B6" s="1">
        <v>152947</v>
      </c>
      <c r="C6" s="1">
        <v>4635</v>
      </c>
      <c r="D6" s="1">
        <v>11890</v>
      </c>
      <c r="E6" s="1">
        <f>16960+10687</f>
        <v>27647</v>
      </c>
      <c r="F6" s="2">
        <f>864+1323</f>
        <v>2187</v>
      </c>
      <c r="G6" s="2">
        <f>696+48566</f>
        <v>49262</v>
      </c>
      <c r="H6" s="2">
        <f>246+990+2629</f>
        <v>3865</v>
      </c>
      <c r="I6" s="1">
        <f>15277+4542</f>
        <v>19819</v>
      </c>
      <c r="J6">
        <f t="shared" si="0"/>
        <v>173337</v>
      </c>
      <c r="K6">
        <f t="shared" si="1"/>
        <v>79096</v>
      </c>
      <c r="L6">
        <f t="shared" si="2"/>
        <v>252433</v>
      </c>
      <c r="M6">
        <f t="shared" si="3"/>
        <v>68.666537259391603</v>
      </c>
    </row>
    <row r="7" spans="1:13">
      <c r="A7" t="s">
        <v>13</v>
      </c>
      <c r="B7" s="1">
        <v>8027</v>
      </c>
      <c r="C7" s="1">
        <v>7124</v>
      </c>
      <c r="D7" s="1">
        <v>1014</v>
      </c>
      <c r="E7" s="2">
        <f>486+9845</f>
        <v>10331</v>
      </c>
      <c r="F7" s="1">
        <f>3812+2270</f>
        <v>6082</v>
      </c>
      <c r="G7" s="2">
        <f>316+13731</f>
        <v>14047</v>
      </c>
      <c r="H7" s="2">
        <f>450+2249+3941</f>
        <v>6640</v>
      </c>
      <c r="I7" s="1">
        <f>4316+4278</f>
        <v>8594</v>
      </c>
      <c r="J7">
        <f t="shared" si="0"/>
        <v>22805</v>
      </c>
      <c r="K7">
        <f t="shared" si="1"/>
        <v>30460</v>
      </c>
      <c r="L7">
        <f t="shared" si="2"/>
        <v>53265</v>
      </c>
      <c r="M7">
        <f t="shared" si="3"/>
        <v>42.81423073312682</v>
      </c>
    </row>
    <row r="8" spans="1:13">
      <c r="A8" t="s">
        <v>14</v>
      </c>
      <c r="B8" s="1">
        <v>2927</v>
      </c>
      <c r="C8" s="2">
        <v>11</v>
      </c>
      <c r="D8" s="2">
        <v>17</v>
      </c>
      <c r="E8" s="2">
        <f>742+76</f>
        <v>818</v>
      </c>
      <c r="F8" s="2">
        <v>2</v>
      </c>
      <c r="G8" s="1">
        <v>3011</v>
      </c>
      <c r="H8" s="2">
        <f>8+32</f>
        <v>40</v>
      </c>
      <c r="I8" s="1">
        <f>1507+79</f>
        <v>1586</v>
      </c>
      <c r="J8">
        <f t="shared" si="0"/>
        <v>2995</v>
      </c>
      <c r="K8">
        <f t="shared" si="1"/>
        <v>3831</v>
      </c>
      <c r="L8">
        <f t="shared" si="2"/>
        <v>6826</v>
      </c>
      <c r="M8">
        <f t="shared" si="3"/>
        <v>43.876355112803985</v>
      </c>
    </row>
    <row r="9" spans="1:13">
      <c r="A9" t="s">
        <v>15</v>
      </c>
      <c r="B9" s="2">
        <v>486</v>
      </c>
      <c r="C9" s="2">
        <v>0</v>
      </c>
      <c r="D9" s="2">
        <v>118</v>
      </c>
      <c r="E9" s="2">
        <v>257</v>
      </c>
      <c r="F9" s="2">
        <v>68</v>
      </c>
      <c r="G9" s="2">
        <v>727</v>
      </c>
      <c r="H9" s="2">
        <f>55+16+7</f>
        <v>78</v>
      </c>
      <c r="I9" s="1">
        <v>1912</v>
      </c>
      <c r="J9">
        <f t="shared" si="0"/>
        <v>682</v>
      </c>
      <c r="K9">
        <f t="shared" si="1"/>
        <v>1052</v>
      </c>
      <c r="L9">
        <f t="shared" si="2"/>
        <v>1734</v>
      </c>
      <c r="M9">
        <f t="shared" si="3"/>
        <v>39.331026528258363</v>
      </c>
    </row>
    <row r="10" spans="1:13">
      <c r="A10" t="s">
        <v>16</v>
      </c>
      <c r="B10" s="1">
        <v>1581</v>
      </c>
      <c r="C10" s="2">
        <v>83</v>
      </c>
      <c r="D10" s="2">
        <v>35</v>
      </c>
      <c r="E10" s="2">
        <f>114+159</f>
        <v>273</v>
      </c>
      <c r="F10" s="2">
        <f>14+2</f>
        <v>16</v>
      </c>
      <c r="G10" s="2">
        <v>147</v>
      </c>
      <c r="H10" s="2">
        <f>11+22+45</f>
        <v>78</v>
      </c>
      <c r="I10" s="2">
        <f>134+110</f>
        <v>244</v>
      </c>
      <c r="J10">
        <f t="shared" si="0"/>
        <v>1777</v>
      </c>
      <c r="K10">
        <f t="shared" si="1"/>
        <v>436</v>
      </c>
      <c r="L10">
        <f t="shared" si="2"/>
        <v>2213</v>
      </c>
      <c r="M10">
        <f t="shared" si="3"/>
        <v>80.298237686398551</v>
      </c>
    </row>
    <row r="11" spans="1:13">
      <c r="A11" t="s">
        <v>17</v>
      </c>
      <c r="B11" s="1">
        <v>11074</v>
      </c>
      <c r="C11" s="1">
        <v>3584</v>
      </c>
      <c r="D11" s="2">
        <v>132</v>
      </c>
      <c r="E11" s="1">
        <f>12261+13873</f>
        <v>26134</v>
      </c>
      <c r="F11" s="1">
        <f>3143+30</f>
        <v>3173</v>
      </c>
      <c r="G11" s="2">
        <f>195+2374</f>
        <v>2569</v>
      </c>
      <c r="H11" s="2">
        <f>68+1741+864</f>
        <v>2673</v>
      </c>
      <c r="I11" s="1">
        <f>18819+1060</f>
        <v>19879</v>
      </c>
      <c r="J11">
        <f t="shared" si="0"/>
        <v>17463</v>
      </c>
      <c r="K11">
        <f t="shared" si="1"/>
        <v>31876</v>
      </c>
      <c r="L11">
        <f t="shared" si="2"/>
        <v>49339</v>
      </c>
      <c r="M11">
        <f t="shared" si="3"/>
        <v>35.393907456575931</v>
      </c>
    </row>
    <row r="12" spans="1:13">
      <c r="A12" t="s">
        <v>18</v>
      </c>
      <c r="B12" s="1">
        <v>5261</v>
      </c>
      <c r="C12" s="2">
        <v>483</v>
      </c>
      <c r="D12" s="2">
        <v>731</v>
      </c>
      <c r="E12" s="1">
        <f>1223+429</f>
        <v>1652</v>
      </c>
      <c r="F12" s="2">
        <f>944+5</f>
        <v>949</v>
      </c>
      <c r="G12" s="2">
        <f>368+4142</f>
        <v>4510</v>
      </c>
      <c r="H12" s="2">
        <f>450+18+1154</f>
        <v>1622</v>
      </c>
      <c r="I12" s="1">
        <f>3459+2392</f>
        <v>5851</v>
      </c>
      <c r="J12">
        <f t="shared" si="0"/>
        <v>8097</v>
      </c>
      <c r="K12">
        <f t="shared" si="1"/>
        <v>7111</v>
      </c>
      <c r="L12">
        <f t="shared" si="2"/>
        <v>15208</v>
      </c>
      <c r="M12">
        <f t="shared" si="3"/>
        <v>53.241714886901626</v>
      </c>
    </row>
    <row r="13" spans="1:13">
      <c r="A13" t="s">
        <v>19</v>
      </c>
      <c r="B13" s="1">
        <v>4883</v>
      </c>
      <c r="C13" s="2">
        <v>159</v>
      </c>
      <c r="E13" s="1">
        <v>1121</v>
      </c>
      <c r="F13" s="2">
        <f>405+59</f>
        <v>464</v>
      </c>
      <c r="G13" s="1">
        <f>1723+696</f>
        <v>2419</v>
      </c>
      <c r="H13" s="2">
        <f>894+2613+11</f>
        <v>3518</v>
      </c>
      <c r="I13" s="2">
        <v>178</v>
      </c>
      <c r="J13">
        <f t="shared" si="0"/>
        <v>8560</v>
      </c>
      <c r="K13">
        <f t="shared" si="1"/>
        <v>4004</v>
      </c>
      <c r="L13">
        <f t="shared" si="2"/>
        <v>12564</v>
      </c>
      <c r="M13">
        <f t="shared" si="3"/>
        <v>68.131168417701375</v>
      </c>
    </row>
    <row r="14" spans="1:13">
      <c r="A14" t="s">
        <v>20</v>
      </c>
      <c r="B14" s="2">
        <v>816</v>
      </c>
      <c r="C14" s="2">
        <v>829</v>
      </c>
      <c r="D14" s="2">
        <v>151</v>
      </c>
      <c r="E14" s="2">
        <f>18+1117</f>
        <v>1135</v>
      </c>
      <c r="F14" s="2">
        <v>2</v>
      </c>
      <c r="G14" s="2">
        <v>330</v>
      </c>
      <c r="H14" s="2">
        <f>236+306</f>
        <v>542</v>
      </c>
      <c r="I14" s="2">
        <f>20+416</f>
        <v>436</v>
      </c>
      <c r="J14">
        <f t="shared" si="0"/>
        <v>2338</v>
      </c>
      <c r="K14">
        <f t="shared" si="1"/>
        <v>1467</v>
      </c>
      <c r="L14">
        <f t="shared" si="2"/>
        <v>3805</v>
      </c>
      <c r="M14">
        <f t="shared" si="3"/>
        <v>61.44546649145861</v>
      </c>
    </row>
    <row r="15" spans="1:13">
      <c r="A15" t="s">
        <v>21</v>
      </c>
      <c r="B15" s="1">
        <v>5325</v>
      </c>
      <c r="C15" s="1">
        <v>8321</v>
      </c>
      <c r="D15" s="2">
        <v>617</v>
      </c>
      <c r="E15" s="1">
        <f>3727+1688</f>
        <v>5415</v>
      </c>
      <c r="F15" s="1">
        <f>2660+5336</f>
        <v>7996</v>
      </c>
      <c r="G15" s="2">
        <f>518+18739</f>
        <v>19257</v>
      </c>
      <c r="H15" s="2">
        <f>3116+1401+262</f>
        <v>4779</v>
      </c>
      <c r="I15" s="1">
        <f>7266+2185</f>
        <v>9451</v>
      </c>
      <c r="J15">
        <f t="shared" si="0"/>
        <v>19042</v>
      </c>
      <c r="K15">
        <f t="shared" si="1"/>
        <v>32668</v>
      </c>
      <c r="L15">
        <f t="shared" si="2"/>
        <v>51710</v>
      </c>
      <c r="M15">
        <f t="shared" si="3"/>
        <v>36.824598723651128</v>
      </c>
    </row>
    <row r="16" spans="1:13">
      <c r="A16" t="s">
        <v>22</v>
      </c>
      <c r="B16" s="1">
        <v>3866</v>
      </c>
      <c r="C16" s="1">
        <v>6250</v>
      </c>
      <c r="D16" s="2">
        <v>17</v>
      </c>
      <c r="E16" s="1">
        <f>1378+977</f>
        <v>2355</v>
      </c>
      <c r="F16" s="1">
        <f>3964+3119</f>
        <v>7083</v>
      </c>
      <c r="G16" s="1">
        <f>1531+5930</f>
        <v>7461</v>
      </c>
      <c r="H16" s="2">
        <f>2068+621+133</f>
        <v>2822</v>
      </c>
      <c r="I16" s="2">
        <f>216+332</f>
        <v>548</v>
      </c>
      <c r="J16">
        <f t="shared" si="0"/>
        <v>12955</v>
      </c>
      <c r="K16">
        <f t="shared" si="1"/>
        <v>16899</v>
      </c>
      <c r="L16">
        <f t="shared" si="2"/>
        <v>29854</v>
      </c>
      <c r="M16">
        <f t="shared" si="3"/>
        <v>43.394519997320288</v>
      </c>
    </row>
    <row r="17" spans="1:13">
      <c r="A17" t="s">
        <v>23</v>
      </c>
      <c r="B17" s="2">
        <v>745</v>
      </c>
      <c r="C17" s="1">
        <v>3859</v>
      </c>
      <c r="D17" s="2">
        <v>13</v>
      </c>
      <c r="E17" s="2">
        <f>233+307</f>
        <v>540</v>
      </c>
      <c r="F17" s="1">
        <f>2140+28</f>
        <v>2168</v>
      </c>
      <c r="G17" s="2">
        <f>27+4260</f>
        <v>4287</v>
      </c>
      <c r="H17" s="1">
        <f>4197+823+50</f>
        <v>5070</v>
      </c>
      <c r="I17" s="2">
        <f>619+1090</f>
        <v>1709</v>
      </c>
      <c r="J17">
        <f t="shared" si="0"/>
        <v>9687</v>
      </c>
      <c r="K17">
        <f t="shared" si="1"/>
        <v>6995</v>
      </c>
      <c r="L17">
        <f t="shared" si="2"/>
        <v>16682</v>
      </c>
      <c r="M17">
        <f t="shared" si="3"/>
        <v>58.068576909243497</v>
      </c>
    </row>
    <row r="18" spans="1:13">
      <c r="A18" t="s">
        <v>24</v>
      </c>
      <c r="B18" s="2">
        <v>618</v>
      </c>
      <c r="C18" s="1">
        <v>1981</v>
      </c>
      <c r="D18" s="2">
        <v>112</v>
      </c>
      <c r="E18" s="1">
        <f>4339+3175</f>
        <v>7514</v>
      </c>
      <c r="F18" s="1">
        <f>3070+272</f>
        <v>3342</v>
      </c>
      <c r="G18" s="1">
        <f>2229+8467</f>
        <v>10696</v>
      </c>
      <c r="H18" s="2">
        <f>1318+163+24</f>
        <v>1505</v>
      </c>
      <c r="I18" s="1">
        <f>3572+1434</f>
        <v>5006</v>
      </c>
      <c r="J18">
        <f t="shared" si="0"/>
        <v>4216</v>
      </c>
      <c r="K18">
        <f t="shared" si="1"/>
        <v>21552</v>
      </c>
      <c r="L18">
        <f t="shared" si="2"/>
        <v>25768</v>
      </c>
      <c r="M18">
        <f t="shared" si="3"/>
        <v>16.361378453896304</v>
      </c>
    </row>
    <row r="19" spans="1:13">
      <c r="A19" t="s">
        <v>25</v>
      </c>
      <c r="B19" s="1">
        <v>1722</v>
      </c>
      <c r="C19" s="2">
        <v>0</v>
      </c>
      <c r="D19" s="2">
        <v>13</v>
      </c>
      <c r="E19" s="2">
        <f>482+1536</f>
        <v>2018</v>
      </c>
      <c r="F19" s="1">
        <f>2261+12235</f>
        <v>14496</v>
      </c>
      <c r="G19" s="2">
        <f>19+4198</f>
        <v>4217</v>
      </c>
      <c r="H19" s="2">
        <f>449+133+199</f>
        <v>781</v>
      </c>
      <c r="I19" s="2">
        <f>287+1351</f>
        <v>1638</v>
      </c>
      <c r="J19">
        <f t="shared" si="0"/>
        <v>2516</v>
      </c>
      <c r="K19">
        <f t="shared" si="1"/>
        <v>20731</v>
      </c>
      <c r="L19">
        <f t="shared" si="2"/>
        <v>23247</v>
      </c>
      <c r="M19">
        <f t="shared" si="3"/>
        <v>10.822901879812449</v>
      </c>
    </row>
    <row r="20" spans="1:13">
      <c r="A20" t="s">
        <v>26</v>
      </c>
      <c r="B20" s="1">
        <v>3648</v>
      </c>
      <c r="C20" s="2">
        <v>132</v>
      </c>
      <c r="D20" s="2">
        <v>32</v>
      </c>
      <c r="E20" s="1">
        <f>1408+23604</f>
        <v>25012</v>
      </c>
      <c r="F20" s="2">
        <f>203+1418</f>
        <v>1621</v>
      </c>
      <c r="G20" s="2">
        <f>461+45123</f>
        <v>45584</v>
      </c>
      <c r="H20" s="2">
        <f>141+67+589</f>
        <v>797</v>
      </c>
      <c r="I20" s="1">
        <f>1290+2667</f>
        <v>3957</v>
      </c>
      <c r="J20">
        <f t="shared" si="0"/>
        <v>4609</v>
      </c>
      <c r="K20">
        <f t="shared" si="1"/>
        <v>72217</v>
      </c>
      <c r="L20">
        <f t="shared" si="2"/>
        <v>76826</v>
      </c>
      <c r="M20">
        <f t="shared" si="3"/>
        <v>5.9992710801030897</v>
      </c>
    </row>
    <row r="21" spans="1:13">
      <c r="A21" t="s">
        <v>27</v>
      </c>
      <c r="B21" s="2">
        <v>770</v>
      </c>
      <c r="C21" s="1">
        <v>1234</v>
      </c>
      <c r="D21" s="2">
        <v>163</v>
      </c>
      <c r="E21" s="2">
        <f>150+92</f>
        <v>242</v>
      </c>
      <c r="F21" s="2">
        <f>2+2</f>
        <v>4</v>
      </c>
      <c r="G21" s="2">
        <f>12+1616</f>
        <v>1628</v>
      </c>
      <c r="H21" s="2">
        <v>589</v>
      </c>
      <c r="I21" s="2">
        <f>207+606</f>
        <v>813</v>
      </c>
      <c r="J21">
        <f t="shared" si="0"/>
        <v>2756</v>
      </c>
      <c r="K21">
        <f t="shared" si="1"/>
        <v>1874</v>
      </c>
      <c r="L21">
        <f t="shared" si="2"/>
        <v>4630</v>
      </c>
      <c r="M21">
        <f t="shared" si="3"/>
        <v>59.524838012958959</v>
      </c>
    </row>
    <row r="22" spans="1:13">
      <c r="A22" t="s">
        <v>28</v>
      </c>
      <c r="B22" s="1">
        <v>7279</v>
      </c>
      <c r="C22" s="2">
        <v>630</v>
      </c>
      <c r="D22" s="2">
        <v>3</v>
      </c>
      <c r="E22" s="1">
        <f>1369+927</f>
        <v>2296</v>
      </c>
      <c r="F22" s="1">
        <f>2415+731</f>
        <v>3146</v>
      </c>
      <c r="G22" s="2">
        <f>51+381</f>
        <v>432</v>
      </c>
      <c r="H22" s="2">
        <f>88+13+58</f>
        <v>159</v>
      </c>
      <c r="I22" s="1">
        <f>1307+252</f>
        <v>1559</v>
      </c>
      <c r="J22">
        <f t="shared" si="0"/>
        <v>8071</v>
      </c>
      <c r="K22">
        <f t="shared" si="1"/>
        <v>5874</v>
      </c>
      <c r="L22">
        <f t="shared" si="2"/>
        <v>13945</v>
      </c>
      <c r="M22">
        <f t="shared" si="3"/>
        <v>57.87737540337038</v>
      </c>
    </row>
    <row r="23" spans="1:13">
      <c r="A23" t="s">
        <v>29</v>
      </c>
      <c r="B23" s="1">
        <v>19635</v>
      </c>
      <c r="C23" s="1">
        <v>1652</v>
      </c>
      <c r="D23" s="1">
        <v>1738</v>
      </c>
      <c r="E23" s="1">
        <f>3720+406</f>
        <v>4126</v>
      </c>
      <c r="F23" s="1">
        <v>1573</v>
      </c>
      <c r="G23" s="2">
        <f>460+1270</f>
        <v>1730</v>
      </c>
      <c r="H23" s="2">
        <f>1+104+752</f>
        <v>857</v>
      </c>
      <c r="I23" s="1">
        <f>9603+6310</f>
        <v>15913</v>
      </c>
      <c r="J23">
        <f t="shared" si="0"/>
        <v>23882</v>
      </c>
      <c r="K23">
        <f t="shared" si="1"/>
        <v>7429</v>
      </c>
      <c r="L23">
        <f t="shared" si="2"/>
        <v>31311</v>
      </c>
      <c r="M23">
        <f t="shared" si="3"/>
        <v>76.273514100475865</v>
      </c>
    </row>
    <row r="24" spans="1:13">
      <c r="A24" t="s">
        <v>30</v>
      </c>
      <c r="B24" s="1">
        <v>5898</v>
      </c>
      <c r="C24" s="1">
        <v>4559</v>
      </c>
      <c r="D24" s="1">
        <v>6856</v>
      </c>
      <c r="E24" s="1">
        <f>2746+1047</f>
        <v>3793</v>
      </c>
      <c r="F24" s="1">
        <f>3694+82</f>
        <v>3776</v>
      </c>
      <c r="G24" s="2">
        <f>67+4175</f>
        <v>4242</v>
      </c>
      <c r="H24" s="2">
        <f>665+44+891</f>
        <v>1600</v>
      </c>
      <c r="I24" s="1">
        <f>3930+13564</f>
        <v>17494</v>
      </c>
      <c r="J24">
        <f t="shared" si="0"/>
        <v>18913</v>
      </c>
      <c r="K24">
        <f t="shared" si="1"/>
        <v>11811</v>
      </c>
      <c r="L24">
        <f t="shared" si="2"/>
        <v>30724</v>
      </c>
      <c r="M24">
        <f t="shared" si="3"/>
        <v>61.557739877620101</v>
      </c>
    </row>
    <row r="25" spans="1:13">
      <c r="A25" t="s">
        <v>31</v>
      </c>
      <c r="B25" s="1">
        <v>3800</v>
      </c>
      <c r="C25" s="1">
        <v>1966</v>
      </c>
      <c r="D25" s="2">
        <v>946</v>
      </c>
      <c r="E25" s="2">
        <f>412+360</f>
        <v>772</v>
      </c>
      <c r="F25" s="1">
        <f>1722+201</f>
        <v>1923</v>
      </c>
      <c r="G25" s="2">
        <f>9+6570</f>
        <v>6579</v>
      </c>
      <c r="H25" s="2">
        <f>977+369+277</f>
        <v>1623</v>
      </c>
      <c r="I25" s="1">
        <f>2186+623</f>
        <v>2809</v>
      </c>
      <c r="J25">
        <f t="shared" si="0"/>
        <v>8335</v>
      </c>
      <c r="K25">
        <f t="shared" si="1"/>
        <v>9274</v>
      </c>
      <c r="L25">
        <f t="shared" si="2"/>
        <v>17609</v>
      </c>
      <c r="M25">
        <f t="shared" si="3"/>
        <v>47.333749787040716</v>
      </c>
    </row>
    <row r="26" spans="1:13">
      <c r="A26" t="s">
        <v>32</v>
      </c>
      <c r="B26" s="1">
        <v>1266</v>
      </c>
      <c r="C26" s="2">
        <v>103</v>
      </c>
      <c r="D26" s="2">
        <v>26</v>
      </c>
      <c r="E26" s="1">
        <f>1302+2789</f>
        <v>4091</v>
      </c>
      <c r="F26" s="2">
        <f>141+533</f>
        <v>674</v>
      </c>
      <c r="G26" s="2">
        <f>1+5927</f>
        <v>5928</v>
      </c>
      <c r="H26" s="2">
        <f>197+407+852</f>
        <v>1456</v>
      </c>
      <c r="I26" s="2">
        <f>620+1562</f>
        <v>2182</v>
      </c>
      <c r="J26">
        <f t="shared" si="0"/>
        <v>2851</v>
      </c>
      <c r="K26">
        <f t="shared" si="1"/>
        <v>10693</v>
      </c>
      <c r="L26">
        <f t="shared" si="2"/>
        <v>13544</v>
      </c>
      <c r="M26">
        <f t="shared" si="3"/>
        <v>21.049911399881864</v>
      </c>
    </row>
    <row r="27" spans="1:13">
      <c r="A27" t="s">
        <v>33</v>
      </c>
      <c r="B27" s="1">
        <v>3148</v>
      </c>
      <c r="C27" s="1">
        <v>1035</v>
      </c>
      <c r="D27" s="2">
        <v>293</v>
      </c>
      <c r="E27" s="2">
        <f>361+195</f>
        <v>556</v>
      </c>
      <c r="F27" s="1">
        <f>2856+220</f>
        <v>3076</v>
      </c>
      <c r="G27" s="2">
        <f>29+3206</f>
        <v>3235</v>
      </c>
      <c r="H27" s="2">
        <f>1940+895+323</f>
        <v>3158</v>
      </c>
      <c r="I27" s="1">
        <f>1591+1004</f>
        <v>2595</v>
      </c>
      <c r="J27">
        <f t="shared" si="0"/>
        <v>7634</v>
      </c>
      <c r="K27">
        <f t="shared" si="1"/>
        <v>6867</v>
      </c>
      <c r="L27">
        <f t="shared" si="2"/>
        <v>14501</v>
      </c>
      <c r="M27">
        <f t="shared" si="3"/>
        <v>52.644645196882976</v>
      </c>
    </row>
    <row r="28" spans="1:13">
      <c r="A28" t="s">
        <v>34</v>
      </c>
      <c r="B28" s="2">
        <v>225</v>
      </c>
      <c r="C28" s="2">
        <v>43</v>
      </c>
      <c r="D28" s="2">
        <v>434</v>
      </c>
      <c r="E28" s="2">
        <f>17+985</f>
        <v>1002</v>
      </c>
      <c r="F28" s="2">
        <f>481+1323</f>
        <v>1804</v>
      </c>
      <c r="G28" s="2">
        <f>20+2272</f>
        <v>2292</v>
      </c>
      <c r="H28" s="2">
        <f>3+230</f>
        <v>233</v>
      </c>
      <c r="I28" s="2">
        <f>4+116</f>
        <v>120</v>
      </c>
      <c r="J28">
        <f t="shared" si="0"/>
        <v>935</v>
      </c>
      <c r="K28">
        <f t="shared" si="1"/>
        <v>5098</v>
      </c>
      <c r="L28">
        <f t="shared" si="2"/>
        <v>6033</v>
      </c>
      <c r="M28">
        <f t="shared" si="3"/>
        <v>15.498093817337974</v>
      </c>
    </row>
    <row r="29" spans="1:13">
      <c r="A29" t="s">
        <v>35</v>
      </c>
      <c r="B29" s="1">
        <v>2096</v>
      </c>
      <c r="C29" s="2">
        <v>500</v>
      </c>
      <c r="D29" s="2">
        <v>179</v>
      </c>
      <c r="E29" s="2">
        <f>263+1426</f>
        <v>1689</v>
      </c>
      <c r="F29" s="2">
        <v>802</v>
      </c>
      <c r="G29" s="2">
        <v>505</v>
      </c>
      <c r="H29" s="2">
        <f>695+81+21</f>
        <v>797</v>
      </c>
      <c r="I29" s="1">
        <f>1403+158</f>
        <v>1561</v>
      </c>
      <c r="J29">
        <f t="shared" si="0"/>
        <v>3572</v>
      </c>
      <c r="K29">
        <f t="shared" si="1"/>
        <v>2996</v>
      </c>
      <c r="L29">
        <f t="shared" si="2"/>
        <v>6568</v>
      </c>
      <c r="M29">
        <f t="shared" si="3"/>
        <v>54.384896467722285</v>
      </c>
    </row>
    <row r="30" spans="1:13">
      <c r="A30" t="s">
        <v>36</v>
      </c>
      <c r="B30" s="1">
        <v>11192</v>
      </c>
      <c r="C30" s="2">
        <v>1</v>
      </c>
      <c r="D30" s="2">
        <v>0</v>
      </c>
      <c r="E30" s="1">
        <f>1462+3341</f>
        <v>4803</v>
      </c>
      <c r="F30" s="2">
        <f>37+6</f>
        <v>43</v>
      </c>
      <c r="G30" s="2">
        <v>276</v>
      </c>
      <c r="H30" s="2">
        <f>60+129</f>
        <v>189</v>
      </c>
      <c r="I30" s="2">
        <f>1084+33</f>
        <v>1117</v>
      </c>
      <c r="J30">
        <f t="shared" si="0"/>
        <v>11382</v>
      </c>
      <c r="K30">
        <f t="shared" si="1"/>
        <v>5122</v>
      </c>
      <c r="L30">
        <f t="shared" si="2"/>
        <v>16504</v>
      </c>
      <c r="M30">
        <f t="shared" si="3"/>
        <v>68.965099369849739</v>
      </c>
    </row>
    <row r="31" spans="1:13">
      <c r="A31" t="s">
        <v>37</v>
      </c>
      <c r="B31" s="1">
        <v>1594</v>
      </c>
      <c r="C31" s="1">
        <v>1120</v>
      </c>
      <c r="D31" s="2">
        <v>252</v>
      </c>
      <c r="E31" s="2">
        <f>708+2</f>
        <v>710</v>
      </c>
      <c r="F31" s="2">
        <v>0</v>
      </c>
      <c r="G31" s="2">
        <f>788+381</f>
        <v>1169</v>
      </c>
      <c r="H31" s="2">
        <v>410</v>
      </c>
      <c r="I31" s="1">
        <f>1182+348</f>
        <v>1530</v>
      </c>
      <c r="J31">
        <f t="shared" si="0"/>
        <v>3376</v>
      </c>
      <c r="K31">
        <f t="shared" si="1"/>
        <v>1879</v>
      </c>
      <c r="L31">
        <f t="shared" si="2"/>
        <v>5255</v>
      </c>
      <c r="M31">
        <f t="shared" si="3"/>
        <v>64.243577545195052</v>
      </c>
    </row>
    <row r="32" spans="1:13">
      <c r="A32" t="s">
        <v>38</v>
      </c>
      <c r="B32" s="1">
        <v>9239</v>
      </c>
      <c r="C32" s="2">
        <v>500</v>
      </c>
      <c r="D32" s="2">
        <v>71</v>
      </c>
      <c r="E32" s="1">
        <f>1355+530</f>
        <v>1885</v>
      </c>
      <c r="F32" s="1">
        <f>1778+172</f>
        <v>1950</v>
      </c>
      <c r="G32" s="2">
        <f>1+14725</f>
        <v>14726</v>
      </c>
      <c r="H32" s="2">
        <f>12+27+28</f>
        <v>67</v>
      </c>
      <c r="I32" s="1">
        <v>7801</v>
      </c>
      <c r="J32">
        <f t="shared" si="0"/>
        <v>9877</v>
      </c>
      <c r="K32">
        <f t="shared" si="1"/>
        <v>18561</v>
      </c>
      <c r="L32">
        <f t="shared" si="2"/>
        <v>28438</v>
      </c>
      <c r="M32">
        <f t="shared" si="3"/>
        <v>34.731697025107252</v>
      </c>
    </row>
    <row r="33" spans="1:13">
      <c r="A33" t="s">
        <v>39</v>
      </c>
      <c r="B33" s="1">
        <v>3916</v>
      </c>
      <c r="C33" s="1">
        <v>1038</v>
      </c>
      <c r="D33" s="2">
        <v>0</v>
      </c>
      <c r="E33" s="2">
        <f>92+8628</f>
        <v>8720</v>
      </c>
      <c r="F33" s="2">
        <f>222+1044</f>
        <v>1266</v>
      </c>
      <c r="G33" s="2">
        <f>214+12439</f>
        <v>12653</v>
      </c>
      <c r="H33" s="2">
        <f>64+89</f>
        <v>153</v>
      </c>
      <c r="I33" s="2">
        <f>142+300</f>
        <v>442</v>
      </c>
      <c r="J33">
        <f t="shared" si="0"/>
        <v>5107</v>
      </c>
      <c r="K33">
        <f t="shared" si="1"/>
        <v>22639</v>
      </c>
      <c r="L33">
        <f t="shared" si="2"/>
        <v>27746</v>
      </c>
      <c r="M33">
        <f t="shared" si="3"/>
        <v>18.406256757730844</v>
      </c>
    </row>
    <row r="34" spans="1:13">
      <c r="A34" t="s">
        <v>40</v>
      </c>
      <c r="B34" s="1">
        <v>12411</v>
      </c>
      <c r="C34" s="1">
        <v>2855</v>
      </c>
      <c r="D34" s="1">
        <v>5859</v>
      </c>
      <c r="E34" s="1">
        <f>4066+2335</f>
        <v>6401</v>
      </c>
      <c r="F34" s="2">
        <f>253+27</f>
        <v>280</v>
      </c>
      <c r="G34" s="2">
        <f>711+3261</f>
        <v>3972</v>
      </c>
      <c r="H34" s="2">
        <f>359+1123+1843</f>
        <v>3325</v>
      </c>
      <c r="I34" s="1">
        <f>17871+6157</f>
        <v>24028</v>
      </c>
      <c r="J34">
        <f t="shared" si="0"/>
        <v>24450</v>
      </c>
      <c r="K34">
        <f t="shared" si="1"/>
        <v>10653</v>
      </c>
      <c r="L34">
        <f t="shared" si="2"/>
        <v>35103</v>
      </c>
      <c r="M34">
        <f t="shared" si="3"/>
        <v>69.652166481497318</v>
      </c>
    </row>
    <row r="35" spans="1:13">
      <c r="A35" t="s">
        <v>41</v>
      </c>
      <c r="B35" s="1">
        <v>9535</v>
      </c>
      <c r="C35" s="2">
        <v>594</v>
      </c>
      <c r="D35" s="2">
        <v>526</v>
      </c>
      <c r="E35" s="1">
        <f>2181+123</f>
        <v>2304</v>
      </c>
      <c r="F35" s="1">
        <f>2115+61</f>
        <v>2176</v>
      </c>
      <c r="G35" s="2">
        <f>480+3088</f>
        <v>3568</v>
      </c>
      <c r="H35" s="2">
        <f>196+1251+923</f>
        <v>2370</v>
      </c>
      <c r="I35" s="1">
        <f>3621+1708</f>
        <v>5329</v>
      </c>
      <c r="J35">
        <f t="shared" si="0"/>
        <v>13025</v>
      </c>
      <c r="K35">
        <f t="shared" si="1"/>
        <v>8048</v>
      </c>
      <c r="L35">
        <f t="shared" si="2"/>
        <v>21073</v>
      </c>
      <c r="M35">
        <f t="shared" si="3"/>
        <v>61.808949841028806</v>
      </c>
    </row>
    <row r="36" spans="1:13">
      <c r="A36" t="s">
        <v>42</v>
      </c>
      <c r="B36" s="2">
        <v>250</v>
      </c>
      <c r="C36" s="1">
        <v>1740</v>
      </c>
      <c r="D36" s="2">
        <v>0</v>
      </c>
      <c r="E36" s="2">
        <f>39+5894</f>
        <v>5933</v>
      </c>
      <c r="F36" s="1">
        <f>1252+1250</f>
        <v>2502</v>
      </c>
      <c r="G36" s="2">
        <f>1+10774</f>
        <v>10775</v>
      </c>
      <c r="H36" s="2">
        <f>675+36+7</f>
        <v>718</v>
      </c>
      <c r="I36" s="2">
        <v>13</v>
      </c>
      <c r="J36">
        <f t="shared" si="0"/>
        <v>2708</v>
      </c>
      <c r="K36">
        <f t="shared" si="1"/>
        <v>19210</v>
      </c>
      <c r="L36">
        <f t="shared" si="2"/>
        <v>21918</v>
      </c>
      <c r="M36">
        <f t="shared" si="3"/>
        <v>12.35514189250844</v>
      </c>
    </row>
    <row r="37" spans="1:13">
      <c r="A37" t="s">
        <v>43</v>
      </c>
      <c r="B37" s="1">
        <v>8350</v>
      </c>
      <c r="C37" s="2">
        <v>819</v>
      </c>
      <c r="D37" s="2">
        <v>70</v>
      </c>
      <c r="E37" s="1">
        <f>2477+8393</f>
        <v>10870</v>
      </c>
      <c r="F37" s="1">
        <f>16376+2157</f>
        <v>18533</v>
      </c>
      <c r="G37" s="2">
        <f>125+11707</f>
        <v>11832</v>
      </c>
      <c r="H37" s="2">
        <f>1039+1275+321</f>
        <v>2635</v>
      </c>
      <c r="I37" s="1">
        <f>1967+2198</f>
        <v>4165</v>
      </c>
      <c r="J37">
        <f t="shared" si="0"/>
        <v>11874</v>
      </c>
      <c r="K37">
        <f t="shared" si="1"/>
        <v>41235</v>
      </c>
      <c r="L37">
        <f t="shared" si="2"/>
        <v>53109</v>
      </c>
      <c r="M37">
        <f t="shared" si="3"/>
        <v>22.357792464554031</v>
      </c>
    </row>
    <row r="38" spans="1:13">
      <c r="A38" t="s">
        <v>44</v>
      </c>
      <c r="B38" s="1">
        <v>1016</v>
      </c>
      <c r="C38" s="1">
        <v>1798</v>
      </c>
      <c r="D38" s="2">
        <v>381</v>
      </c>
      <c r="E38" s="1">
        <f>1254+27505</f>
        <v>28759</v>
      </c>
      <c r="F38" s="1">
        <f>1250+405</f>
        <v>1655</v>
      </c>
      <c r="G38" s="2">
        <f>120+33856</f>
        <v>33976</v>
      </c>
      <c r="H38" s="2">
        <f>223+1054+381</f>
        <v>1658</v>
      </c>
      <c r="I38" s="1">
        <v>1443</v>
      </c>
      <c r="J38">
        <f t="shared" si="0"/>
        <v>4853</v>
      </c>
      <c r="K38">
        <f t="shared" si="1"/>
        <v>64390</v>
      </c>
      <c r="L38">
        <f t="shared" si="2"/>
        <v>69243</v>
      </c>
      <c r="M38">
        <f t="shared" si="3"/>
        <v>7.0086506939329603</v>
      </c>
    </row>
    <row r="39" spans="1:13">
      <c r="A39" t="s">
        <v>45</v>
      </c>
      <c r="B39" s="1">
        <v>6892</v>
      </c>
      <c r="C39" s="1">
        <v>1190</v>
      </c>
      <c r="D39" s="1">
        <v>1577</v>
      </c>
      <c r="E39" s="2">
        <f>258+55</f>
        <v>313</v>
      </c>
      <c r="F39" s="2">
        <f>39+3</f>
        <v>42</v>
      </c>
      <c r="G39" s="2">
        <f>7+317</f>
        <v>324</v>
      </c>
      <c r="H39" s="2">
        <f>7+49+2080</f>
        <v>2136</v>
      </c>
      <c r="I39" s="2">
        <f>256+5</f>
        <v>261</v>
      </c>
      <c r="J39">
        <f t="shared" si="0"/>
        <v>11795</v>
      </c>
      <c r="K39">
        <f t="shared" si="1"/>
        <v>679</v>
      </c>
      <c r="L39">
        <f t="shared" si="2"/>
        <v>12474</v>
      </c>
      <c r="M39">
        <f t="shared" si="3"/>
        <v>94.556677890011215</v>
      </c>
    </row>
    <row r="40" spans="1:13">
      <c r="A40" t="s">
        <v>46</v>
      </c>
      <c r="B40" s="1">
        <v>4670</v>
      </c>
      <c r="C40" s="1">
        <v>2467</v>
      </c>
      <c r="D40" s="2">
        <v>182</v>
      </c>
      <c r="E40" s="1">
        <f>2083+8674</f>
        <v>10757</v>
      </c>
      <c r="F40" s="1">
        <f>1270+6528</f>
        <v>7798</v>
      </c>
      <c r="G40" s="2">
        <f>222+15454</f>
        <v>15676</v>
      </c>
      <c r="H40" s="2">
        <f>3419+976+1356</f>
        <v>5751</v>
      </c>
      <c r="I40" s="1">
        <f>5556+13815</f>
        <v>19371</v>
      </c>
      <c r="J40">
        <f t="shared" si="0"/>
        <v>13070</v>
      </c>
      <c r="K40">
        <f t="shared" si="1"/>
        <v>34231</v>
      </c>
      <c r="L40">
        <f t="shared" si="2"/>
        <v>47301</v>
      </c>
      <c r="M40">
        <f t="shared" si="3"/>
        <v>27.631551129997252</v>
      </c>
    </row>
    <row r="41" spans="1:13">
      <c r="A41" t="s">
        <v>47</v>
      </c>
      <c r="B41" s="1">
        <v>1584</v>
      </c>
      <c r="C41" s="1">
        <v>1403</v>
      </c>
      <c r="D41" s="2">
        <v>84</v>
      </c>
      <c r="E41" s="2">
        <f>152+30</f>
        <v>182</v>
      </c>
      <c r="F41" s="2">
        <v>0</v>
      </c>
      <c r="G41" s="2">
        <f>1+302</f>
        <v>303</v>
      </c>
      <c r="H41" s="2">
        <f>355+6</f>
        <v>361</v>
      </c>
      <c r="I41" s="2">
        <f>114+283</f>
        <v>397</v>
      </c>
      <c r="J41">
        <f t="shared" si="0"/>
        <v>3432</v>
      </c>
      <c r="K41">
        <f t="shared" si="1"/>
        <v>485</v>
      </c>
      <c r="L41">
        <f t="shared" si="2"/>
        <v>3917</v>
      </c>
      <c r="M41">
        <f t="shared" si="3"/>
        <v>87.618075057441928</v>
      </c>
    </row>
    <row r="42" spans="1:13">
      <c r="A42" t="s">
        <v>48</v>
      </c>
      <c r="B42" s="1">
        <v>3716</v>
      </c>
      <c r="C42" s="1">
        <v>1415</v>
      </c>
      <c r="D42" s="1">
        <v>10504</v>
      </c>
      <c r="E42" s="1">
        <f>2576+822</f>
        <v>3398</v>
      </c>
      <c r="F42" s="1">
        <f>3906+27</f>
        <v>3933</v>
      </c>
      <c r="G42" s="2">
        <f>9+2041</f>
        <v>2050</v>
      </c>
      <c r="H42" s="2">
        <f>452+497+1313</f>
        <v>2262</v>
      </c>
      <c r="I42" s="1">
        <f>6869+136</f>
        <v>7005</v>
      </c>
      <c r="J42">
        <f t="shared" si="0"/>
        <v>17897</v>
      </c>
      <c r="K42">
        <f t="shared" si="1"/>
        <v>9381</v>
      </c>
      <c r="L42">
        <f t="shared" si="2"/>
        <v>27278</v>
      </c>
      <c r="M42">
        <f t="shared" si="3"/>
        <v>65.609648801231756</v>
      </c>
    </row>
    <row r="43" spans="1:13">
      <c r="A43" t="s">
        <v>49</v>
      </c>
      <c r="B43" s="2">
        <v>632</v>
      </c>
      <c r="C43" s="1">
        <v>1482</v>
      </c>
      <c r="D43" s="2">
        <v>22</v>
      </c>
      <c r="E43" s="2">
        <f>121+88</f>
        <v>209</v>
      </c>
      <c r="F43" s="2">
        <v>53</v>
      </c>
      <c r="G43" s="2">
        <f>11+1468</f>
        <v>1479</v>
      </c>
      <c r="H43" s="2">
        <f>349+145+47</f>
        <v>541</v>
      </c>
      <c r="I43" s="2">
        <v>318</v>
      </c>
      <c r="J43">
        <f t="shared" si="0"/>
        <v>2677</v>
      </c>
      <c r="K43">
        <f t="shared" si="1"/>
        <v>1741</v>
      </c>
      <c r="L43">
        <f t="shared" si="2"/>
        <v>4418</v>
      </c>
      <c r="M43">
        <f t="shared" si="3"/>
        <v>60.593028519692169</v>
      </c>
    </row>
    <row r="44" spans="1:13">
      <c r="A44" t="s">
        <v>50</v>
      </c>
      <c r="B44" s="1">
        <v>5085</v>
      </c>
      <c r="C44" s="2">
        <v>142</v>
      </c>
      <c r="D44" s="1">
        <v>5274</v>
      </c>
      <c r="E44" s="2">
        <f>212+664</f>
        <v>876</v>
      </c>
      <c r="F44" s="2">
        <f>463+299</f>
        <v>762</v>
      </c>
      <c r="G44" s="2">
        <f>28+3332</f>
        <v>3360</v>
      </c>
      <c r="H44" s="2">
        <f>86+1271+656</f>
        <v>2013</v>
      </c>
      <c r="I44" s="2">
        <f>81+754</f>
        <v>835</v>
      </c>
      <c r="J44">
        <f t="shared" si="0"/>
        <v>12514</v>
      </c>
      <c r="K44">
        <f>SUM(E44+F44+G44)</f>
        <v>4998</v>
      </c>
      <c r="L44">
        <f t="shared" si="2"/>
        <v>17512</v>
      </c>
      <c r="M44">
        <f t="shared" si="3"/>
        <v>71.45957058017359</v>
      </c>
    </row>
    <row r="45" spans="1:13">
      <c r="A45" t="s">
        <v>51</v>
      </c>
      <c r="B45" s="1">
        <v>11729</v>
      </c>
      <c r="C45" s="1">
        <v>24374</v>
      </c>
      <c r="D45" s="1">
        <v>1259</v>
      </c>
      <c r="E45" s="1">
        <f>4911+143459</f>
        <v>148370</v>
      </c>
      <c r="F45" s="1">
        <f>3428+5668</f>
        <v>9096</v>
      </c>
      <c r="G45" s="2">
        <f>445+175457</f>
        <v>175902</v>
      </c>
      <c r="H45" s="2">
        <f>1464+1441+489</f>
        <v>3394</v>
      </c>
      <c r="I45" s="1">
        <f>2649+5318</f>
        <v>7967</v>
      </c>
      <c r="J45">
        <f t="shared" si="0"/>
        <v>40756</v>
      </c>
      <c r="K45" s="1">
        <f>SUM(E45+F45+G45)</f>
        <v>333368</v>
      </c>
      <c r="L45">
        <f t="shared" si="2"/>
        <v>374124</v>
      </c>
      <c r="M45">
        <f t="shared" si="3"/>
        <v>10.893714383466445</v>
      </c>
    </row>
    <row r="46" spans="1:13">
      <c r="A46" t="s">
        <v>52</v>
      </c>
      <c r="B46" s="1">
        <v>5894</v>
      </c>
      <c r="C46" s="2">
        <v>318</v>
      </c>
      <c r="D46" s="2">
        <v>337</v>
      </c>
      <c r="E46" s="1">
        <f>2147+2265</f>
        <v>4412</v>
      </c>
      <c r="F46" s="2">
        <f>860+1566</f>
        <v>2426</v>
      </c>
      <c r="G46" s="2">
        <f>8+5047</f>
        <v>5055</v>
      </c>
      <c r="H46" s="2">
        <f>15+99</f>
        <v>114</v>
      </c>
      <c r="I46" s="2">
        <f>87+2231</f>
        <v>2318</v>
      </c>
      <c r="J46">
        <f t="shared" si="0"/>
        <v>6663</v>
      </c>
      <c r="K46">
        <f t="shared" si="1"/>
        <v>11893</v>
      </c>
      <c r="L46">
        <f t="shared" si="2"/>
        <v>18556</v>
      </c>
      <c r="M46">
        <f t="shared" si="3"/>
        <v>35.907523173097651</v>
      </c>
    </row>
    <row r="47" spans="1:13">
      <c r="A47" t="s">
        <v>53</v>
      </c>
      <c r="B47" s="1">
        <v>2379</v>
      </c>
      <c r="C47" s="2">
        <v>328</v>
      </c>
      <c r="D47" s="2">
        <v>111</v>
      </c>
      <c r="E47" s="2">
        <v>4</v>
      </c>
      <c r="F47" s="2">
        <v>8</v>
      </c>
      <c r="G47" s="2">
        <f>4+273</f>
        <v>277</v>
      </c>
      <c r="H47" s="2">
        <f>37+635</f>
        <v>672</v>
      </c>
      <c r="I47" s="2">
        <f>257+277</f>
        <v>534</v>
      </c>
      <c r="J47">
        <f t="shared" si="0"/>
        <v>3490</v>
      </c>
      <c r="K47">
        <f t="shared" si="1"/>
        <v>289</v>
      </c>
      <c r="L47">
        <f t="shared" si="2"/>
        <v>3779</v>
      </c>
      <c r="M47">
        <f t="shared" si="3"/>
        <v>92.352474199523684</v>
      </c>
    </row>
    <row r="48" spans="1:13">
      <c r="A48" t="s">
        <v>54</v>
      </c>
      <c r="B48" s="1">
        <v>4338</v>
      </c>
      <c r="C48" s="1">
        <v>1260</v>
      </c>
      <c r="D48" s="2">
        <v>496</v>
      </c>
      <c r="E48" s="1">
        <f>1126+2454</f>
        <v>3580</v>
      </c>
      <c r="F48" s="2">
        <f>916+2647</f>
        <v>3563</v>
      </c>
      <c r="G48" s="2">
        <f>281+4343</f>
        <v>4624</v>
      </c>
      <c r="H48" s="2">
        <f>41+42+1621</f>
        <v>1704</v>
      </c>
      <c r="I48" s="1">
        <f>4617+2441</f>
        <v>7058</v>
      </c>
      <c r="J48">
        <f t="shared" si="0"/>
        <v>7798</v>
      </c>
      <c r="K48">
        <f t="shared" si="1"/>
        <v>11767</v>
      </c>
      <c r="L48">
        <f t="shared" si="2"/>
        <v>19565</v>
      </c>
      <c r="M48">
        <f t="shared" si="3"/>
        <v>39.856887298747765</v>
      </c>
    </row>
    <row r="49" spans="1:13">
      <c r="A49" t="s">
        <v>55</v>
      </c>
      <c r="B49" s="1">
        <v>5627</v>
      </c>
      <c r="C49" s="1">
        <v>3092</v>
      </c>
      <c r="D49" s="1">
        <v>2460</v>
      </c>
      <c r="E49" s="1">
        <f>2460+153</f>
        <v>2613</v>
      </c>
      <c r="F49" s="2">
        <f>127+280</f>
        <v>407</v>
      </c>
      <c r="G49" s="2">
        <f>71+4994</f>
        <v>5065</v>
      </c>
      <c r="H49" s="2">
        <f>79+36+1258</f>
        <v>1373</v>
      </c>
      <c r="I49" s="1">
        <f>2943+783</f>
        <v>3726</v>
      </c>
      <c r="J49">
        <f t="shared" si="0"/>
        <v>12552</v>
      </c>
      <c r="K49">
        <f t="shared" si="1"/>
        <v>8085</v>
      </c>
      <c r="L49">
        <f t="shared" si="2"/>
        <v>20637</v>
      </c>
      <c r="M49">
        <f t="shared" si="3"/>
        <v>60.822794010757377</v>
      </c>
    </row>
    <row r="50" spans="1:13">
      <c r="A50" t="s">
        <v>56</v>
      </c>
      <c r="B50" s="2">
        <v>510</v>
      </c>
      <c r="C50" s="2">
        <v>460</v>
      </c>
      <c r="D50" s="2">
        <v>132</v>
      </c>
      <c r="E50" s="2">
        <f>122+3380</f>
        <v>3502</v>
      </c>
      <c r="F50" s="1">
        <f>2516+12690</f>
        <v>15206</v>
      </c>
      <c r="G50" s="2">
        <f>53+4079</f>
        <v>4132</v>
      </c>
      <c r="H50" s="2">
        <f>21+219</f>
        <v>240</v>
      </c>
      <c r="I50" s="2">
        <f>121+3119</f>
        <v>3240</v>
      </c>
      <c r="J50">
        <f t="shared" si="0"/>
        <v>1342</v>
      </c>
      <c r="K50">
        <f t="shared" si="1"/>
        <v>22840</v>
      </c>
      <c r="L50">
        <f t="shared" si="2"/>
        <v>24182</v>
      </c>
      <c r="M50">
        <f t="shared" si="3"/>
        <v>5.5495823339674137</v>
      </c>
    </row>
    <row r="51" spans="1:13">
      <c r="A51" t="s">
        <v>57</v>
      </c>
      <c r="B51" s="1">
        <v>4029</v>
      </c>
      <c r="C51" s="1">
        <v>1462</v>
      </c>
      <c r="D51" s="2">
        <v>114</v>
      </c>
      <c r="E51" s="2">
        <f>717+518</f>
        <v>1235</v>
      </c>
      <c r="F51" s="1">
        <f>2692+19</f>
        <v>2711</v>
      </c>
      <c r="G51" s="2">
        <f>13+4483</f>
        <v>4496</v>
      </c>
      <c r="H51" s="2">
        <f>1381+55+376</f>
        <v>1812</v>
      </c>
      <c r="I51" s="1">
        <f>1154+1575</f>
        <v>2729</v>
      </c>
      <c r="J51">
        <f t="shared" si="0"/>
        <v>7417</v>
      </c>
      <c r="K51">
        <f t="shared" si="1"/>
        <v>8442</v>
      </c>
      <c r="L51">
        <f t="shared" si="2"/>
        <v>15859</v>
      </c>
      <c r="M51">
        <f t="shared" si="3"/>
        <v>46.768396494104294</v>
      </c>
    </row>
    <row r="52" spans="1:13">
      <c r="A52" t="s">
        <v>58</v>
      </c>
      <c r="B52" s="2">
        <v>204</v>
      </c>
      <c r="C52" s="2">
        <v>75</v>
      </c>
      <c r="D52" s="2">
        <v>11</v>
      </c>
      <c r="E52" s="2">
        <f>26+5176</f>
        <v>5202</v>
      </c>
      <c r="F52" s="1">
        <f>1330+6745</f>
        <v>8075</v>
      </c>
      <c r="G52" s="2">
        <f>2+7474</f>
        <v>7476</v>
      </c>
      <c r="H52" s="2">
        <f>3+72+124</f>
        <v>199</v>
      </c>
      <c r="I52" s="2">
        <v>747</v>
      </c>
      <c r="J52">
        <f t="shared" si="0"/>
        <v>489</v>
      </c>
      <c r="K52">
        <f t="shared" si="1"/>
        <v>20753</v>
      </c>
      <c r="L52">
        <f t="shared" si="2"/>
        <v>21242</v>
      </c>
      <c r="M52">
        <f t="shared" si="3"/>
        <v>2.3020431221165616</v>
      </c>
    </row>
  </sheetData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Danne Woo</dc:creator>
  <cp:lastModifiedBy>Danne Woo</cp:lastModifiedBy>
  <dcterms:created xsi:type="dcterms:W3CDTF">2017-06-06T03:15:18Z</dcterms:created>
  <dcterms:modified xsi:type="dcterms:W3CDTF">2017-06-07T03:14:48Z</dcterms:modified>
</cp:coreProperties>
</file>