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OAFT" sheetId="2" r:id="rId5"/>
    <sheet state="visible" name="990" sheetId="3" r:id="rId6"/>
    <sheet state="visible" name="PKRK" sheetId="4" r:id="rId7"/>
    <sheet state="visible" name="Cute" sheetId="5" r:id="rId8"/>
    <sheet state="visible" name="Team comparison" sheetId="6" r:id="rId9"/>
    <sheet state="visible" name="Server Accolade Race" sheetId="7" r:id="rId10"/>
    <sheet state="visible" name="Boost and Positioning Title Rac" sheetId="8" r:id="rId11"/>
    <sheet state="visible" name="BPM" sheetId="9" r:id="rId12"/>
    <sheet state="visible" name="Boost Pad Collection" sheetId="10" r:id="rId13"/>
    <sheet state="visible" name="Stolen Boost Pads" sheetId="11" r:id="rId14"/>
    <sheet state="visible" name="Most Back Players" sheetId="12" r:id="rId15"/>
    <sheet state="visible" name="Most Forward Players" sheetId="13" r:id="rId16"/>
  </sheets>
  <definedNames/>
  <calcPr/>
</workbook>
</file>

<file path=xl/sharedStrings.xml><?xml version="1.0" encoding="utf-8"?>
<sst xmlns="http://schemas.openxmlformats.org/spreadsheetml/2006/main" count="879" uniqueCount="244">
  <si>
    <t>To-do at some point</t>
  </si>
  <si>
    <t>Come up with remaining accolade titles?</t>
  </si>
  <si>
    <t>Player</t>
  </si>
  <si>
    <t>Games</t>
  </si>
  <si>
    <t>GPG</t>
  </si>
  <si>
    <t>APG</t>
  </si>
  <si>
    <t>SPG</t>
  </si>
  <si>
    <t>ShPG</t>
  </si>
  <si>
    <t>DPG</t>
  </si>
  <si>
    <t>Minutes Played</t>
  </si>
  <si>
    <t>Demos Taken PG</t>
  </si>
  <si>
    <t>Shooting %</t>
  </si>
  <si>
    <t>Series 1</t>
  </si>
  <si>
    <t>Goals</t>
  </si>
  <si>
    <t>Assists</t>
  </si>
  <si>
    <t>Saves</t>
  </si>
  <si>
    <t>Shots</t>
  </si>
  <si>
    <t>Demos</t>
  </si>
  <si>
    <t>Demos Taken</t>
  </si>
  <si>
    <t>Rel</t>
  </si>
  <si>
    <t>Rainbow</t>
  </si>
  <si>
    <t>Cole</t>
  </si>
  <si>
    <t>Series 2</t>
  </si>
  <si>
    <t>Games played</t>
  </si>
  <si>
    <t>Series Win-Loss</t>
  </si>
  <si>
    <t>Game Record</t>
  </si>
  <si>
    <t>OT Record</t>
  </si>
  <si>
    <t>Sweeps</t>
  </si>
  <si>
    <t>Close Series</t>
  </si>
  <si>
    <t>Golden Games</t>
  </si>
  <si>
    <t>Series Clinchers</t>
  </si>
  <si>
    <t>Do-Or-Die</t>
  </si>
  <si>
    <t>Total OT</t>
  </si>
  <si>
    <t>Assist %</t>
  </si>
  <si>
    <t>2-4 (2-3)</t>
  </si>
  <si>
    <t>9-13 (9-10)</t>
  </si>
  <si>
    <t>3 (3-0)</t>
  </si>
  <si>
    <t>2 (1-1)</t>
  </si>
  <si>
    <t>3 (1-2)</t>
  </si>
  <si>
    <t>1 (0-1)</t>
  </si>
  <si>
    <t>3 (2-1)</t>
  </si>
  <si>
    <t>6 (3-3)</t>
  </si>
  <si>
    <t>7:44</t>
  </si>
  <si>
    <t>GAPG</t>
  </si>
  <si>
    <t>Opp SPG</t>
  </si>
  <si>
    <t>ShAPG</t>
  </si>
  <si>
    <t>Demos PG</t>
  </si>
  <si>
    <t>Demos Allowed PG</t>
  </si>
  <si>
    <t>Possession</t>
  </si>
  <si>
    <t>Pressure</t>
  </si>
  <si>
    <t>Series 3</t>
  </si>
  <si>
    <t>Game</t>
  </si>
  <si>
    <t>Goals Against</t>
  </si>
  <si>
    <t>Opp Saves</t>
  </si>
  <si>
    <t>Shots Allowed</t>
  </si>
  <si>
    <t>Demos Allowed</t>
  </si>
  <si>
    <t>OT</t>
  </si>
  <si>
    <t>Game 1 vs Sloshy Boys</t>
  </si>
  <si>
    <t>Game 2 vs Sloshy Boys</t>
  </si>
  <si>
    <t>Game 3 vs Sloshy Boys</t>
  </si>
  <si>
    <t>Game 4 vs Sloshy Boys</t>
  </si>
  <si>
    <t>Series 4</t>
  </si>
  <si>
    <t>Game 5 vs Sloshy Boys</t>
  </si>
  <si>
    <t>Game 1 vs Valkyrie</t>
  </si>
  <si>
    <t>Game 2 vs Valkyrie</t>
  </si>
  <si>
    <t>Game 3 vs Valkyrie</t>
  </si>
  <si>
    <t>1:36</t>
  </si>
  <si>
    <t>Game 4 vs Valkyrie</t>
  </si>
  <si>
    <t>Series 5</t>
  </si>
  <si>
    <t>Game 1 vs BTG</t>
  </si>
  <si>
    <t>Game 2 vs BTG</t>
  </si>
  <si>
    <t>Game 3 vs BTG</t>
  </si>
  <si>
    <t>Game 4 vs BTG</t>
  </si>
  <si>
    <t>Game 1 vs Flare</t>
  </si>
  <si>
    <t>Game 2 vs Flare</t>
  </si>
  <si>
    <t>Game 3 vs Flare</t>
  </si>
  <si>
    <t>Double FF 0-3</t>
  </si>
  <si>
    <t>Game 1 vs Blue Team</t>
  </si>
  <si>
    <t>4:24</t>
  </si>
  <si>
    <t>Game 2 vs Blue Team</t>
  </si>
  <si>
    <t>1:44</t>
  </si>
  <si>
    <t>Game 3 vs Blue Team</t>
  </si>
  <si>
    <t>Yoshi</t>
  </si>
  <si>
    <t>Pyro</t>
  </si>
  <si>
    <t>Nance</t>
  </si>
  <si>
    <t>Drihzer</t>
  </si>
  <si>
    <t>BS</t>
  </si>
  <si>
    <t>0-6</t>
  </si>
  <si>
    <t>6 (0-6)</t>
  </si>
  <si>
    <t>3 (0-3)</t>
  </si>
  <si>
    <t>8 (2-6)</t>
  </si>
  <si>
    <t>5:16</t>
  </si>
  <si>
    <t>Game 1 vs Juice</t>
  </si>
  <si>
    <t>Game 2 vs Juice</t>
  </si>
  <si>
    <t>Game 3 vs Juice</t>
  </si>
  <si>
    <t>0:45</t>
  </si>
  <si>
    <t>Game 4 vs Juice</t>
  </si>
  <si>
    <t>Game 1 vs Radiance Red</t>
  </si>
  <si>
    <t>Game 2 vs Radiance Red</t>
  </si>
  <si>
    <t>Game 3 vs Radiance Red</t>
  </si>
  <si>
    <t>Game 4 vs Radiance Red</t>
  </si>
  <si>
    <t>Game 1 vs DF Scranton</t>
  </si>
  <si>
    <t>Game 2 vs DF Scranton</t>
  </si>
  <si>
    <t>0:59</t>
  </si>
  <si>
    <t>Game 3 vs DF Scranton</t>
  </si>
  <si>
    <t>Game 4 vs DF Scranton</t>
  </si>
  <si>
    <t>Game 5 vs DF Scranton</t>
  </si>
  <si>
    <t>2:19</t>
  </si>
  <si>
    <t>Game 1 vs NuttyMuffinz White</t>
  </si>
  <si>
    <t>Series 6</t>
  </si>
  <si>
    <t>Game 2 vs NuttyMuffinz White</t>
  </si>
  <si>
    <t>0:47</t>
  </si>
  <si>
    <t>Game 3 vs NuttyMuffinz White</t>
  </si>
  <si>
    <t>0:26</t>
  </si>
  <si>
    <t>Game 1 vs SE Wakizashi</t>
  </si>
  <si>
    <t>Game 2 vs SE Wakizashi</t>
  </si>
  <si>
    <t>Game 3 vs SE Wakizashi</t>
  </si>
  <si>
    <t>Game 1 vs Cosmic Esports</t>
  </si>
  <si>
    <t>0:06</t>
  </si>
  <si>
    <t>Game 2 vs Cosmic Esports</t>
  </si>
  <si>
    <t>Game 3 vs Cosmic Esports</t>
  </si>
  <si>
    <t>Whale</t>
  </si>
  <si>
    <t>Hunter</t>
  </si>
  <si>
    <t>Cyber</t>
  </si>
  <si>
    <t>Sherlock</t>
  </si>
  <si>
    <t>16-11</t>
  </si>
  <si>
    <t>5 (4-1)</t>
  </si>
  <si>
    <t>1 (1-0)</t>
  </si>
  <si>
    <t>5 (3-2)</t>
  </si>
  <si>
    <t>4 (2-2)</t>
  </si>
  <si>
    <t>6 (4-2)</t>
  </si>
  <si>
    <t>10 (8-2)</t>
  </si>
  <si>
    <t>6:37</t>
  </si>
  <si>
    <t>Game 1 vs Team Dead</t>
  </si>
  <si>
    <t>Game 2 vs Team Dead</t>
  </si>
  <si>
    <t>Game 3 vs Team Dead</t>
  </si>
  <si>
    <t>Game 1 vs Smoke</t>
  </si>
  <si>
    <t>Game 2 vs Smoke</t>
  </si>
  <si>
    <t>Game 3 vs Smoke</t>
  </si>
  <si>
    <t>3:33</t>
  </si>
  <si>
    <t>Game 4 vs Smoke</t>
  </si>
  <si>
    <t>Game 5 vs Smoke</t>
  </si>
  <si>
    <t>Game 1 vs Unpopular</t>
  </si>
  <si>
    <t>Game 2 vs Unpopular</t>
  </si>
  <si>
    <t>Game 3 vs Unpopular</t>
  </si>
  <si>
    <t>Game 4 vs Unpopular</t>
  </si>
  <si>
    <t>Game 5 vs Unpopular</t>
  </si>
  <si>
    <t>Game 1 vs WCU Rams</t>
  </si>
  <si>
    <t>Game 2 vs WCU Rams</t>
  </si>
  <si>
    <t>Game 3 vs WCU Rams</t>
  </si>
  <si>
    <t>2:01</t>
  </si>
  <si>
    <t>Game 4 vs WCU Rams</t>
  </si>
  <si>
    <t>1:35</t>
  </si>
  <si>
    <t>Game 1 vs Cupcake Kids</t>
  </si>
  <si>
    <t>Game 2 vs Cupcake Kids</t>
  </si>
  <si>
    <t>Game 3 vs Cupcake Kids</t>
  </si>
  <si>
    <t>Game 4 vs Cupcake Kids</t>
  </si>
  <si>
    <t>Game 5 vs Cupcake Kids</t>
  </si>
  <si>
    <t>Game 1 vs Vague</t>
  </si>
  <si>
    <t>Game 2 vs Vague</t>
  </si>
  <si>
    <t>0:37</t>
  </si>
  <si>
    <t>Game 3 vs Vague</t>
  </si>
  <si>
    <t>Game 4 vs Vague</t>
  </si>
  <si>
    <t>Game 5 vs Vague</t>
  </si>
  <si>
    <t>Jdub</t>
  </si>
  <si>
    <t>Hymel</t>
  </si>
  <si>
    <t>RadPanda</t>
  </si>
  <si>
    <t>Fallen</t>
  </si>
  <si>
    <t>TK Moose</t>
  </si>
  <si>
    <t>3-3 (2-3)</t>
  </si>
  <si>
    <t>11-10 (8-10)</t>
  </si>
  <si>
    <t>4 (1-3)</t>
  </si>
  <si>
    <t>2:32</t>
  </si>
  <si>
    <t>Game 1 vs BBC Redbulls</t>
  </si>
  <si>
    <t>Game 2 vs BBC Redbulls</t>
  </si>
  <si>
    <t>Game 3 vs BBC Redbulls</t>
  </si>
  <si>
    <t>Game 4 vs BBC Redbulls</t>
  </si>
  <si>
    <t>Game 1 vs SE Shinobi</t>
  </si>
  <si>
    <t>Game 2 vs SE Shinobi</t>
  </si>
  <si>
    <t>Game 3 vs SE Shinobi</t>
  </si>
  <si>
    <t>Game 1 vs Deadly Rose</t>
  </si>
  <si>
    <t>Game 2 vs Deadly Rose</t>
  </si>
  <si>
    <t>Game 3 vs Deadly Rose</t>
  </si>
  <si>
    <t>Game 4 vs Deadly Rose</t>
  </si>
  <si>
    <t>FF 3-0 Win</t>
  </si>
  <si>
    <t>Game 1 vs The Senate</t>
  </si>
  <si>
    <t>Game 2 vs The Senate</t>
  </si>
  <si>
    <t>Game 3 vs The Senate</t>
  </si>
  <si>
    <t>Game 1 vs Gale-Fire</t>
  </si>
  <si>
    <t>Game 2 vs Gale-Fire</t>
  </si>
  <si>
    <t>Game 3 vs Gale-Fire</t>
  </si>
  <si>
    <t>Game 4 vs Gale-Fire</t>
  </si>
  <si>
    <t>OAFT</t>
  </si>
  <si>
    <t>PKRK</t>
  </si>
  <si>
    <t>Cute</t>
  </si>
  <si>
    <t>Current</t>
  </si>
  <si>
    <t>Golden Striker</t>
  </si>
  <si>
    <t>Clutch Playmaker</t>
  </si>
  <si>
    <t>Savior of the Season</t>
  </si>
  <si>
    <t>Exterminator (Demos)</t>
  </si>
  <si>
    <t>Highest Demos taken</t>
  </si>
  <si>
    <t>DTPG</t>
  </si>
  <si>
    <t>Lowest</t>
  </si>
  <si>
    <t>Evader</t>
  </si>
  <si>
    <t>Polluter</t>
  </si>
  <si>
    <t>BPM</t>
  </si>
  <si>
    <t>Boost Slurper</t>
  </si>
  <si>
    <t>BPC/Minute</t>
  </si>
  <si>
    <t>Penny Collecter</t>
  </si>
  <si>
    <t>SPC/Minute</t>
  </si>
  <si>
    <t>Robin Hood</t>
  </si>
  <si>
    <t>BPS/Minute</t>
  </si>
  <si>
    <t>Penny Stealer</t>
  </si>
  <si>
    <t>SPS/Minute</t>
  </si>
  <si>
    <t>Third Man</t>
  </si>
  <si>
    <t>%MBG</t>
  </si>
  <si>
    <t>First Man</t>
  </si>
  <si>
    <t>%MFG</t>
  </si>
  <si>
    <t>Green Machine</t>
  </si>
  <si>
    <t>BPCM</t>
  </si>
  <si>
    <t>SPCM</t>
  </si>
  <si>
    <t>BPSM</t>
  </si>
  <si>
    <t>SPSM</t>
  </si>
  <si>
    <t>Boost Per Minute</t>
  </si>
  <si>
    <t>BPC</t>
  </si>
  <si>
    <t>Big Pads Collected</t>
  </si>
  <si>
    <t>SPC</t>
  </si>
  <si>
    <t>Small Pads Collected</t>
  </si>
  <si>
    <t>BPS</t>
  </si>
  <si>
    <t>Big Pads Stolen</t>
  </si>
  <si>
    <t>SPS</t>
  </si>
  <si>
    <t>Small Pads Stolen</t>
  </si>
  <si>
    <t>Percentage Most Back Per Game</t>
  </si>
  <si>
    <t>Percentage Most Forward Per Game</t>
  </si>
  <si>
    <t>Relevant</t>
  </si>
  <si>
    <t>Avg.</t>
  </si>
  <si>
    <t>Total</t>
  </si>
  <si>
    <t>Minutes played</t>
  </si>
  <si>
    <t>Avg/Minute (Use)</t>
  </si>
  <si>
    <t>Avg/Game</t>
  </si>
  <si>
    <t>(This is just for reference)</t>
  </si>
  <si>
    <t>Big Boosts Stolen</t>
  </si>
  <si>
    <t>% Most Back</t>
  </si>
  <si>
    <t>% Most Forward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</si>
</sst>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rgb="FF00000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E69138"/>
        <bgColor rgb="FFE69138"/>
      </patternFill>
    </fill>
    <fill>
      <patternFill patternType="solid">
        <fgColor rgb="FFFFF2CC"/>
        <bgColor rgb="FFFFF2CC"/>
      </patternFill>
    </fill>
  </fills>
  <borders count="12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2" fontId="3" numFmtId="0" xfId="0" applyAlignment="1" applyFont="1">
      <alignment horizontal="center" vertical="bottom"/>
    </xf>
    <xf borderId="0" fillId="0" fontId="2" numFmtId="2" xfId="0" applyAlignment="1" applyFont="1" applyNumberFormat="1">
      <alignment horizontal="center" readingOrder="0"/>
    </xf>
    <xf borderId="0" fillId="0" fontId="4" numFmtId="10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quotePrefix="1" borderId="0" fillId="0" fontId="4" numFmtId="0" xfId="0" applyAlignment="1" applyFont="1">
      <alignment horizontal="center" readingOrder="0" vertical="bottom"/>
    </xf>
    <xf borderId="0" fillId="0" fontId="2" numFmtId="10" xfId="0" applyAlignment="1" applyFont="1" applyNumberFormat="1">
      <alignment horizontal="center"/>
    </xf>
    <xf borderId="0" fillId="2" fontId="3" numFmtId="0" xfId="0" applyAlignment="1" applyFont="1">
      <alignment horizontal="center" readingOrder="0" vertical="bottom"/>
    </xf>
    <xf borderId="0" fillId="0" fontId="2" numFmtId="4" xfId="0" applyAlignment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quotePrefix="1"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164" xfId="0" applyAlignment="1" applyFont="1" applyNumberFormat="1">
      <alignment horizontal="center" readingOrder="0" vertical="bottom"/>
    </xf>
    <xf borderId="0" fillId="3" fontId="1" numFmtId="0" xfId="0" applyAlignment="1" applyFill="1" applyFont="1">
      <alignment horizontal="center"/>
    </xf>
    <xf borderId="0" fillId="3" fontId="2" numFmtId="0" xfId="0" applyAlignment="1" applyFont="1">
      <alignment horizontal="center"/>
    </xf>
    <xf borderId="0" fillId="4" fontId="1" numFmtId="0" xfId="0" applyAlignment="1" applyFill="1" applyFont="1">
      <alignment horizontal="center"/>
    </xf>
    <xf borderId="0" fillId="4" fontId="2" numFmtId="0" xfId="0" applyAlignment="1" applyFont="1">
      <alignment horizontal="center"/>
    </xf>
    <xf borderId="0" fillId="4" fontId="2" numFmtId="164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5" fontId="1" numFmtId="0" xfId="0" applyAlignment="1" applyFill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5" fontId="2" numFmtId="0" xfId="0" applyAlignment="1" applyFont="1">
      <alignment horizontal="center"/>
    </xf>
    <xf borderId="0" fillId="3" fontId="2" numFmtId="4" xfId="0" applyAlignment="1" applyFont="1" applyNumberFormat="1">
      <alignment horizontal="center"/>
    </xf>
    <xf borderId="0" fillId="3" fontId="2" numFmtId="10" xfId="0" applyAlignment="1" applyFont="1" applyNumberFormat="1">
      <alignment horizontal="center"/>
    </xf>
    <xf borderId="0" fillId="4" fontId="2" numFmtId="4" xfId="0" applyAlignment="1" applyFont="1" applyNumberFormat="1">
      <alignment horizontal="center"/>
    </xf>
    <xf borderId="0" fillId="4" fontId="2" numFmtId="10" xfId="0" applyAlignment="1" applyFont="1" applyNumberFormat="1">
      <alignment horizontal="center"/>
    </xf>
    <xf borderId="0" fillId="0" fontId="2" numFmtId="4" xfId="0" applyAlignment="1" applyFont="1" applyNumberFormat="1">
      <alignment horizontal="center"/>
    </xf>
    <xf borderId="0" fillId="5" fontId="2" numFmtId="4" xfId="0" applyAlignment="1" applyFont="1" applyNumberFormat="1">
      <alignment horizontal="center" readingOrder="0"/>
    </xf>
    <xf borderId="0" fillId="5" fontId="2" numFmtId="10" xfId="0" applyAlignment="1" applyFont="1" applyNumberFormat="1">
      <alignment horizontal="center" readingOrder="0"/>
    </xf>
    <xf borderId="0" fillId="5" fontId="2" numFmtId="10" xfId="0" applyAlignment="1" applyFont="1" applyNumberFormat="1">
      <alignment horizontal="center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3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2" numFmtId="2" xfId="0" applyAlignment="1" applyBorder="1" applyFont="1" applyNumberFormat="1">
      <alignment horizontal="center" readingOrder="0"/>
    </xf>
    <xf borderId="5" fillId="6" fontId="1" numFmtId="0" xfId="0" applyAlignment="1" applyBorder="1" applyFill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5" fillId="7" fontId="5" numFmtId="0" xfId="0" applyAlignment="1" applyBorder="1" applyFill="1" applyFont="1">
      <alignment horizontal="center" readingOrder="0"/>
    </xf>
    <xf borderId="5" fillId="7" fontId="1" numFmtId="0" xfId="0" applyAlignment="1" applyBorder="1" applyFont="1">
      <alignment horizontal="center" readingOrder="0"/>
    </xf>
    <xf borderId="5" fillId="8" fontId="1" numFmtId="0" xfId="0" applyAlignment="1" applyBorder="1" applyFill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2" numFmtId="2" xfId="0" applyAlignment="1" applyBorder="1" applyFont="1" applyNumberFormat="1">
      <alignment horizontal="center" readingOrder="0"/>
    </xf>
    <xf borderId="2" fillId="0" fontId="1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9" fillId="2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0" fillId="0" fontId="1" numFmtId="0" xfId="0" applyAlignment="1" applyBorder="1" applyFont="1">
      <alignment horizontal="center" readingOrder="0"/>
    </xf>
    <xf borderId="9" fillId="0" fontId="2" numFmtId="2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 readingOrder="0"/>
    </xf>
    <xf borderId="6" fillId="0" fontId="2" numFmtId="2" xfId="0" applyAlignment="1" applyBorder="1" applyFont="1" applyNumberForma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6" fillId="0" fontId="1" numFmtId="2" xfId="0" applyAlignment="1" applyBorder="1" applyFont="1" applyNumberFormat="1">
      <alignment horizontal="center" readingOrder="0"/>
    </xf>
    <xf borderId="5" fillId="0" fontId="1" numFmtId="0" xfId="0" applyAlignment="1" applyBorder="1" applyFont="1">
      <alignment horizontal="center"/>
    </xf>
    <xf borderId="8" fillId="0" fontId="2" numFmtId="2" xfId="0" applyAlignment="1" applyBorder="1" applyFont="1" applyNumberFormat="1">
      <alignment horizontal="center"/>
    </xf>
    <xf borderId="8" fillId="0" fontId="1" numFmtId="2" xfId="0" applyAlignment="1" applyBorder="1" applyFont="1" applyNumberFormat="1">
      <alignment horizontal="center" readingOrder="0"/>
    </xf>
    <xf borderId="2" fillId="0" fontId="1" numFmtId="0" xfId="0" applyAlignment="1" applyBorder="1" applyFont="1">
      <alignment horizontal="center"/>
    </xf>
    <xf borderId="0" fillId="0" fontId="2" numFmtId="0" xfId="0" applyFont="1"/>
    <xf borderId="9" fillId="0" fontId="1" numFmtId="0" xfId="0" applyAlignment="1" applyBorder="1" applyFont="1">
      <alignment horizontal="center" readingOrder="0"/>
    </xf>
    <xf borderId="0" fillId="3" fontId="2" numFmtId="2" xfId="0" applyAlignment="1" applyFont="1" applyNumberFormat="1">
      <alignment horizontal="center"/>
    </xf>
    <xf borderId="0" fillId="4" fontId="2" numFmtId="2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5" fillId="6" fontId="1" numFmtId="0" xfId="0" applyAlignment="1" applyBorder="1" applyFont="1">
      <alignment horizontal="center" readingOrder="0"/>
    </xf>
    <xf borderId="0" fillId="6" fontId="1" numFmtId="0" xfId="0" applyAlignment="1" applyFont="1">
      <alignment horizontal="center" readingOrder="0"/>
    </xf>
    <xf borderId="0" fillId="0" fontId="1" numFmtId="2" xfId="0" applyAlignment="1" applyFont="1" applyNumberFormat="1">
      <alignment horizontal="center" readingOrder="0"/>
    </xf>
    <xf borderId="1" fillId="6" fontId="1" numFmtId="0" xfId="0" applyAlignment="1" applyBorder="1" applyFont="1">
      <alignment horizontal="center" readingOrder="0"/>
    </xf>
    <xf borderId="9" fillId="0" fontId="1" numFmtId="2" xfId="0" applyAlignment="1" applyBorder="1" applyFont="1" applyNumberFormat="1">
      <alignment horizontal="center"/>
    </xf>
    <xf borderId="5" fillId="7" fontId="1" numFmtId="0" xfId="0" applyAlignment="1" applyBorder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6" fontId="1" numFmtId="0" xfId="0" applyAlignment="1" applyFont="1">
      <alignment horizontal="center" readingOrder="0"/>
    </xf>
    <xf borderId="6" fillId="0" fontId="1" numFmtId="2" xfId="0" applyAlignment="1" applyBorder="1" applyFont="1" applyNumberFormat="1">
      <alignment horizontal="center"/>
    </xf>
    <xf borderId="0" fillId="9" fontId="1" numFmtId="0" xfId="0" applyAlignment="1" applyFill="1" applyFont="1">
      <alignment horizontal="center"/>
    </xf>
    <xf borderId="0" fillId="9" fontId="2" numFmtId="0" xfId="0" applyAlignment="1" applyFont="1">
      <alignment horizontal="center"/>
    </xf>
    <xf borderId="0" fillId="9" fontId="2" numFmtId="2" xfId="0" applyAlignment="1" applyFont="1" applyNumberFormat="1">
      <alignment horizontal="center"/>
    </xf>
    <xf borderId="0" fillId="9" fontId="2" numFmtId="10" xfId="0" applyAlignment="1" applyFont="1" applyNumberFormat="1">
      <alignment horizontal="center"/>
    </xf>
    <xf borderId="5" fillId="8" fontId="1" numFmtId="0" xfId="0" applyAlignment="1" applyBorder="1" applyFont="1">
      <alignment horizontal="center" readingOrder="0"/>
    </xf>
    <xf borderId="0" fillId="8" fontId="1" numFmtId="0" xfId="0" applyAlignment="1" applyFont="1">
      <alignment horizontal="center" readingOrder="0"/>
    </xf>
    <xf borderId="0" fillId="8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2" xfId="0" applyAlignment="1" applyBorder="1" applyFont="1" applyNumberFormat="1">
      <alignment horizontal="center" readingOrder="0"/>
    </xf>
    <xf borderId="8" fillId="0" fontId="1" numFmtId="2" xfId="0" applyAlignment="1" applyBorder="1" applyFont="1" applyNumberForma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Alignment="1" applyBorder="1" applyFont="1">
      <alignment readingOrder="0"/>
    </xf>
    <xf borderId="2" fillId="0" fontId="2" numFmtId="0" xfId="0" applyBorder="1" applyFont="1"/>
    <xf borderId="0" fillId="0" fontId="2" numFmtId="0" xfId="0" applyFont="1"/>
    <xf borderId="0" fillId="0" fontId="2" numFmtId="2" xfId="0" applyAlignment="1" applyFont="1" applyNumberForma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30.25"/>
    <col customWidth="1" min="3" max="3" width="22.38"/>
  </cols>
  <sheetData>
    <row r="1">
      <c r="A1" s="1" t="s">
        <v>0</v>
      </c>
      <c r="B1" s="1"/>
      <c r="C1" s="1"/>
    </row>
    <row r="2">
      <c r="A2" s="2" t="s">
        <v>1</v>
      </c>
      <c r="B2" s="2"/>
      <c r="C2" s="2"/>
    </row>
    <row r="3">
      <c r="A3" s="2"/>
      <c r="B3" s="2"/>
      <c r="C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1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3"/>
    </row>
    <row r="14">
      <c r="A14" s="1"/>
    </row>
    <row r="15">
      <c r="A15" s="2"/>
    </row>
    <row r="16">
      <c r="A1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10" max="10" width="14.88"/>
    <col customWidth="1" min="11" max="11" width="13.63"/>
  </cols>
  <sheetData>
    <row r="1">
      <c r="A1" s="4"/>
      <c r="B1" s="5"/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5"/>
      <c r="O1" s="6" t="s">
        <v>12</v>
      </c>
      <c r="P1" s="6" t="s">
        <v>3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9</v>
      </c>
      <c r="W1" s="6" t="s">
        <v>18</v>
      </c>
    </row>
    <row r="2">
      <c r="A2" s="4"/>
      <c r="B2" s="5"/>
      <c r="C2" s="6" t="s">
        <v>19</v>
      </c>
      <c r="D2" s="4">
        <f>SUMIF($O$1:$O$81, $C$2, P1:P80)</f>
        <v>19</v>
      </c>
      <c r="E2" s="9">
        <f>If($D$2 = 0, "Hasn't played", SUMIF($O$1:$O$81, $C$2, $Q$1:$Q$81)/$D$2)</f>
        <v>0.6315789474</v>
      </c>
      <c r="F2" s="9">
        <f t="shared" ref="F2:F4" si="1">If(D2 = 0, "Hasn't played", SUMIF($O$1:$O$81, C2, $R$1:$R$81)/D2)</f>
        <v>0.6315789474</v>
      </c>
      <c r="G2" s="9">
        <f t="shared" ref="G2:G4" si="2">If(D2 = 0, "Hasn't played", SUMIF($O$1:$O$81, C2, $S$1:$S$81)/D2)</f>
        <v>1.736842105</v>
      </c>
      <c r="H2" s="9">
        <f t="shared" ref="H2:H4" si="3">If(D2 = 0, "Hasn't played", SUMIF($O$1:$O$81, C2, $T$1:$T$81)/D2)</f>
        <v>2.263157895</v>
      </c>
      <c r="I2" s="9">
        <f t="shared" ref="I2:I4" si="4">If(D2 = 0, "Hasn't played", SUMIF($O$1:$O$81, C2, $U$1:$U$81)/D2)</f>
        <v>0.5789473684</v>
      </c>
      <c r="J2" s="9">
        <f t="shared" ref="J2:J4" si="5">If(D2 = 0, "Hasn't played", SUMIF($O$1:$O$81, C2, $V$1:$V$81))</f>
        <v>81.6</v>
      </c>
      <c r="K2" s="9">
        <f t="shared" ref="K2:K4" si="6">If(D2 = 0, "Hasn't played", SUMIF($O$1:$O$81, C2, $W$1:$W$81)/D2)</f>
        <v>0.5789473684</v>
      </c>
      <c r="L2" s="10">
        <f t="shared" ref="L2:L4" si="7">If(D2=0, "Hasn't played", E2/H2)</f>
        <v>0.2790697674</v>
      </c>
      <c r="M2" s="5"/>
      <c r="O2" s="6" t="s">
        <v>19</v>
      </c>
      <c r="P2" s="4">
        <v>5.0</v>
      </c>
      <c r="Q2" s="4">
        <v>4.0</v>
      </c>
      <c r="R2" s="4">
        <v>3.0</v>
      </c>
      <c r="S2" s="4">
        <v>9.0</v>
      </c>
      <c r="T2" s="4">
        <v>12.0</v>
      </c>
      <c r="U2" s="4">
        <v>5.0</v>
      </c>
      <c r="V2" s="4">
        <v>25.0</v>
      </c>
      <c r="W2" s="4">
        <v>3.0</v>
      </c>
    </row>
    <row r="3">
      <c r="A3" s="5"/>
      <c r="B3" s="5"/>
      <c r="C3" s="6" t="s">
        <v>20</v>
      </c>
      <c r="D3" s="4">
        <f>SUMIF($O$1:$O$81, $C$3, P1:P80)</f>
        <v>19</v>
      </c>
      <c r="E3" s="9">
        <f t="shared" ref="E3:E4" si="8">If(D3 = 0, "Hasn't played", SUMIF($O$1:$O$81, C3, $Q$1:$Q$81)/D3)</f>
        <v>1.157894737</v>
      </c>
      <c r="F3" s="9">
        <f t="shared" si="1"/>
        <v>0.4736842105</v>
      </c>
      <c r="G3" s="9">
        <f t="shared" si="2"/>
        <v>1.789473684</v>
      </c>
      <c r="H3" s="9">
        <f t="shared" si="3"/>
        <v>2.947368421</v>
      </c>
      <c r="I3" s="9">
        <f t="shared" si="4"/>
        <v>0.4736842105</v>
      </c>
      <c r="J3" s="9">
        <f t="shared" si="5"/>
        <v>81.6</v>
      </c>
      <c r="K3" s="9">
        <f t="shared" si="6"/>
        <v>0.7894736842</v>
      </c>
      <c r="L3" s="10">
        <f t="shared" si="7"/>
        <v>0.3928571429</v>
      </c>
      <c r="M3" s="5"/>
      <c r="O3" s="6" t="s">
        <v>20</v>
      </c>
      <c r="P3" s="4">
        <v>5.0</v>
      </c>
      <c r="Q3" s="4">
        <v>5.0</v>
      </c>
      <c r="R3" s="4">
        <v>2.0</v>
      </c>
      <c r="S3" s="4">
        <v>10.0</v>
      </c>
      <c r="T3" s="4">
        <v>15.0</v>
      </c>
      <c r="U3" s="4">
        <v>2.0</v>
      </c>
      <c r="V3" s="4">
        <v>25.0</v>
      </c>
      <c r="W3" s="4">
        <v>1.0</v>
      </c>
    </row>
    <row r="4">
      <c r="A4" s="5"/>
      <c r="B4" s="5"/>
      <c r="C4" s="6" t="s">
        <v>21</v>
      </c>
      <c r="D4" s="4">
        <f>SUMIF($O$1:$O$81, $C$4, P1:P80)</f>
        <v>19</v>
      </c>
      <c r="E4" s="9">
        <f t="shared" si="8"/>
        <v>0.5263157895</v>
      </c>
      <c r="F4" s="9">
        <f t="shared" si="1"/>
        <v>0.5789473684</v>
      </c>
      <c r="G4" s="9">
        <f t="shared" si="2"/>
        <v>1.315789474</v>
      </c>
      <c r="H4" s="9">
        <f t="shared" si="3"/>
        <v>1.947368421</v>
      </c>
      <c r="I4" s="9">
        <f t="shared" si="4"/>
        <v>0.6842105263</v>
      </c>
      <c r="J4" s="9">
        <f t="shared" si="5"/>
        <v>81.6</v>
      </c>
      <c r="K4" s="9">
        <f t="shared" si="6"/>
        <v>0.6842105263</v>
      </c>
      <c r="L4" s="10">
        <f t="shared" si="7"/>
        <v>0.2702702703</v>
      </c>
      <c r="M4" s="5"/>
      <c r="O4" s="6" t="s">
        <v>21</v>
      </c>
      <c r="P4" s="4">
        <v>5.0</v>
      </c>
      <c r="Q4" s="5"/>
      <c r="R4" s="4">
        <v>1.0</v>
      </c>
      <c r="S4" s="4">
        <v>7.0</v>
      </c>
      <c r="T4" s="4">
        <v>9.0</v>
      </c>
      <c r="U4" s="4">
        <v>2.0</v>
      </c>
      <c r="V4" s="4">
        <v>25.0</v>
      </c>
      <c r="W4" s="4">
        <v>4.0</v>
      </c>
    </row>
    <row r="5">
      <c r="A5" s="11"/>
      <c r="B5" s="11"/>
      <c r="C5" s="6"/>
      <c r="D5" s="4"/>
      <c r="E5" s="9"/>
      <c r="F5" s="9"/>
      <c r="G5" s="9"/>
      <c r="H5" s="9"/>
      <c r="I5" s="9"/>
      <c r="J5" s="9"/>
      <c r="K5" s="9"/>
      <c r="L5" s="10"/>
      <c r="M5" s="5"/>
      <c r="O5" s="6"/>
      <c r="V5" s="5"/>
      <c r="W5" s="4"/>
    </row>
    <row r="6">
      <c r="A6" s="11"/>
      <c r="B6" s="11"/>
      <c r="C6" s="12"/>
      <c r="D6" s="4"/>
      <c r="E6" s="9"/>
      <c r="F6" s="9"/>
      <c r="G6" s="9"/>
      <c r="H6" s="9"/>
      <c r="I6" s="9"/>
      <c r="J6" s="9"/>
      <c r="K6" s="9"/>
      <c r="L6" s="10"/>
      <c r="M6" s="5"/>
      <c r="O6" s="6" t="s">
        <v>22</v>
      </c>
      <c r="P6" s="6" t="s">
        <v>3</v>
      </c>
      <c r="Q6" s="6" t="s">
        <v>13</v>
      </c>
      <c r="R6" s="6" t="s">
        <v>14</v>
      </c>
      <c r="S6" s="6" t="s">
        <v>15</v>
      </c>
      <c r="T6" s="6" t="s">
        <v>16</v>
      </c>
      <c r="U6" s="6" t="s">
        <v>17</v>
      </c>
      <c r="V6" s="6" t="s">
        <v>9</v>
      </c>
      <c r="W6" s="6" t="s">
        <v>18</v>
      </c>
    </row>
    <row r="7">
      <c r="A7" s="11"/>
      <c r="B7" s="11"/>
      <c r="C7" s="12"/>
      <c r="D7" s="12"/>
      <c r="E7" s="11"/>
      <c r="F7" s="11"/>
      <c r="G7" s="11"/>
      <c r="H7" s="11"/>
      <c r="I7" s="11"/>
      <c r="J7" s="11"/>
      <c r="K7" s="11"/>
      <c r="L7" s="11"/>
      <c r="M7" s="5"/>
      <c r="O7" s="6" t="s">
        <v>19</v>
      </c>
      <c r="P7" s="4">
        <v>4.0</v>
      </c>
      <c r="Q7" s="5"/>
      <c r="R7" s="4">
        <v>3.0</v>
      </c>
      <c r="S7" s="4">
        <v>7.0</v>
      </c>
      <c r="T7" s="4">
        <v>9.0</v>
      </c>
      <c r="U7" s="4">
        <v>4.0</v>
      </c>
      <c r="V7" s="4">
        <v>21.6</v>
      </c>
      <c r="W7" s="4">
        <v>1.0</v>
      </c>
    </row>
    <row r="8">
      <c r="A8" s="11"/>
      <c r="B8" s="13" t="s">
        <v>23</v>
      </c>
      <c r="C8" s="13" t="s">
        <v>24</v>
      </c>
      <c r="D8" s="13" t="s">
        <v>25</v>
      </c>
      <c r="E8" s="14" t="s">
        <v>26</v>
      </c>
      <c r="F8" s="14" t="s">
        <v>27</v>
      </c>
      <c r="G8" s="14" t="s">
        <v>28</v>
      </c>
      <c r="H8" s="14" t="s">
        <v>29</v>
      </c>
      <c r="I8" s="14" t="s">
        <v>30</v>
      </c>
      <c r="J8" s="14" t="s">
        <v>31</v>
      </c>
      <c r="K8" s="14" t="s">
        <v>32</v>
      </c>
      <c r="L8" s="11"/>
      <c r="M8" s="7" t="s">
        <v>33</v>
      </c>
      <c r="O8" s="6" t="s">
        <v>20</v>
      </c>
      <c r="P8" s="4">
        <v>4.0</v>
      </c>
      <c r="Q8" s="4">
        <v>3.0</v>
      </c>
      <c r="R8" s="5"/>
      <c r="S8" s="4">
        <v>4.0</v>
      </c>
      <c r="T8" s="4">
        <v>11.0</v>
      </c>
      <c r="U8" s="4">
        <v>4.0</v>
      </c>
      <c r="V8" s="4">
        <v>21.6</v>
      </c>
      <c r="W8" s="4">
        <v>6.0</v>
      </c>
    </row>
    <row r="9">
      <c r="A9" s="11"/>
      <c r="B9" s="12">
        <v>19.0</v>
      </c>
      <c r="C9" s="12" t="s">
        <v>34</v>
      </c>
      <c r="D9" s="12" t="s">
        <v>35</v>
      </c>
      <c r="E9" s="12" t="s">
        <v>36</v>
      </c>
      <c r="F9" s="12" t="s">
        <v>37</v>
      </c>
      <c r="G9" s="12" t="s">
        <v>38</v>
      </c>
      <c r="H9" s="12" t="s">
        <v>39</v>
      </c>
      <c r="I9" s="12" t="s">
        <v>40</v>
      </c>
      <c r="J9" s="12" t="s">
        <v>41</v>
      </c>
      <c r="K9" s="15" t="s">
        <v>42</v>
      </c>
      <c r="L9" s="11"/>
      <c r="M9" s="16">
        <f>D11/B11</f>
        <v>0.7272727273</v>
      </c>
      <c r="O9" s="6" t="s">
        <v>21</v>
      </c>
      <c r="P9" s="4">
        <v>4.0</v>
      </c>
      <c r="Q9" s="4">
        <v>3.0</v>
      </c>
      <c r="R9" s="4">
        <v>1.0</v>
      </c>
      <c r="S9" s="4">
        <v>3.0</v>
      </c>
      <c r="T9" s="4">
        <v>4.0</v>
      </c>
      <c r="U9" s="4">
        <v>4.0</v>
      </c>
      <c r="V9" s="4">
        <v>21.6</v>
      </c>
      <c r="W9" s="4">
        <v>1.0</v>
      </c>
    </row>
    <row r="10">
      <c r="A10" s="11"/>
      <c r="B10" s="8" t="s">
        <v>4</v>
      </c>
      <c r="C10" s="8" t="s">
        <v>43</v>
      </c>
      <c r="D10" s="8" t="s">
        <v>5</v>
      </c>
      <c r="E10" s="8" t="s">
        <v>6</v>
      </c>
      <c r="F10" s="8" t="s">
        <v>7</v>
      </c>
      <c r="G10" s="8" t="s">
        <v>44</v>
      </c>
      <c r="H10" s="8" t="s">
        <v>45</v>
      </c>
      <c r="I10" s="17" t="s">
        <v>46</v>
      </c>
      <c r="J10" s="17" t="s">
        <v>47</v>
      </c>
      <c r="K10" s="7" t="s">
        <v>48</v>
      </c>
      <c r="L10" s="7" t="s">
        <v>49</v>
      </c>
      <c r="M10" s="7" t="s">
        <v>11</v>
      </c>
    </row>
    <row r="11">
      <c r="A11" s="5"/>
      <c r="B11" s="18">
        <f t="shared" ref="B11:L11" si="9">AVERAGEIF(B13:B82, "&lt;&gt;")</f>
        <v>2.315789474</v>
      </c>
      <c r="C11" s="18">
        <f t="shared" si="9"/>
        <v>2.157894737</v>
      </c>
      <c r="D11" s="18">
        <f t="shared" si="9"/>
        <v>1.684210526</v>
      </c>
      <c r="E11" s="18">
        <f t="shared" si="9"/>
        <v>4.842105263</v>
      </c>
      <c r="F11" s="18">
        <f t="shared" si="9"/>
        <v>7.157894737</v>
      </c>
      <c r="G11" s="18">
        <f t="shared" si="9"/>
        <v>3.5</v>
      </c>
      <c r="H11" s="18">
        <f t="shared" si="9"/>
        <v>8.666666667</v>
      </c>
      <c r="I11" s="18">
        <f t="shared" si="9"/>
        <v>1.941176471</v>
      </c>
      <c r="J11" s="18">
        <f t="shared" si="9"/>
        <v>2.294117647</v>
      </c>
      <c r="K11" s="18">
        <f t="shared" si="9"/>
        <v>49.8775</v>
      </c>
      <c r="L11" s="18">
        <f t="shared" si="9"/>
        <v>50.4075</v>
      </c>
      <c r="M11" s="16">
        <f>B11/F11</f>
        <v>0.3235294118</v>
      </c>
      <c r="O11" s="6" t="s">
        <v>50</v>
      </c>
      <c r="P11" s="6" t="s">
        <v>3</v>
      </c>
      <c r="Q11" s="6" t="s">
        <v>13</v>
      </c>
      <c r="R11" s="6" t="s">
        <v>14</v>
      </c>
      <c r="S11" s="6" t="s">
        <v>15</v>
      </c>
      <c r="T11" s="6" t="s">
        <v>16</v>
      </c>
      <c r="U11" s="6" t="s">
        <v>17</v>
      </c>
      <c r="V11" s="6" t="s">
        <v>9</v>
      </c>
      <c r="W11" s="6" t="s">
        <v>18</v>
      </c>
    </row>
    <row r="12">
      <c r="A12" s="14" t="s">
        <v>51</v>
      </c>
      <c r="B12" s="14" t="s">
        <v>13</v>
      </c>
      <c r="C12" s="14" t="s">
        <v>52</v>
      </c>
      <c r="D12" s="14" t="s">
        <v>14</v>
      </c>
      <c r="E12" s="14" t="s">
        <v>15</v>
      </c>
      <c r="F12" s="13" t="s">
        <v>16</v>
      </c>
      <c r="G12" s="13" t="s">
        <v>53</v>
      </c>
      <c r="H12" s="13" t="s">
        <v>54</v>
      </c>
      <c r="I12" s="13" t="s">
        <v>17</v>
      </c>
      <c r="J12" s="13" t="s">
        <v>55</v>
      </c>
      <c r="K12" s="13" t="s">
        <v>48</v>
      </c>
      <c r="L12" s="6" t="s">
        <v>49</v>
      </c>
      <c r="M12" s="6" t="s">
        <v>56</v>
      </c>
      <c r="O12" s="6" t="s">
        <v>19</v>
      </c>
      <c r="P12" s="4">
        <v>4.0</v>
      </c>
      <c r="Q12" s="4">
        <v>1.0</v>
      </c>
      <c r="R12" s="4">
        <v>4.0</v>
      </c>
      <c r="S12" s="4">
        <v>5.0</v>
      </c>
      <c r="T12" s="4">
        <v>7.0</v>
      </c>
      <c r="U12" s="4"/>
      <c r="V12" s="4">
        <v>20.0</v>
      </c>
      <c r="W12" s="4">
        <v>4.0</v>
      </c>
    </row>
    <row r="13">
      <c r="A13" s="19" t="s">
        <v>57</v>
      </c>
      <c r="B13" s="19">
        <v>2.0</v>
      </c>
      <c r="C13" s="19">
        <v>6.0</v>
      </c>
      <c r="D13" s="19">
        <v>2.0</v>
      </c>
      <c r="E13" s="19">
        <v>3.0</v>
      </c>
      <c r="F13" s="19">
        <v>7.0</v>
      </c>
      <c r="G13" s="19">
        <v>3.0</v>
      </c>
      <c r="H13" s="19">
        <v>11.0</v>
      </c>
      <c r="I13" s="19">
        <v>2.0</v>
      </c>
      <c r="J13" s="19">
        <v>3.0</v>
      </c>
      <c r="K13" s="19">
        <v>56.68</v>
      </c>
      <c r="L13" s="19">
        <v>48.41</v>
      </c>
      <c r="M13" s="19">
        <v>0.0</v>
      </c>
      <c r="O13" s="6" t="s">
        <v>20</v>
      </c>
      <c r="P13" s="4">
        <v>4.0</v>
      </c>
      <c r="Q13" s="4">
        <v>7.0</v>
      </c>
      <c r="R13" s="4">
        <v>2.0</v>
      </c>
      <c r="S13" s="4">
        <v>4.0</v>
      </c>
      <c r="T13" s="4">
        <v>14.0</v>
      </c>
      <c r="U13" s="4">
        <v>2.0</v>
      </c>
      <c r="V13" s="4">
        <v>20.0</v>
      </c>
      <c r="W13" s="4">
        <v>4.0</v>
      </c>
    </row>
    <row r="14">
      <c r="A14" s="4" t="s">
        <v>58</v>
      </c>
      <c r="B14" s="4">
        <v>1.0</v>
      </c>
      <c r="C14" s="4">
        <v>2.0</v>
      </c>
      <c r="D14" s="4">
        <v>1.0</v>
      </c>
      <c r="E14" s="4">
        <v>6.0</v>
      </c>
      <c r="F14" s="4">
        <v>4.0</v>
      </c>
      <c r="G14" s="4">
        <v>2.0</v>
      </c>
      <c r="H14" s="4">
        <v>9.0</v>
      </c>
      <c r="I14" s="4">
        <v>2.0</v>
      </c>
      <c r="J14" s="4">
        <v>1.0</v>
      </c>
      <c r="K14" s="4">
        <v>48.29</v>
      </c>
      <c r="L14" s="4">
        <v>40.21</v>
      </c>
      <c r="M14" s="4">
        <v>0.0</v>
      </c>
      <c r="O14" s="6" t="s">
        <v>21</v>
      </c>
      <c r="P14" s="4">
        <v>4.0</v>
      </c>
      <c r="Q14" s="5">
        <v>3.0</v>
      </c>
      <c r="R14" s="4">
        <v>4.0</v>
      </c>
      <c r="S14" s="4">
        <v>7.0</v>
      </c>
      <c r="T14" s="4">
        <v>9.0</v>
      </c>
      <c r="U14" s="4">
        <v>2.0</v>
      </c>
      <c r="V14" s="4">
        <v>20.0</v>
      </c>
      <c r="W14" s="4">
        <v>1.0</v>
      </c>
    </row>
    <row r="15">
      <c r="A15" s="4" t="s">
        <v>59</v>
      </c>
      <c r="B15" s="4">
        <v>4.0</v>
      </c>
      <c r="C15" s="4">
        <v>2.0</v>
      </c>
      <c r="D15" s="4">
        <v>2.0</v>
      </c>
      <c r="E15" s="4">
        <v>8.0</v>
      </c>
      <c r="F15" s="4">
        <v>13.0</v>
      </c>
      <c r="G15" s="4">
        <v>7.0</v>
      </c>
      <c r="H15" s="4">
        <v>12.0</v>
      </c>
      <c r="I15" s="4">
        <v>1.0</v>
      </c>
      <c r="J15" s="4">
        <v>2.0</v>
      </c>
      <c r="K15" s="4">
        <v>54.45</v>
      </c>
      <c r="L15" s="4">
        <v>46.92</v>
      </c>
      <c r="M15" s="4">
        <v>0.0</v>
      </c>
    </row>
    <row r="16">
      <c r="A16" s="4" t="s">
        <v>60</v>
      </c>
      <c r="B16" s="4">
        <v>2.0</v>
      </c>
      <c r="C16" s="4">
        <v>0.0</v>
      </c>
      <c r="D16" s="4">
        <v>1.0</v>
      </c>
      <c r="E16" s="4">
        <v>3.0</v>
      </c>
      <c r="F16" s="4">
        <v>6.0</v>
      </c>
      <c r="G16" s="4">
        <v>4.0</v>
      </c>
      <c r="H16" s="4">
        <v>4.0</v>
      </c>
      <c r="I16" s="4">
        <v>2.0</v>
      </c>
      <c r="J16" s="4">
        <v>0.0</v>
      </c>
      <c r="K16" s="4">
        <v>47.34</v>
      </c>
      <c r="L16" s="4">
        <v>55.55</v>
      </c>
      <c r="M16" s="4">
        <v>0.0</v>
      </c>
      <c r="O16" s="6" t="s">
        <v>61</v>
      </c>
      <c r="P16" s="6" t="s">
        <v>3</v>
      </c>
      <c r="Q16" s="6" t="s">
        <v>13</v>
      </c>
      <c r="R16" s="6" t="s">
        <v>14</v>
      </c>
      <c r="S16" s="6" t="s">
        <v>15</v>
      </c>
      <c r="T16" s="6" t="s">
        <v>16</v>
      </c>
      <c r="U16" s="6" t="s">
        <v>17</v>
      </c>
      <c r="V16" s="6" t="s">
        <v>9</v>
      </c>
      <c r="W16" s="6" t="s">
        <v>18</v>
      </c>
    </row>
    <row r="17">
      <c r="A17" s="20" t="s">
        <v>62</v>
      </c>
      <c r="B17" s="20">
        <v>0.0</v>
      </c>
      <c r="C17" s="20">
        <v>2.0</v>
      </c>
      <c r="D17" s="20">
        <v>0.0</v>
      </c>
      <c r="E17" s="20">
        <v>6.0</v>
      </c>
      <c r="F17" s="20">
        <v>6.0</v>
      </c>
      <c r="G17" s="20">
        <v>4.0</v>
      </c>
      <c r="H17" s="20">
        <v>8.0</v>
      </c>
      <c r="I17" s="20">
        <v>2.0</v>
      </c>
      <c r="J17" s="20">
        <v>2.0</v>
      </c>
      <c r="K17" s="20">
        <v>48.24</v>
      </c>
      <c r="L17" s="20">
        <v>49.07</v>
      </c>
      <c r="M17" s="20">
        <v>0.0</v>
      </c>
      <c r="O17" s="6" t="s">
        <v>19</v>
      </c>
      <c r="P17" s="4">
        <v>3.0</v>
      </c>
      <c r="Q17" s="4"/>
      <c r="R17" s="4">
        <v>2.0</v>
      </c>
      <c r="S17" s="4">
        <v>3.0</v>
      </c>
      <c r="T17" s="4">
        <v>2.0</v>
      </c>
      <c r="U17" s="4">
        <v>1.0</v>
      </c>
      <c r="V17" s="4">
        <v>15.0</v>
      </c>
      <c r="W17" s="4">
        <v>1.0</v>
      </c>
    </row>
    <row r="18">
      <c r="A18" s="4" t="s">
        <v>63</v>
      </c>
      <c r="B18" s="4">
        <v>0.0</v>
      </c>
      <c r="C18" s="4">
        <v>2.0</v>
      </c>
      <c r="D18" s="4">
        <v>0.0</v>
      </c>
      <c r="E18" s="4">
        <v>6.0</v>
      </c>
      <c r="F18" s="4">
        <v>3.0</v>
      </c>
      <c r="G18" s="4">
        <v>1.0</v>
      </c>
      <c r="H18" s="4">
        <v>9.0</v>
      </c>
      <c r="I18" s="4">
        <v>2.0</v>
      </c>
      <c r="J18" s="4">
        <v>1.0</v>
      </c>
      <c r="K18" s="4">
        <v>50.99</v>
      </c>
      <c r="L18" s="4">
        <v>52.97</v>
      </c>
      <c r="M18" s="4">
        <v>0.0</v>
      </c>
      <c r="O18" s="6" t="s">
        <v>20</v>
      </c>
      <c r="P18" s="4">
        <v>3.0</v>
      </c>
      <c r="Q18" s="4">
        <v>3.0</v>
      </c>
      <c r="R18" s="4">
        <v>3.0</v>
      </c>
      <c r="S18" s="4">
        <v>7.0</v>
      </c>
      <c r="T18" s="4">
        <v>7.0</v>
      </c>
      <c r="U18" s="4">
        <v>1.0</v>
      </c>
      <c r="V18" s="4">
        <v>15.0</v>
      </c>
      <c r="W18" s="4">
        <v>1.0</v>
      </c>
    </row>
    <row r="19">
      <c r="A19" s="4" t="s">
        <v>64</v>
      </c>
      <c r="B19" s="4">
        <v>2.0</v>
      </c>
      <c r="C19" s="4">
        <v>4.0</v>
      </c>
      <c r="D19" s="4">
        <v>2.0</v>
      </c>
      <c r="E19" s="4">
        <v>4.0</v>
      </c>
      <c r="F19" s="4">
        <v>5.0</v>
      </c>
      <c r="G19" s="4">
        <v>2.0</v>
      </c>
      <c r="H19" s="4">
        <v>9.0</v>
      </c>
      <c r="I19" s="4">
        <v>2.0</v>
      </c>
      <c r="J19" s="4">
        <v>0.0</v>
      </c>
      <c r="K19" s="4">
        <v>50.46</v>
      </c>
      <c r="L19" s="4">
        <v>45.04</v>
      </c>
      <c r="M19" s="4">
        <v>0.0</v>
      </c>
      <c r="O19" s="6" t="s">
        <v>21</v>
      </c>
      <c r="P19" s="4">
        <v>3.0</v>
      </c>
      <c r="Q19" s="5">
        <v>3.0</v>
      </c>
      <c r="R19" s="4">
        <v>1.0</v>
      </c>
      <c r="S19" s="4">
        <v>4.0</v>
      </c>
      <c r="T19" s="4">
        <v>10.0</v>
      </c>
      <c r="U19" s="4">
        <v>2.0</v>
      </c>
      <c r="V19" s="4">
        <v>15.0</v>
      </c>
      <c r="W19" s="4">
        <v>5.0</v>
      </c>
    </row>
    <row r="20">
      <c r="A20" s="4" t="s">
        <v>65</v>
      </c>
      <c r="B20" s="4">
        <v>3.0</v>
      </c>
      <c r="C20" s="4">
        <v>2.0</v>
      </c>
      <c r="D20" s="4">
        <v>2.0</v>
      </c>
      <c r="E20" s="4">
        <v>2.0</v>
      </c>
      <c r="F20" s="4">
        <v>10.0</v>
      </c>
      <c r="G20" s="4">
        <v>4.0</v>
      </c>
      <c r="H20" s="4">
        <v>6.0</v>
      </c>
      <c r="I20" s="4">
        <v>2.0</v>
      </c>
      <c r="J20" s="4">
        <v>5.0</v>
      </c>
      <c r="K20" s="4">
        <v>48.45</v>
      </c>
      <c r="L20" s="4">
        <v>67.41</v>
      </c>
      <c r="M20" s="21" t="s">
        <v>66</v>
      </c>
    </row>
    <row r="21">
      <c r="A21" s="20" t="s">
        <v>67</v>
      </c>
      <c r="B21" s="20">
        <v>1.0</v>
      </c>
      <c r="C21" s="20">
        <v>3.0</v>
      </c>
      <c r="D21" s="20">
        <v>0.0</v>
      </c>
      <c r="E21" s="20">
        <v>2.0</v>
      </c>
      <c r="F21" s="20">
        <v>6.0</v>
      </c>
      <c r="G21" s="20">
        <v>4.0</v>
      </c>
      <c r="H21" s="20">
        <v>6.0</v>
      </c>
      <c r="I21" s="20">
        <v>6.0</v>
      </c>
      <c r="J21" s="20">
        <v>2.0</v>
      </c>
      <c r="K21" s="20">
        <v>50.28</v>
      </c>
      <c r="L21" s="20">
        <v>61.71</v>
      </c>
      <c r="M21" s="20">
        <v>0.0</v>
      </c>
      <c r="O21" s="22" t="s">
        <v>68</v>
      </c>
    </row>
    <row r="22">
      <c r="A22" s="4" t="s">
        <v>69</v>
      </c>
      <c r="B22" s="4">
        <v>2.0</v>
      </c>
      <c r="C22" s="4">
        <v>1.0</v>
      </c>
      <c r="D22" s="4">
        <v>2.0</v>
      </c>
      <c r="E22" s="4">
        <v>7.0</v>
      </c>
      <c r="F22" s="4">
        <v>4.0</v>
      </c>
      <c r="G22" s="4">
        <v>2.0</v>
      </c>
      <c r="H22" s="4">
        <v>8.0</v>
      </c>
      <c r="I22" s="4">
        <v>1.0</v>
      </c>
      <c r="J22" s="4">
        <v>1.0</v>
      </c>
      <c r="K22" s="4">
        <v>49.84</v>
      </c>
      <c r="L22" s="4">
        <v>50.42</v>
      </c>
      <c r="M22" s="4">
        <v>0.0</v>
      </c>
      <c r="O22" s="22" t="s">
        <v>19</v>
      </c>
      <c r="P22" s="22">
        <v>3.0</v>
      </c>
      <c r="Q22" s="22">
        <v>7.0</v>
      </c>
      <c r="S22" s="22">
        <v>9.0</v>
      </c>
      <c r="T22" s="22">
        <v>13.0</v>
      </c>
      <c r="U22" s="22">
        <v>1.0</v>
      </c>
      <c r="W22" s="22">
        <v>2.0</v>
      </c>
    </row>
    <row r="23">
      <c r="A23" s="4" t="s">
        <v>70</v>
      </c>
      <c r="B23" s="4">
        <v>1.0</v>
      </c>
      <c r="C23" s="4">
        <v>3.0</v>
      </c>
      <c r="D23" s="4">
        <v>1.0</v>
      </c>
      <c r="E23" s="4">
        <v>3.0</v>
      </c>
      <c r="F23" s="4">
        <v>5.0</v>
      </c>
      <c r="G23" s="4">
        <v>2.0</v>
      </c>
      <c r="H23" s="4">
        <v>9.0</v>
      </c>
      <c r="I23" s="4">
        <v>1.0</v>
      </c>
      <c r="J23" s="4">
        <v>1.0</v>
      </c>
      <c r="K23" s="4">
        <v>43.04</v>
      </c>
      <c r="L23" s="4">
        <v>40.17</v>
      </c>
      <c r="M23" s="4">
        <v>0.0</v>
      </c>
      <c r="O23" s="22" t="s">
        <v>20</v>
      </c>
      <c r="P23" s="22">
        <v>3.0</v>
      </c>
      <c r="Q23" s="22">
        <v>4.0</v>
      </c>
      <c r="R23" s="22">
        <v>2.0</v>
      </c>
      <c r="S23" s="22">
        <v>9.0</v>
      </c>
      <c r="T23" s="22">
        <v>9.0</v>
      </c>
      <c r="W23" s="22">
        <v>3.0</v>
      </c>
    </row>
    <row r="24">
      <c r="A24" s="4" t="s">
        <v>71</v>
      </c>
      <c r="B24" s="4">
        <v>5.0</v>
      </c>
      <c r="C24" s="4">
        <v>0.0</v>
      </c>
      <c r="D24" s="4">
        <v>4.0</v>
      </c>
      <c r="E24" s="4">
        <v>4.0</v>
      </c>
      <c r="F24" s="4">
        <v>13.0</v>
      </c>
      <c r="G24" s="4">
        <v>7.0</v>
      </c>
      <c r="H24" s="4">
        <v>4.0</v>
      </c>
      <c r="I24" s="4">
        <v>1.0</v>
      </c>
      <c r="J24" s="4">
        <v>4.0</v>
      </c>
      <c r="K24" s="4">
        <v>48.15</v>
      </c>
      <c r="L24" s="4">
        <v>59.12</v>
      </c>
      <c r="M24" s="4">
        <v>0.0</v>
      </c>
      <c r="O24" s="22" t="s">
        <v>21</v>
      </c>
      <c r="P24" s="22">
        <v>3.0</v>
      </c>
      <c r="Q24" s="22">
        <v>1.0</v>
      </c>
      <c r="R24" s="22">
        <v>4.0</v>
      </c>
      <c r="S24" s="22">
        <v>4.0</v>
      </c>
      <c r="T24" s="22">
        <v>5.0</v>
      </c>
      <c r="U24" s="22">
        <v>3.0</v>
      </c>
      <c r="W24" s="22">
        <v>2.0</v>
      </c>
    </row>
    <row r="25">
      <c r="A25" s="4" t="s">
        <v>72</v>
      </c>
      <c r="B25" s="4">
        <v>3.0</v>
      </c>
      <c r="C25" s="4">
        <v>1.0</v>
      </c>
      <c r="D25" s="4">
        <v>3.0</v>
      </c>
      <c r="E25" s="4">
        <v>2.0</v>
      </c>
      <c r="F25" s="4">
        <v>8.0</v>
      </c>
      <c r="G25" s="4">
        <v>4.0</v>
      </c>
      <c r="H25" s="4">
        <v>5.0</v>
      </c>
      <c r="I25" s="4">
        <v>1.0</v>
      </c>
      <c r="J25" s="4">
        <v>3.0</v>
      </c>
      <c r="K25" s="4">
        <v>50.75</v>
      </c>
      <c r="L25" s="4">
        <v>65.9</v>
      </c>
      <c r="M25" s="4">
        <v>0.0</v>
      </c>
    </row>
    <row r="26">
      <c r="A26" s="4" t="s">
        <v>73</v>
      </c>
      <c r="B26" s="4">
        <v>1.0</v>
      </c>
      <c r="C26" s="4">
        <v>2.0</v>
      </c>
      <c r="D26" s="4">
        <v>1.0</v>
      </c>
      <c r="E26" s="4">
        <v>4.0</v>
      </c>
      <c r="F26" s="4">
        <v>4.0</v>
      </c>
      <c r="G26" s="4">
        <v>2.0</v>
      </c>
      <c r="H26" s="4">
        <v>7.0</v>
      </c>
      <c r="I26" s="4">
        <v>2.0</v>
      </c>
      <c r="J26" s="4">
        <v>3.0</v>
      </c>
      <c r="K26" s="4">
        <v>51.54</v>
      </c>
      <c r="L26" s="4">
        <v>39.53</v>
      </c>
      <c r="M26" s="4">
        <v>0.0</v>
      </c>
    </row>
    <row r="27">
      <c r="A27" s="4" t="s">
        <v>74</v>
      </c>
      <c r="B27" s="4">
        <v>2.0</v>
      </c>
      <c r="C27" s="4">
        <v>4.0</v>
      </c>
      <c r="D27" s="4">
        <v>2.0</v>
      </c>
      <c r="E27" s="4">
        <v>5.0</v>
      </c>
      <c r="F27" s="4">
        <v>6.0</v>
      </c>
      <c r="G27" s="4">
        <v>2.0</v>
      </c>
      <c r="H27" s="4">
        <v>11.0</v>
      </c>
      <c r="I27" s="4">
        <v>1.0</v>
      </c>
      <c r="J27" s="4">
        <v>2.0</v>
      </c>
      <c r="K27" s="4">
        <v>52.28</v>
      </c>
      <c r="L27" s="4">
        <v>44.85</v>
      </c>
      <c r="M27" s="4">
        <v>0.0</v>
      </c>
    </row>
    <row r="28">
      <c r="A28" s="4" t="s">
        <v>75</v>
      </c>
      <c r="B28" s="4">
        <v>3.0</v>
      </c>
      <c r="C28" s="4">
        <v>5.0</v>
      </c>
      <c r="D28" s="4">
        <v>3.0</v>
      </c>
      <c r="E28" s="4">
        <v>5.0</v>
      </c>
      <c r="F28" s="4">
        <v>9.0</v>
      </c>
      <c r="G28" s="4">
        <v>5.0</v>
      </c>
      <c r="H28" s="4">
        <v>13.0</v>
      </c>
      <c r="I28" s="4">
        <v>1.0</v>
      </c>
      <c r="J28" s="4">
        <v>2.0</v>
      </c>
      <c r="K28" s="4">
        <v>47.26</v>
      </c>
      <c r="L28" s="4">
        <v>39.24</v>
      </c>
      <c r="M28" s="4">
        <v>0.0</v>
      </c>
    </row>
    <row r="29">
      <c r="A29" s="4" t="s">
        <v>76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>
      <c r="A30" s="4" t="s">
        <v>77</v>
      </c>
      <c r="B30" s="4">
        <v>2.0</v>
      </c>
      <c r="C30" s="4">
        <v>1.0</v>
      </c>
      <c r="D30" s="4">
        <v>1.0</v>
      </c>
      <c r="E30" s="4">
        <v>11.0</v>
      </c>
      <c r="F30" s="4">
        <v>9.0</v>
      </c>
      <c r="G30" s="4">
        <v>4.0</v>
      </c>
      <c r="H30" s="4">
        <v>13.0</v>
      </c>
      <c r="I30" s="4">
        <v>4.0</v>
      </c>
      <c r="J30" s="4">
        <v>7.0</v>
      </c>
      <c r="K30" s="5"/>
      <c r="L30" s="5"/>
      <c r="M30" s="21" t="s">
        <v>78</v>
      </c>
    </row>
    <row r="31">
      <c r="A31" s="4" t="s">
        <v>79</v>
      </c>
      <c r="B31" s="4">
        <v>2.0</v>
      </c>
      <c r="C31" s="4">
        <v>1.0</v>
      </c>
      <c r="D31" s="4">
        <v>2.0</v>
      </c>
      <c r="E31" s="4">
        <v>9.0</v>
      </c>
      <c r="F31" s="4">
        <v>6.0</v>
      </c>
      <c r="G31" s="4">
        <v>4.0</v>
      </c>
      <c r="H31" s="4">
        <v>12.0</v>
      </c>
      <c r="I31" s="5"/>
      <c r="J31" s="5"/>
      <c r="K31" s="5"/>
      <c r="L31" s="5"/>
      <c r="M31" s="21" t="s">
        <v>80</v>
      </c>
    </row>
    <row r="32">
      <c r="A32" s="4" t="s">
        <v>81</v>
      </c>
      <c r="B32" s="4">
        <v>8.0</v>
      </c>
      <c r="C32" s="4">
        <v>0.0</v>
      </c>
      <c r="D32" s="4">
        <v>3.0</v>
      </c>
      <c r="E32" s="4">
        <v>2.0</v>
      </c>
      <c r="F32" s="4">
        <v>12.0</v>
      </c>
      <c r="G32" s="5"/>
      <c r="H32" s="5"/>
      <c r="I32" s="5"/>
      <c r="J32" s="5"/>
      <c r="K32" s="5"/>
      <c r="L32" s="5"/>
      <c r="M32" s="4">
        <v>0.0</v>
      </c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10" max="10" width="14.88"/>
    <col customWidth="1" min="11" max="11" width="13.75"/>
  </cols>
  <sheetData>
    <row r="1">
      <c r="A1" s="5"/>
      <c r="B1" s="5"/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5"/>
      <c r="O1" s="6" t="s">
        <v>12</v>
      </c>
      <c r="P1" s="6" t="s">
        <v>3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9</v>
      </c>
      <c r="W1" s="6" t="s">
        <v>18</v>
      </c>
    </row>
    <row r="2">
      <c r="A2" s="5"/>
      <c r="B2" s="5"/>
      <c r="C2" s="6" t="s">
        <v>82</v>
      </c>
      <c r="D2" s="4">
        <f>SUMIF($O$1:$O$81, $C$2, P1:P80)</f>
        <v>17</v>
      </c>
      <c r="E2" s="9">
        <f>If($D$2 = 0, "Hasn't played", SUMIF($O$1:$O$81, $C$2, $Q$1:$Q$81)/$D$2)</f>
        <v>0.4705882353</v>
      </c>
      <c r="F2" s="9">
        <f t="shared" ref="F2:F6" si="1">If(D2 = 0, "Hasn't played", SUMIF($O$1:$O$81, C2, $R$1:$R$81)/D2)</f>
        <v>0.1764705882</v>
      </c>
      <c r="G2" s="9">
        <f t="shared" ref="G2:G6" si="2">If(D2 = 0, "Hasn't played", SUMIF($O$1:$O$81, C2, $S$1:$S$81)/D2)</f>
        <v>1.470588235</v>
      </c>
      <c r="H2" s="9">
        <f t="shared" ref="H2:H6" si="3">If(D2 = 0, "Hasn't played", SUMIF($O$1:$O$81, C2, $T$1:$T$81)/D2)</f>
        <v>2.352941176</v>
      </c>
      <c r="I2" s="9">
        <f t="shared" ref="I2:I6" si="4">If(D2 = 0, "Hasn't played", SUMIF($O$1:$O$81, C2, $U$1:$U$81)/D2)</f>
        <v>0.3529411765</v>
      </c>
      <c r="J2" s="9">
        <f t="shared" ref="J2:J6" si="5">If(D2 = 0, "Hasn't played", SUMIF($O$1:$O$81, C2, $V$1:$V$81))</f>
        <v>87.066</v>
      </c>
      <c r="K2" s="9">
        <f t="shared" ref="K2:K6" si="6">If(D2 = 0, "Hasn't played", SUMIF($O$1:$O$81, C2, $W$1:$W$81)/D2)</f>
        <v>1.058823529</v>
      </c>
      <c r="L2" s="10">
        <f t="shared" ref="L2:L6" si="7">If(D2=0, "Hasn't played", E2/H2)</f>
        <v>0.2</v>
      </c>
      <c r="M2" s="5"/>
      <c r="O2" s="6" t="s">
        <v>82</v>
      </c>
      <c r="P2" s="4">
        <v>4.0</v>
      </c>
      <c r="Q2" s="4">
        <v>3.0</v>
      </c>
      <c r="R2" s="4">
        <v>2.0</v>
      </c>
      <c r="S2" s="4">
        <v>7.0</v>
      </c>
      <c r="T2" s="4">
        <v>9.0</v>
      </c>
      <c r="U2" s="4"/>
      <c r="V2" s="4">
        <v>20.75</v>
      </c>
      <c r="W2" s="4">
        <v>6.0</v>
      </c>
    </row>
    <row r="3">
      <c r="A3" s="5"/>
      <c r="B3" s="5"/>
      <c r="C3" s="6" t="s">
        <v>83</v>
      </c>
      <c r="D3" s="4">
        <f>SUMIF($O$1:$O$81, $C$3, P1:P80)</f>
        <v>4</v>
      </c>
      <c r="E3" s="9">
        <f t="shared" ref="E3:E6" si="8">If(D3 = 0, "Hasn't played", SUMIF($O$1:$O$81, C3, $Q$1:$Q$81)/D3)</f>
        <v>0.5</v>
      </c>
      <c r="F3" s="9">
        <f t="shared" si="1"/>
        <v>0.25</v>
      </c>
      <c r="G3" s="9">
        <f t="shared" si="2"/>
        <v>1.25</v>
      </c>
      <c r="H3" s="9">
        <f t="shared" si="3"/>
        <v>2</v>
      </c>
      <c r="I3" s="9">
        <f t="shared" si="4"/>
        <v>0.25</v>
      </c>
      <c r="J3" s="9">
        <f t="shared" si="5"/>
        <v>20.75</v>
      </c>
      <c r="K3" s="9">
        <f t="shared" si="6"/>
        <v>1.5</v>
      </c>
      <c r="L3" s="10">
        <f t="shared" si="7"/>
        <v>0.25</v>
      </c>
      <c r="M3" s="5"/>
      <c r="O3" s="6" t="s">
        <v>83</v>
      </c>
      <c r="P3" s="4">
        <v>4.0</v>
      </c>
      <c r="Q3" s="4">
        <v>2.0</v>
      </c>
      <c r="R3" s="4">
        <v>1.0</v>
      </c>
      <c r="S3" s="4">
        <v>5.0</v>
      </c>
      <c r="T3" s="4">
        <v>8.0</v>
      </c>
      <c r="U3" s="4">
        <v>1.0</v>
      </c>
      <c r="V3" s="4">
        <v>20.75</v>
      </c>
      <c r="W3" s="4">
        <v>6.0</v>
      </c>
    </row>
    <row r="4">
      <c r="A4" s="5"/>
      <c r="B4" s="5"/>
      <c r="C4" s="6" t="s">
        <v>84</v>
      </c>
      <c r="D4" s="4">
        <f>SUMIF($O$1:$O$81, $C$4, P1:P80)</f>
        <v>19</v>
      </c>
      <c r="E4" s="9">
        <f t="shared" si="8"/>
        <v>0.4736842105</v>
      </c>
      <c r="F4" s="9">
        <f t="shared" si="1"/>
        <v>0.3157894737</v>
      </c>
      <c r="G4" s="9">
        <f t="shared" si="2"/>
        <v>0.8947368421</v>
      </c>
      <c r="H4" s="9">
        <f t="shared" si="3"/>
        <v>1.052631579</v>
      </c>
      <c r="I4" s="9">
        <f t="shared" si="4"/>
        <v>0.8947368421</v>
      </c>
      <c r="J4" s="9">
        <f t="shared" si="5"/>
        <v>99.15</v>
      </c>
      <c r="K4" s="9">
        <f t="shared" si="6"/>
        <v>0.6315789474</v>
      </c>
      <c r="L4" s="10">
        <f t="shared" si="7"/>
        <v>0.45</v>
      </c>
      <c r="M4" s="5"/>
      <c r="O4" s="6" t="s">
        <v>84</v>
      </c>
      <c r="P4" s="4">
        <v>4.0</v>
      </c>
      <c r="Q4" s="4">
        <v>3.0</v>
      </c>
      <c r="R4" s="4">
        <v>3.0</v>
      </c>
      <c r="S4" s="4">
        <v>8.0</v>
      </c>
      <c r="T4" s="4">
        <v>3.0</v>
      </c>
      <c r="U4" s="4">
        <v>2.0</v>
      </c>
      <c r="V4" s="4">
        <v>20.75</v>
      </c>
      <c r="W4" s="4">
        <v>4.0</v>
      </c>
    </row>
    <row r="5">
      <c r="A5" s="11"/>
      <c r="B5" s="11"/>
      <c r="C5" s="6" t="s">
        <v>85</v>
      </c>
      <c r="D5" s="4">
        <f>SUMIF($O$1:$O$81, $C$5, P1:P81)</f>
        <v>15</v>
      </c>
      <c r="E5" s="9">
        <f t="shared" si="8"/>
        <v>0.6</v>
      </c>
      <c r="F5" s="9">
        <f t="shared" si="1"/>
        <v>0.2</v>
      </c>
      <c r="G5" s="9">
        <f t="shared" si="2"/>
        <v>0.5333333333</v>
      </c>
      <c r="H5" s="9">
        <f t="shared" si="3"/>
        <v>2</v>
      </c>
      <c r="I5" s="9">
        <f t="shared" si="4"/>
        <v>0.3333333333</v>
      </c>
      <c r="J5" s="9">
        <f t="shared" si="5"/>
        <v>79.516</v>
      </c>
      <c r="K5" s="9">
        <f t="shared" si="6"/>
        <v>0.8</v>
      </c>
      <c r="L5" s="10">
        <f t="shared" si="7"/>
        <v>0.3</v>
      </c>
      <c r="M5" s="5"/>
      <c r="O5" s="6"/>
      <c r="P5" s="4"/>
      <c r="Q5" s="4"/>
      <c r="R5" s="4"/>
      <c r="S5" s="4"/>
      <c r="T5" s="4"/>
      <c r="U5" s="4"/>
      <c r="V5" s="5"/>
      <c r="W5" s="4"/>
    </row>
    <row r="6">
      <c r="A6" s="11"/>
      <c r="B6" s="11"/>
      <c r="C6" s="13" t="s">
        <v>86</v>
      </c>
      <c r="D6" s="4">
        <f>SUMIF($O$1:$O$81, $C$6, P1:P82)</f>
        <v>11</v>
      </c>
      <c r="E6" s="9">
        <f t="shared" si="8"/>
        <v>0.1818181818</v>
      </c>
      <c r="F6" s="9">
        <f t="shared" si="1"/>
        <v>0.4545454545</v>
      </c>
      <c r="G6" s="9">
        <f t="shared" si="2"/>
        <v>1.181818182</v>
      </c>
      <c r="H6" s="9">
        <f t="shared" si="3"/>
        <v>2</v>
      </c>
      <c r="I6" s="9">
        <f t="shared" si="4"/>
        <v>1</v>
      </c>
      <c r="J6" s="9">
        <f t="shared" si="5"/>
        <v>59.616</v>
      </c>
      <c r="K6" s="9">
        <f t="shared" si="6"/>
        <v>0.6363636364</v>
      </c>
      <c r="L6" s="10">
        <f t="shared" si="7"/>
        <v>0.09090909091</v>
      </c>
      <c r="M6" s="5"/>
      <c r="O6" s="6" t="s">
        <v>22</v>
      </c>
      <c r="P6" s="6" t="s">
        <v>3</v>
      </c>
      <c r="Q6" s="6" t="s">
        <v>13</v>
      </c>
      <c r="R6" s="6" t="s">
        <v>14</v>
      </c>
      <c r="S6" s="6" t="s">
        <v>15</v>
      </c>
      <c r="T6" s="6" t="s">
        <v>16</v>
      </c>
      <c r="U6" s="6" t="s">
        <v>17</v>
      </c>
      <c r="V6" s="6" t="s">
        <v>9</v>
      </c>
      <c r="W6" s="6" t="s">
        <v>18</v>
      </c>
    </row>
    <row r="7">
      <c r="A7" s="11"/>
      <c r="B7" s="11"/>
      <c r="C7" s="12"/>
      <c r="D7" s="12"/>
      <c r="E7" s="11"/>
      <c r="F7" s="11"/>
      <c r="G7" s="11"/>
      <c r="H7" s="11"/>
      <c r="I7" s="11"/>
      <c r="J7" s="11"/>
      <c r="K7" s="11"/>
      <c r="L7" s="11"/>
      <c r="M7" s="5"/>
      <c r="O7" s="6" t="s">
        <v>82</v>
      </c>
      <c r="P7" s="4">
        <v>4.0</v>
      </c>
      <c r="Q7" s="4">
        <v>1.0</v>
      </c>
      <c r="R7" s="4"/>
      <c r="S7" s="4">
        <v>3.0</v>
      </c>
      <c r="T7" s="4">
        <v>4.0</v>
      </c>
      <c r="U7" s="4">
        <v>1.0</v>
      </c>
      <c r="V7" s="4">
        <v>20.0</v>
      </c>
      <c r="W7" s="4">
        <v>4.0</v>
      </c>
    </row>
    <row r="8">
      <c r="A8" s="11"/>
      <c r="B8" s="13" t="s">
        <v>23</v>
      </c>
      <c r="C8" s="13" t="s">
        <v>24</v>
      </c>
      <c r="D8" s="13" t="s">
        <v>25</v>
      </c>
      <c r="E8" s="14" t="s">
        <v>26</v>
      </c>
      <c r="F8" s="14" t="s">
        <v>27</v>
      </c>
      <c r="G8" s="14" t="s">
        <v>28</v>
      </c>
      <c r="H8" s="14" t="s">
        <v>29</v>
      </c>
      <c r="I8" s="14" t="s">
        <v>30</v>
      </c>
      <c r="J8" s="14" t="s">
        <v>31</v>
      </c>
      <c r="K8" s="14" t="s">
        <v>32</v>
      </c>
      <c r="L8" s="11"/>
      <c r="M8" s="7" t="s">
        <v>33</v>
      </c>
      <c r="O8" s="6" t="s">
        <v>84</v>
      </c>
      <c r="P8" s="4">
        <v>4.0</v>
      </c>
      <c r="Q8" s="4">
        <v>1.0</v>
      </c>
      <c r="R8" s="4">
        <v>1.0</v>
      </c>
      <c r="S8" s="4">
        <v>5.0</v>
      </c>
      <c r="T8" s="4">
        <v>2.0</v>
      </c>
      <c r="U8" s="4">
        <v>6.0</v>
      </c>
      <c r="V8" s="4">
        <v>20.0</v>
      </c>
      <c r="W8" s="4">
        <v>3.0</v>
      </c>
    </row>
    <row r="9">
      <c r="A9" s="11"/>
      <c r="B9" s="12">
        <v>22.0</v>
      </c>
      <c r="C9" s="12" t="s">
        <v>87</v>
      </c>
      <c r="D9" s="23">
        <v>43939.0</v>
      </c>
      <c r="E9" s="12" t="s">
        <v>88</v>
      </c>
      <c r="F9" s="12" t="s">
        <v>89</v>
      </c>
      <c r="G9" s="12" t="s">
        <v>89</v>
      </c>
      <c r="H9" s="12" t="s">
        <v>39</v>
      </c>
      <c r="I9" s="12" t="s">
        <v>39</v>
      </c>
      <c r="J9" s="12" t="s">
        <v>90</v>
      </c>
      <c r="K9" s="15" t="s">
        <v>91</v>
      </c>
      <c r="L9" s="11"/>
      <c r="M9" s="16">
        <f>D11/B11</f>
        <v>0.6</v>
      </c>
      <c r="O9" s="6" t="s">
        <v>85</v>
      </c>
      <c r="P9" s="4">
        <v>4.0</v>
      </c>
      <c r="Q9" s="4">
        <v>2.0</v>
      </c>
      <c r="R9" s="4"/>
      <c r="S9" s="4">
        <v>2.0</v>
      </c>
      <c r="T9" s="4">
        <v>4.0</v>
      </c>
      <c r="U9" s="4">
        <v>2.0</v>
      </c>
      <c r="V9" s="4">
        <v>20.0</v>
      </c>
      <c r="W9" s="4">
        <v>5.0</v>
      </c>
    </row>
    <row r="10">
      <c r="A10" s="11"/>
      <c r="B10" s="8" t="s">
        <v>4</v>
      </c>
      <c r="C10" s="8" t="s">
        <v>43</v>
      </c>
      <c r="D10" s="8" t="s">
        <v>5</v>
      </c>
      <c r="E10" s="8" t="s">
        <v>6</v>
      </c>
      <c r="F10" s="8" t="s">
        <v>7</v>
      </c>
      <c r="G10" s="8" t="s">
        <v>44</v>
      </c>
      <c r="H10" s="8" t="s">
        <v>45</v>
      </c>
      <c r="I10" s="17" t="s">
        <v>46</v>
      </c>
      <c r="J10" s="17" t="s">
        <v>47</v>
      </c>
      <c r="K10" s="7" t="s">
        <v>48</v>
      </c>
      <c r="L10" s="7" t="s">
        <v>49</v>
      </c>
      <c r="M10" s="7" t="s">
        <v>11</v>
      </c>
    </row>
    <row r="11">
      <c r="A11" s="5"/>
      <c r="B11" s="18">
        <f t="shared" ref="B11:L11" si="9">AVERAGEIF(B13:B82, "&lt;&gt;")</f>
        <v>1.363636364</v>
      </c>
      <c r="C11" s="18">
        <f t="shared" si="9"/>
        <v>2.909090909</v>
      </c>
      <c r="D11" s="18">
        <f t="shared" si="9"/>
        <v>0.8181818182</v>
      </c>
      <c r="E11" s="18">
        <f t="shared" si="9"/>
        <v>3.090909091</v>
      </c>
      <c r="F11" s="18">
        <f t="shared" si="9"/>
        <v>5.454545455</v>
      </c>
      <c r="G11" s="18">
        <f t="shared" si="9"/>
        <v>3.045454545</v>
      </c>
      <c r="H11" s="18">
        <f t="shared" si="9"/>
        <v>8.363636364</v>
      </c>
      <c r="I11" s="18">
        <f t="shared" si="9"/>
        <v>1.818181818</v>
      </c>
      <c r="J11" s="18">
        <f t="shared" si="9"/>
        <v>2.5</v>
      </c>
      <c r="K11" s="18">
        <f t="shared" si="9"/>
        <v>48.44409091</v>
      </c>
      <c r="L11" s="18">
        <f t="shared" si="9"/>
        <v>45.52363636</v>
      </c>
      <c r="M11" s="16">
        <f>B11/F11</f>
        <v>0.25</v>
      </c>
      <c r="O11" s="6" t="s">
        <v>50</v>
      </c>
      <c r="P11" s="6" t="s">
        <v>3</v>
      </c>
      <c r="Q11" s="6" t="s">
        <v>13</v>
      </c>
      <c r="R11" s="6" t="s">
        <v>14</v>
      </c>
      <c r="S11" s="6" t="s">
        <v>15</v>
      </c>
      <c r="T11" s="6" t="s">
        <v>16</v>
      </c>
      <c r="U11" s="6" t="s">
        <v>17</v>
      </c>
      <c r="V11" s="6" t="s">
        <v>9</v>
      </c>
      <c r="W11" s="6" t="s">
        <v>18</v>
      </c>
    </row>
    <row r="12">
      <c r="A12" s="14" t="s">
        <v>51</v>
      </c>
      <c r="B12" s="14" t="s">
        <v>13</v>
      </c>
      <c r="C12" s="14" t="s">
        <v>52</v>
      </c>
      <c r="D12" s="14" t="s">
        <v>14</v>
      </c>
      <c r="E12" s="14" t="s">
        <v>15</v>
      </c>
      <c r="F12" s="13" t="s">
        <v>16</v>
      </c>
      <c r="G12" s="13" t="s">
        <v>53</v>
      </c>
      <c r="H12" s="13" t="s">
        <v>54</v>
      </c>
      <c r="I12" s="13" t="s">
        <v>17</v>
      </c>
      <c r="J12" s="13" t="s">
        <v>55</v>
      </c>
      <c r="K12" s="13" t="s">
        <v>48</v>
      </c>
      <c r="L12" s="6" t="s">
        <v>49</v>
      </c>
      <c r="M12" s="6" t="s">
        <v>56</v>
      </c>
      <c r="O12" s="6" t="s">
        <v>84</v>
      </c>
      <c r="P12" s="4">
        <v>5.0</v>
      </c>
      <c r="Q12" s="4">
        <v>5.0</v>
      </c>
      <c r="R12" s="4">
        <v>1.0</v>
      </c>
      <c r="S12" s="4">
        <v>1.0</v>
      </c>
      <c r="T12" s="4">
        <v>11.0</v>
      </c>
      <c r="U12" s="4">
        <v>4.0</v>
      </c>
      <c r="V12" s="4">
        <v>28.3</v>
      </c>
      <c r="W12" s="4">
        <v>2.0</v>
      </c>
    </row>
    <row r="13">
      <c r="A13" s="19" t="s">
        <v>92</v>
      </c>
      <c r="B13" s="19">
        <v>3.0</v>
      </c>
      <c r="C13" s="19">
        <v>2.0</v>
      </c>
      <c r="D13" s="19">
        <v>2.0</v>
      </c>
      <c r="E13" s="19">
        <v>2.0</v>
      </c>
      <c r="F13" s="19">
        <v>11.0</v>
      </c>
      <c r="G13" s="19">
        <v>6.0</v>
      </c>
      <c r="H13" s="19">
        <v>5.0</v>
      </c>
      <c r="I13" s="19">
        <v>1.0</v>
      </c>
      <c r="J13" s="19">
        <v>3.0</v>
      </c>
      <c r="K13" s="19">
        <v>48.64</v>
      </c>
      <c r="L13" s="19">
        <v>54.93</v>
      </c>
      <c r="M13" s="19">
        <v>0.0</v>
      </c>
      <c r="O13" s="6" t="s">
        <v>85</v>
      </c>
      <c r="P13" s="4">
        <v>5.0</v>
      </c>
      <c r="Q13" s="4">
        <v>3.0</v>
      </c>
      <c r="R13" s="4">
        <v>1.0</v>
      </c>
      <c r="S13" s="4">
        <v>2.0</v>
      </c>
      <c r="T13" s="4">
        <v>10.0</v>
      </c>
      <c r="U13" s="4">
        <v>2.0</v>
      </c>
      <c r="V13" s="4">
        <v>28.3</v>
      </c>
      <c r="W13" s="4">
        <v>5.0</v>
      </c>
    </row>
    <row r="14">
      <c r="A14" s="4" t="s">
        <v>93</v>
      </c>
      <c r="B14" s="4">
        <v>0.0</v>
      </c>
      <c r="C14" s="4">
        <v>4.0</v>
      </c>
      <c r="D14" s="4">
        <v>0.0</v>
      </c>
      <c r="E14" s="4">
        <v>10.0</v>
      </c>
      <c r="F14" s="4">
        <v>0.0</v>
      </c>
      <c r="G14" s="4">
        <v>0.0</v>
      </c>
      <c r="H14" s="4">
        <v>16.0</v>
      </c>
      <c r="I14" s="4">
        <v>1.0</v>
      </c>
      <c r="J14" s="4">
        <v>5.0</v>
      </c>
      <c r="K14" s="4">
        <v>45.02</v>
      </c>
      <c r="L14" s="4">
        <v>30.53</v>
      </c>
      <c r="M14" s="4">
        <v>0.0</v>
      </c>
      <c r="O14" s="6" t="s">
        <v>86</v>
      </c>
      <c r="P14" s="4">
        <v>5.0</v>
      </c>
      <c r="Q14" s="5">
        <v>1.0</v>
      </c>
      <c r="R14" s="4">
        <v>5.0</v>
      </c>
      <c r="S14" s="4">
        <v>7.0</v>
      </c>
      <c r="T14" s="4">
        <v>17.0</v>
      </c>
      <c r="U14" s="4">
        <v>4.0</v>
      </c>
      <c r="V14" s="4">
        <v>28.3</v>
      </c>
      <c r="W14" s="4">
        <v>3.0</v>
      </c>
    </row>
    <row r="15">
      <c r="A15" s="4" t="s">
        <v>94</v>
      </c>
      <c r="B15" s="4">
        <v>3.0</v>
      </c>
      <c r="C15" s="4">
        <v>4.0</v>
      </c>
      <c r="D15" s="4">
        <v>2.0</v>
      </c>
      <c r="E15" s="4">
        <v>5.0</v>
      </c>
      <c r="F15" s="4">
        <v>6.0</v>
      </c>
      <c r="G15" s="4">
        <v>4.0</v>
      </c>
      <c r="H15" s="4">
        <v>15.0</v>
      </c>
      <c r="I15" s="4">
        <v>0.0</v>
      </c>
      <c r="J15" s="4">
        <v>2.0</v>
      </c>
      <c r="K15" s="4">
        <v>41.34</v>
      </c>
      <c r="L15" s="4">
        <v>37.48</v>
      </c>
      <c r="M15" s="21" t="s">
        <v>95</v>
      </c>
    </row>
    <row r="16">
      <c r="A16" s="20" t="s">
        <v>96</v>
      </c>
      <c r="B16" s="20">
        <v>2.0</v>
      </c>
      <c r="C16" s="20">
        <v>3.0</v>
      </c>
      <c r="D16" s="20">
        <v>2.0</v>
      </c>
      <c r="E16" s="20">
        <v>3.0</v>
      </c>
      <c r="F16" s="20">
        <v>3.0</v>
      </c>
      <c r="G16" s="20">
        <v>0.0</v>
      </c>
      <c r="H16" s="20">
        <v>13.0</v>
      </c>
      <c r="I16" s="20">
        <v>1.0</v>
      </c>
      <c r="J16" s="20">
        <v>6.0</v>
      </c>
      <c r="K16" s="20">
        <v>42.05</v>
      </c>
      <c r="L16" s="20">
        <v>38.85</v>
      </c>
      <c r="M16" s="20">
        <v>0.0</v>
      </c>
      <c r="O16" s="6" t="s">
        <v>61</v>
      </c>
      <c r="P16" s="6" t="s">
        <v>3</v>
      </c>
      <c r="Q16" s="6" t="s">
        <v>13</v>
      </c>
      <c r="R16" s="6" t="s">
        <v>14</v>
      </c>
      <c r="S16" s="6" t="s">
        <v>15</v>
      </c>
      <c r="T16" s="6" t="s">
        <v>16</v>
      </c>
      <c r="U16" s="6" t="s">
        <v>17</v>
      </c>
      <c r="V16" s="6" t="s">
        <v>9</v>
      </c>
      <c r="W16" s="6" t="s">
        <v>18</v>
      </c>
    </row>
    <row r="17">
      <c r="A17" s="4" t="s">
        <v>97</v>
      </c>
      <c r="B17" s="4">
        <v>0.0</v>
      </c>
      <c r="C17" s="4">
        <v>5.0</v>
      </c>
      <c r="D17" s="4">
        <v>0.0</v>
      </c>
      <c r="E17" s="4">
        <v>3.0</v>
      </c>
      <c r="F17" s="4">
        <v>0.0</v>
      </c>
      <c r="G17" s="4">
        <v>0.0</v>
      </c>
      <c r="H17" s="4">
        <v>11.0</v>
      </c>
      <c r="I17" s="4">
        <v>4.0</v>
      </c>
      <c r="J17" s="4">
        <v>4.0</v>
      </c>
      <c r="K17" s="4">
        <v>47.21</v>
      </c>
      <c r="L17" s="4">
        <v>34.04</v>
      </c>
      <c r="M17" s="4">
        <v>0.0</v>
      </c>
      <c r="O17" s="6" t="s">
        <v>82</v>
      </c>
      <c r="P17" s="4">
        <v>3.0</v>
      </c>
      <c r="Q17" s="4">
        <v>2.0</v>
      </c>
      <c r="R17" s="4"/>
      <c r="S17" s="4">
        <v>8.0</v>
      </c>
      <c r="T17" s="4">
        <v>10.0</v>
      </c>
      <c r="U17" s="4"/>
      <c r="V17" s="4">
        <v>16.216</v>
      </c>
      <c r="W17" s="4">
        <v>5.0</v>
      </c>
    </row>
    <row r="18">
      <c r="A18" s="4" t="s">
        <v>98</v>
      </c>
      <c r="B18" s="4">
        <v>0.0</v>
      </c>
      <c r="C18" s="4">
        <v>4.0</v>
      </c>
      <c r="D18" s="4">
        <v>0.0</v>
      </c>
      <c r="E18" s="4">
        <v>2.0</v>
      </c>
      <c r="F18" s="4">
        <v>2.0</v>
      </c>
      <c r="G18" s="4">
        <v>1.0</v>
      </c>
      <c r="H18" s="4">
        <v>6.0</v>
      </c>
      <c r="I18" s="4">
        <v>4.0</v>
      </c>
      <c r="J18" s="4">
        <v>3.0</v>
      </c>
      <c r="K18" s="4">
        <v>51.87</v>
      </c>
      <c r="L18" s="4">
        <v>46.32</v>
      </c>
      <c r="M18" s="4">
        <v>0.0</v>
      </c>
      <c r="O18" s="6" t="s">
        <v>85</v>
      </c>
      <c r="P18" s="4">
        <v>3.0</v>
      </c>
      <c r="Q18" s="4">
        <v>3.0</v>
      </c>
      <c r="R18" s="4">
        <v>2.0</v>
      </c>
      <c r="S18" s="4">
        <v>3.0</v>
      </c>
      <c r="T18" s="4">
        <v>7.0</v>
      </c>
      <c r="U18" s="4"/>
      <c r="V18" s="4">
        <v>16.216</v>
      </c>
      <c r="W18" s="4">
        <v>1.0</v>
      </c>
    </row>
    <row r="19">
      <c r="A19" s="4" t="s">
        <v>99</v>
      </c>
      <c r="B19" s="4">
        <v>2.0</v>
      </c>
      <c r="C19" s="4">
        <v>0.0</v>
      </c>
      <c r="D19" s="4">
        <v>1.0</v>
      </c>
      <c r="E19" s="4">
        <v>2.0</v>
      </c>
      <c r="F19" s="4">
        <v>3.0</v>
      </c>
      <c r="G19" s="4">
        <v>1.0</v>
      </c>
      <c r="H19" s="4">
        <v>7.0</v>
      </c>
      <c r="I19" s="4">
        <v>0.0</v>
      </c>
      <c r="J19" s="4">
        <v>2.0</v>
      </c>
      <c r="K19" s="4">
        <v>46.74</v>
      </c>
      <c r="L19" s="4">
        <v>37.35</v>
      </c>
      <c r="M19" s="4">
        <v>0.0</v>
      </c>
      <c r="O19" s="6" t="s">
        <v>86</v>
      </c>
      <c r="P19" s="4">
        <v>3.0</v>
      </c>
      <c r="Q19" s="5"/>
      <c r="R19" s="4"/>
      <c r="S19" s="4">
        <v>4.0</v>
      </c>
      <c r="T19" s="4">
        <v>3.0</v>
      </c>
      <c r="U19" s="4">
        <v>3.0</v>
      </c>
      <c r="V19" s="4">
        <v>16.216</v>
      </c>
      <c r="W19" s="4">
        <v>2.0</v>
      </c>
    </row>
    <row r="20">
      <c r="A20" s="20" t="s">
        <v>100</v>
      </c>
      <c r="B20" s="20">
        <v>2.0</v>
      </c>
      <c r="C20" s="20">
        <v>4.0</v>
      </c>
      <c r="D20" s="20">
        <v>0.0</v>
      </c>
      <c r="E20" s="20">
        <v>3.0</v>
      </c>
      <c r="F20" s="20">
        <v>5.0</v>
      </c>
      <c r="G20" s="20">
        <v>3.0</v>
      </c>
      <c r="H20" s="20">
        <v>10.0</v>
      </c>
      <c r="I20" s="20">
        <v>1.0</v>
      </c>
      <c r="J20" s="20">
        <v>3.0</v>
      </c>
      <c r="K20" s="20">
        <v>49.97</v>
      </c>
      <c r="L20" s="20">
        <v>38.11</v>
      </c>
      <c r="M20" s="20">
        <v>0.0</v>
      </c>
    </row>
    <row r="21">
      <c r="A21" s="4" t="s">
        <v>101</v>
      </c>
      <c r="B21" s="4">
        <v>3.0</v>
      </c>
      <c r="C21" s="4">
        <v>2.0</v>
      </c>
      <c r="D21" s="4">
        <v>2.0</v>
      </c>
      <c r="E21" s="4">
        <v>0.0</v>
      </c>
      <c r="F21" s="4">
        <v>7.0</v>
      </c>
      <c r="G21" s="4">
        <v>2.0</v>
      </c>
      <c r="H21" s="4">
        <v>2.0</v>
      </c>
      <c r="I21" s="4">
        <v>3.0</v>
      </c>
      <c r="J21" s="4">
        <v>1.0</v>
      </c>
      <c r="K21" s="4">
        <v>51.46</v>
      </c>
      <c r="L21" s="4">
        <v>61.94</v>
      </c>
      <c r="M21" s="4">
        <v>0.0</v>
      </c>
      <c r="O21" s="6" t="s">
        <v>68</v>
      </c>
      <c r="P21" s="6" t="s">
        <v>3</v>
      </c>
      <c r="Q21" s="6" t="s">
        <v>13</v>
      </c>
      <c r="R21" s="6" t="s">
        <v>14</v>
      </c>
      <c r="S21" s="6" t="s">
        <v>15</v>
      </c>
      <c r="T21" s="6" t="s">
        <v>16</v>
      </c>
      <c r="U21" s="6" t="s">
        <v>17</v>
      </c>
      <c r="V21" s="6" t="s">
        <v>9</v>
      </c>
      <c r="W21" s="6" t="s">
        <v>18</v>
      </c>
    </row>
    <row r="22">
      <c r="A22" s="4" t="s">
        <v>102</v>
      </c>
      <c r="B22" s="4">
        <v>0.0</v>
      </c>
      <c r="C22" s="4">
        <v>1.0</v>
      </c>
      <c r="D22" s="4">
        <v>0.0</v>
      </c>
      <c r="E22" s="4">
        <v>4.0</v>
      </c>
      <c r="F22" s="4">
        <v>3.0</v>
      </c>
      <c r="G22" s="4">
        <v>3.0</v>
      </c>
      <c r="H22" s="4">
        <v>6.0</v>
      </c>
      <c r="I22" s="4">
        <v>2.0</v>
      </c>
      <c r="J22" s="4">
        <v>3.0</v>
      </c>
      <c r="K22" s="4">
        <v>44.05</v>
      </c>
      <c r="L22" s="4">
        <v>36.04</v>
      </c>
      <c r="M22" s="21" t="s">
        <v>103</v>
      </c>
      <c r="O22" s="6" t="s">
        <v>82</v>
      </c>
      <c r="P22" s="4">
        <v>3.0</v>
      </c>
      <c r="Q22" s="4">
        <v>1.0</v>
      </c>
      <c r="R22" s="4"/>
      <c r="S22" s="4">
        <v>2.0</v>
      </c>
      <c r="T22" s="4">
        <v>8.0</v>
      </c>
      <c r="U22" s="4">
        <v>4.0</v>
      </c>
      <c r="V22" s="4">
        <v>15.0</v>
      </c>
      <c r="W22" s="4">
        <v>2.0</v>
      </c>
    </row>
    <row r="23">
      <c r="A23" s="4" t="s">
        <v>104</v>
      </c>
      <c r="B23" s="4">
        <v>0.0</v>
      </c>
      <c r="C23" s="4">
        <v>4.0</v>
      </c>
      <c r="D23" s="4">
        <v>0.0</v>
      </c>
      <c r="E23" s="4">
        <v>4.0</v>
      </c>
      <c r="F23" s="4">
        <v>7.0</v>
      </c>
      <c r="G23" s="4">
        <v>5.0</v>
      </c>
      <c r="H23" s="4">
        <v>10.0</v>
      </c>
      <c r="I23" s="4">
        <v>2.0</v>
      </c>
      <c r="J23" s="4">
        <v>1.0</v>
      </c>
      <c r="K23" s="4">
        <v>51.01</v>
      </c>
      <c r="L23" s="4">
        <v>53.78</v>
      </c>
      <c r="M23" s="4">
        <v>0.0</v>
      </c>
      <c r="O23" s="6" t="s">
        <v>85</v>
      </c>
      <c r="P23" s="4">
        <v>3.0</v>
      </c>
      <c r="Q23" s="4">
        <v>1.0</v>
      </c>
      <c r="R23" s="4"/>
      <c r="S23" s="4">
        <v>1.0</v>
      </c>
      <c r="T23" s="4">
        <v>9.0</v>
      </c>
      <c r="U23" s="4">
        <v>1.0</v>
      </c>
      <c r="V23" s="4">
        <v>15.0</v>
      </c>
      <c r="W23" s="4">
        <v>1.0</v>
      </c>
    </row>
    <row r="24">
      <c r="A24" s="4" t="s">
        <v>105</v>
      </c>
      <c r="B24" s="4">
        <v>5.0</v>
      </c>
      <c r="C24" s="4">
        <v>1.0</v>
      </c>
      <c r="D24" s="4">
        <v>4.0</v>
      </c>
      <c r="E24" s="4">
        <v>1.0</v>
      </c>
      <c r="F24" s="4">
        <v>13.0</v>
      </c>
      <c r="G24" s="4">
        <v>3.0</v>
      </c>
      <c r="H24" s="4">
        <v>4.0</v>
      </c>
      <c r="I24" s="4">
        <v>0.0</v>
      </c>
      <c r="J24" s="4">
        <v>4.0</v>
      </c>
      <c r="K24" s="4">
        <v>50.09</v>
      </c>
      <c r="L24" s="4">
        <v>53.02</v>
      </c>
      <c r="M24" s="4">
        <v>0.0</v>
      </c>
      <c r="O24" s="6" t="s">
        <v>84</v>
      </c>
      <c r="P24" s="4">
        <v>3.0</v>
      </c>
      <c r="Q24" s="5"/>
      <c r="R24" s="4">
        <v>1.0</v>
      </c>
      <c r="S24" s="4">
        <v>1.0</v>
      </c>
      <c r="T24" s="4"/>
      <c r="U24" s="4">
        <v>2.0</v>
      </c>
      <c r="V24" s="4">
        <v>15.0</v>
      </c>
      <c r="W24" s="4">
        <v>1.0</v>
      </c>
    </row>
    <row r="25">
      <c r="A25" s="4" t="s">
        <v>106</v>
      </c>
      <c r="B25" s="4">
        <v>1.0</v>
      </c>
      <c r="C25" s="4">
        <v>2.0</v>
      </c>
      <c r="D25" s="4">
        <v>1.0</v>
      </c>
      <c r="E25" s="4">
        <v>1.0</v>
      </c>
      <c r="F25" s="4">
        <v>8.0</v>
      </c>
      <c r="G25" s="4">
        <v>5.0</v>
      </c>
      <c r="H25" s="4">
        <v>7.0</v>
      </c>
      <c r="I25" s="4">
        <v>3.0</v>
      </c>
      <c r="J25" s="4">
        <v>1.0</v>
      </c>
      <c r="K25" s="4">
        <v>56.09</v>
      </c>
      <c r="L25" s="4">
        <v>46.98</v>
      </c>
      <c r="M25" s="21" t="s">
        <v>107</v>
      </c>
    </row>
    <row r="26">
      <c r="A26" s="4" t="s">
        <v>108</v>
      </c>
      <c r="B26" s="4">
        <v>1.0</v>
      </c>
      <c r="C26" s="4">
        <v>4.0</v>
      </c>
      <c r="D26" s="4">
        <v>1.0</v>
      </c>
      <c r="E26" s="4">
        <v>6.0</v>
      </c>
      <c r="F26" s="4">
        <v>5.0</v>
      </c>
      <c r="G26" s="4">
        <v>4.0</v>
      </c>
      <c r="H26" s="4">
        <v>10.0</v>
      </c>
      <c r="I26" s="4">
        <v>0.0</v>
      </c>
      <c r="J26" s="4">
        <v>3.0</v>
      </c>
      <c r="K26" s="4">
        <v>44.81</v>
      </c>
      <c r="L26" s="4">
        <v>45.01</v>
      </c>
      <c r="M26" s="4">
        <v>0.0</v>
      </c>
      <c r="O26" s="22" t="s">
        <v>109</v>
      </c>
    </row>
    <row r="27">
      <c r="A27" s="4" t="s">
        <v>110</v>
      </c>
      <c r="B27" s="4">
        <v>3.0</v>
      </c>
      <c r="C27" s="4">
        <v>4.0</v>
      </c>
      <c r="D27" s="4">
        <v>1.0</v>
      </c>
      <c r="E27" s="4">
        <v>4.0</v>
      </c>
      <c r="F27" s="4">
        <v>7.0</v>
      </c>
      <c r="G27" s="4">
        <v>3.0</v>
      </c>
      <c r="H27" s="4">
        <v>8.0</v>
      </c>
      <c r="I27" s="4">
        <v>2.0</v>
      </c>
      <c r="J27" s="4">
        <v>3.0</v>
      </c>
      <c r="K27" s="4">
        <v>51.76</v>
      </c>
      <c r="L27" s="4">
        <v>51.16</v>
      </c>
      <c r="M27" s="21" t="s">
        <v>111</v>
      </c>
      <c r="O27" s="22" t="s">
        <v>82</v>
      </c>
      <c r="P27" s="22">
        <v>3.0</v>
      </c>
      <c r="Q27" s="22">
        <v>1.0</v>
      </c>
      <c r="R27" s="22">
        <v>1.0</v>
      </c>
      <c r="S27" s="22">
        <v>5.0</v>
      </c>
      <c r="T27" s="22">
        <v>9.0</v>
      </c>
      <c r="U27" s="22">
        <v>1.0</v>
      </c>
      <c r="V27" s="22">
        <v>15.1</v>
      </c>
      <c r="W27" s="22">
        <v>1.0</v>
      </c>
    </row>
    <row r="28">
      <c r="A28" s="4" t="s">
        <v>112</v>
      </c>
      <c r="B28" s="4">
        <v>1.0</v>
      </c>
      <c r="C28" s="4">
        <v>2.0</v>
      </c>
      <c r="D28" s="4">
        <v>0.0</v>
      </c>
      <c r="E28" s="4">
        <v>5.0</v>
      </c>
      <c r="F28" s="4">
        <v>8.0</v>
      </c>
      <c r="G28" s="4">
        <v>6.0</v>
      </c>
      <c r="H28" s="4">
        <v>8.0</v>
      </c>
      <c r="I28" s="4">
        <v>1.0</v>
      </c>
      <c r="J28" s="4">
        <v>2.0</v>
      </c>
      <c r="K28" s="4">
        <v>53.64</v>
      </c>
      <c r="L28" s="4">
        <v>59.92</v>
      </c>
      <c r="M28" s="21" t="s">
        <v>113</v>
      </c>
      <c r="O28" s="22" t="s">
        <v>86</v>
      </c>
      <c r="P28" s="22">
        <v>3.0</v>
      </c>
      <c r="Q28" s="22">
        <v>1.0</v>
      </c>
      <c r="S28" s="22">
        <v>2.0</v>
      </c>
      <c r="T28" s="22">
        <v>2.0</v>
      </c>
      <c r="U28" s="22">
        <v>4.0</v>
      </c>
      <c r="V28" s="22">
        <v>15.1</v>
      </c>
      <c r="W28" s="22">
        <v>2.0</v>
      </c>
    </row>
    <row r="29">
      <c r="A29" s="4" t="s">
        <v>114</v>
      </c>
      <c r="B29" s="4">
        <v>1.0</v>
      </c>
      <c r="C29" s="4">
        <v>3.0</v>
      </c>
      <c r="D29" s="4">
        <v>0.0</v>
      </c>
      <c r="E29" s="4">
        <v>1.0</v>
      </c>
      <c r="F29" s="4">
        <v>4.0</v>
      </c>
      <c r="G29" s="4">
        <v>3.0</v>
      </c>
      <c r="H29" s="4">
        <v>7.0</v>
      </c>
      <c r="I29" s="4">
        <v>2.0</v>
      </c>
      <c r="J29" s="4">
        <v>1.0</v>
      </c>
      <c r="K29" s="4">
        <v>45.74</v>
      </c>
      <c r="L29" s="4">
        <v>51.73</v>
      </c>
      <c r="M29" s="4">
        <v>0.0</v>
      </c>
      <c r="O29" s="22" t="s">
        <v>84</v>
      </c>
      <c r="P29" s="22">
        <v>3.0</v>
      </c>
      <c r="S29" s="22">
        <v>2.0</v>
      </c>
      <c r="T29" s="22">
        <v>4.0</v>
      </c>
      <c r="U29" s="22">
        <v>3.0</v>
      </c>
      <c r="V29" s="22">
        <v>15.1</v>
      </c>
      <c r="W29" s="22">
        <v>2.0</v>
      </c>
    </row>
    <row r="30">
      <c r="A30" s="4" t="s">
        <v>115</v>
      </c>
      <c r="B30" s="4">
        <v>1.0</v>
      </c>
      <c r="C30" s="4">
        <v>3.0</v>
      </c>
      <c r="D30" s="4">
        <v>1.0</v>
      </c>
      <c r="E30" s="4">
        <v>2.0</v>
      </c>
      <c r="F30" s="4">
        <v>6.0</v>
      </c>
      <c r="G30" s="4">
        <v>5.0</v>
      </c>
      <c r="H30" s="4">
        <v>8.0</v>
      </c>
      <c r="I30" s="4">
        <v>4.0</v>
      </c>
      <c r="J30" s="4">
        <v>1.0</v>
      </c>
      <c r="K30" s="4">
        <v>53.13</v>
      </c>
      <c r="L30" s="4">
        <v>43.01</v>
      </c>
      <c r="M30" s="4">
        <v>0.0</v>
      </c>
    </row>
    <row r="31">
      <c r="A31" s="4" t="s">
        <v>116</v>
      </c>
      <c r="B31" s="4">
        <v>0.0</v>
      </c>
      <c r="C31" s="4">
        <v>4.0</v>
      </c>
      <c r="D31" s="4">
        <v>0.0</v>
      </c>
      <c r="E31" s="4">
        <v>1.0</v>
      </c>
      <c r="F31" s="4">
        <v>7.0</v>
      </c>
      <c r="G31" s="4">
        <v>5.0</v>
      </c>
      <c r="H31" s="4">
        <v>6.0</v>
      </c>
      <c r="I31" s="4">
        <v>1.0</v>
      </c>
      <c r="J31" s="4">
        <v>2.0</v>
      </c>
      <c r="K31" s="4">
        <v>46.9</v>
      </c>
      <c r="L31" s="4">
        <v>42.41</v>
      </c>
      <c r="M31" s="4">
        <v>0.0</v>
      </c>
    </row>
    <row r="32">
      <c r="A32" s="4" t="s">
        <v>117</v>
      </c>
      <c r="B32" s="4">
        <v>1.0</v>
      </c>
      <c r="C32" s="4">
        <v>2.0</v>
      </c>
      <c r="D32" s="4">
        <v>1.0</v>
      </c>
      <c r="E32" s="4">
        <v>3.0</v>
      </c>
      <c r="F32" s="4">
        <v>3.0</v>
      </c>
      <c r="G32" s="4">
        <v>1.0</v>
      </c>
      <c r="H32" s="4">
        <v>8.0</v>
      </c>
      <c r="I32" s="4">
        <v>2.0</v>
      </c>
      <c r="J32" s="4">
        <v>2.0</v>
      </c>
      <c r="K32" s="4">
        <v>48.99</v>
      </c>
      <c r="L32" s="4">
        <v>41.76</v>
      </c>
      <c r="M32" s="21" t="s">
        <v>118</v>
      </c>
    </row>
    <row r="33">
      <c r="A33" s="4" t="s">
        <v>119</v>
      </c>
      <c r="B33" s="4">
        <v>0.0</v>
      </c>
      <c r="C33" s="4">
        <v>3.0</v>
      </c>
      <c r="D33" s="4">
        <v>0.0</v>
      </c>
      <c r="E33" s="4">
        <v>4.0</v>
      </c>
      <c r="F33" s="4">
        <v>5.0</v>
      </c>
      <c r="G33" s="4">
        <v>2.0</v>
      </c>
      <c r="H33" s="4">
        <v>11.0</v>
      </c>
      <c r="I33" s="4">
        <v>1.0</v>
      </c>
      <c r="J33" s="4">
        <v>2.0</v>
      </c>
      <c r="K33" s="4">
        <v>44.63</v>
      </c>
      <c r="L33" s="4">
        <v>34.11</v>
      </c>
      <c r="M33" s="4">
        <v>0.0</v>
      </c>
    </row>
    <row r="34">
      <c r="A34" s="4" t="s">
        <v>120</v>
      </c>
      <c r="B34" s="4">
        <v>1.0</v>
      </c>
      <c r="C34" s="4">
        <v>3.0</v>
      </c>
      <c r="D34" s="4">
        <v>0.0</v>
      </c>
      <c r="E34" s="4">
        <v>2.0</v>
      </c>
      <c r="F34" s="4">
        <v>7.0</v>
      </c>
      <c r="G34" s="4">
        <v>5.0</v>
      </c>
      <c r="H34" s="4">
        <v>6.0</v>
      </c>
      <c r="I34" s="4">
        <v>5.0</v>
      </c>
      <c r="J34" s="4">
        <v>1.0</v>
      </c>
      <c r="K34" s="4">
        <v>50.63</v>
      </c>
      <c r="L34" s="4">
        <v>63.04</v>
      </c>
      <c r="M34" s="4">
        <v>0.0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10" max="10" width="14.75"/>
    <col customWidth="1" min="11" max="11" width="14.0"/>
  </cols>
  <sheetData>
    <row r="1">
      <c r="A1" s="5"/>
      <c r="B1" s="5"/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5"/>
      <c r="O1" s="6" t="s">
        <v>12</v>
      </c>
      <c r="P1" s="6" t="s">
        <v>3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9</v>
      </c>
      <c r="W1" s="6" t="s">
        <v>18</v>
      </c>
    </row>
    <row r="2">
      <c r="A2" s="5"/>
      <c r="B2" s="5"/>
      <c r="C2" s="6" t="s">
        <v>121</v>
      </c>
      <c r="D2" s="4">
        <f>SUMIF($O$1:$O$81, "Whale", P1:P80)</f>
        <v>22</v>
      </c>
      <c r="E2" s="9">
        <f>If($D$2 = 0, "Hasn't played", SUMIF($O$1:$O$81, $C$2, $Q$1:$Q$81)/$D$2)</f>
        <v>1.090909091</v>
      </c>
      <c r="F2" s="9">
        <f t="shared" ref="F2:F5" si="1">If(D2 = 0, "Hasn't played", SUMIF($O$1:$O$81, C2, $R$1:$R$81)/D2)</f>
        <v>0.5909090909</v>
      </c>
      <c r="G2" s="9">
        <f t="shared" ref="G2:G5" si="2">If(D2 = 0, "Hasn't played", SUMIF($O$1:$O$81, C2, $S$1:$S$81)/D2)</f>
        <v>0.9545454545</v>
      </c>
      <c r="H2" s="9">
        <f t="shared" ref="H2:H5" si="3">If(D2 = 0, "Hasn't played", SUMIF($O$1:$O$81, C2, $T$1:$T$81)/D2)</f>
        <v>2.772727273</v>
      </c>
      <c r="I2" s="9">
        <f t="shared" ref="I2:I5" si="4">If(D2 = 0, "Hasn't played", SUMIF($O$1:$O$81, C2, $U$1:$U$81)/D2)</f>
        <v>1.045454545</v>
      </c>
      <c r="J2" s="9">
        <f t="shared" ref="J2:J5" si="5">If(D2 = 0, "Hasn't played", SUMIF($O$1:$O$81, C2, $V$1:$V$81))</f>
        <v>118.2</v>
      </c>
      <c r="K2" s="9">
        <f t="shared" ref="K2:K5" si="6">If(D2 = 0, "Hasn't played", SUMIF($O$1:$O$81, C2, $W$1:$W$81)/D2)</f>
        <v>0.5454545455</v>
      </c>
      <c r="L2" s="10">
        <f t="shared" ref="L2:L5" si="7">If(D2=0, "Hasn't played", E2/H2)</f>
        <v>0.393442623</v>
      </c>
      <c r="M2" s="5"/>
      <c r="O2" s="6" t="s">
        <v>121</v>
      </c>
      <c r="P2" s="4">
        <v>3.0</v>
      </c>
      <c r="Q2" s="4">
        <v>3.0</v>
      </c>
      <c r="R2" s="4">
        <v>1.0</v>
      </c>
      <c r="S2" s="4">
        <v>5.0</v>
      </c>
      <c r="T2" s="4">
        <v>7.0</v>
      </c>
      <c r="U2" s="4">
        <v>2.0</v>
      </c>
      <c r="V2" s="4">
        <v>15.0</v>
      </c>
      <c r="W2" s="4">
        <v>2.0</v>
      </c>
    </row>
    <row r="3">
      <c r="A3" s="5"/>
      <c r="B3" s="5"/>
      <c r="C3" s="6" t="s">
        <v>122</v>
      </c>
      <c r="D3" s="4">
        <f>SUMIF($O$1:$O$81, "Hunter", P1:P80)</f>
        <v>27</v>
      </c>
      <c r="E3" s="9">
        <f t="shared" ref="E3:E5" si="8">If(D3 = 0, "Hasn't played", SUMIF($O$1:$O$81, C3, $Q$1:$Q$81)/D3)</f>
        <v>1.222222222</v>
      </c>
      <c r="F3" s="9">
        <f t="shared" si="1"/>
        <v>0.5925925926</v>
      </c>
      <c r="G3" s="9">
        <f t="shared" si="2"/>
        <v>0.8888888889</v>
      </c>
      <c r="H3" s="9">
        <f t="shared" si="3"/>
        <v>2.814814815</v>
      </c>
      <c r="I3" s="9">
        <f t="shared" si="4"/>
        <v>0.3703703704</v>
      </c>
      <c r="J3" s="9">
        <f t="shared" si="5"/>
        <v>143.2</v>
      </c>
      <c r="K3" s="9">
        <f t="shared" si="6"/>
        <v>0.7037037037</v>
      </c>
      <c r="L3" s="10">
        <f t="shared" si="7"/>
        <v>0.4342105263</v>
      </c>
      <c r="M3" s="5"/>
      <c r="O3" s="6" t="s">
        <v>122</v>
      </c>
      <c r="P3" s="4">
        <v>3.0</v>
      </c>
      <c r="Q3" s="4">
        <v>2.0</v>
      </c>
      <c r="R3" s="4">
        <v>3.0</v>
      </c>
      <c r="S3" s="4">
        <v>1.0</v>
      </c>
      <c r="T3" s="4">
        <v>8.0</v>
      </c>
      <c r="U3" s="4">
        <v>1.0</v>
      </c>
      <c r="V3" s="4">
        <v>15.0</v>
      </c>
      <c r="W3" s="4">
        <v>1.0</v>
      </c>
    </row>
    <row r="4">
      <c r="B4" s="5"/>
      <c r="C4" s="6" t="s">
        <v>123</v>
      </c>
      <c r="D4" s="4">
        <f>SUMIF($O$1:$O$81, "Cyber", P1:P80)</f>
        <v>27</v>
      </c>
      <c r="E4" s="9">
        <f t="shared" si="8"/>
        <v>0.4814814815</v>
      </c>
      <c r="F4" s="9">
        <f t="shared" si="1"/>
        <v>0.4814814815</v>
      </c>
      <c r="G4" s="9">
        <f t="shared" si="2"/>
        <v>1.296296296</v>
      </c>
      <c r="H4" s="9">
        <f t="shared" si="3"/>
        <v>1.888888889</v>
      </c>
      <c r="I4" s="9">
        <f t="shared" si="4"/>
        <v>0.3333333333</v>
      </c>
      <c r="J4" s="9">
        <f t="shared" si="5"/>
        <v>143.2</v>
      </c>
      <c r="K4" s="9">
        <f t="shared" si="6"/>
        <v>0.5185185185</v>
      </c>
      <c r="L4" s="10">
        <f t="shared" si="7"/>
        <v>0.2549019608</v>
      </c>
      <c r="M4" s="5"/>
      <c r="O4" s="6" t="s">
        <v>123</v>
      </c>
      <c r="P4" s="4">
        <v>3.0</v>
      </c>
      <c r="Q4" s="4">
        <v>3.0</v>
      </c>
      <c r="R4" s="4">
        <v>1.0</v>
      </c>
      <c r="S4" s="4">
        <v>3.0</v>
      </c>
      <c r="T4" s="4">
        <v>7.0</v>
      </c>
      <c r="U4" s="4">
        <v>0.0</v>
      </c>
      <c r="V4" s="4">
        <v>15.0</v>
      </c>
      <c r="W4" s="4">
        <v>2.0</v>
      </c>
    </row>
    <row r="5">
      <c r="A5" s="11"/>
      <c r="B5" s="11"/>
      <c r="C5" s="13" t="s">
        <v>124</v>
      </c>
      <c r="D5" s="4">
        <f>SUMIF($O$1:$O$81, "Sherlock" , P1:P80)</f>
        <v>5</v>
      </c>
      <c r="E5" s="9">
        <f t="shared" si="8"/>
        <v>0.8</v>
      </c>
      <c r="F5" s="9">
        <f t="shared" si="1"/>
        <v>0.4</v>
      </c>
      <c r="G5" s="9">
        <f t="shared" si="2"/>
        <v>2</v>
      </c>
      <c r="H5" s="9">
        <f t="shared" si="3"/>
        <v>4.6</v>
      </c>
      <c r="I5" s="9">
        <f t="shared" si="4"/>
        <v>0.2</v>
      </c>
      <c r="J5" s="9">
        <f t="shared" si="5"/>
        <v>25</v>
      </c>
      <c r="K5" s="9">
        <f t="shared" si="6"/>
        <v>0.6</v>
      </c>
      <c r="L5" s="10">
        <f t="shared" si="7"/>
        <v>0.1739130435</v>
      </c>
      <c r="M5" s="5"/>
      <c r="V5" s="5"/>
      <c r="W5" s="4"/>
    </row>
    <row r="6">
      <c r="A6" s="11"/>
      <c r="B6" s="11"/>
      <c r="C6" s="12"/>
      <c r="D6" s="4"/>
      <c r="E6" s="9"/>
      <c r="F6" s="9"/>
      <c r="G6" s="9"/>
      <c r="H6" s="9"/>
      <c r="I6" s="9"/>
      <c r="J6" s="9"/>
      <c r="K6" s="9"/>
      <c r="L6" s="10"/>
      <c r="M6" s="5"/>
      <c r="O6" s="6" t="s">
        <v>22</v>
      </c>
      <c r="P6" s="6" t="s">
        <v>3</v>
      </c>
      <c r="Q6" s="6" t="s">
        <v>13</v>
      </c>
      <c r="R6" s="6" t="s">
        <v>14</v>
      </c>
      <c r="S6" s="6" t="s">
        <v>15</v>
      </c>
      <c r="T6" s="6" t="s">
        <v>16</v>
      </c>
      <c r="U6" s="6" t="s">
        <v>17</v>
      </c>
      <c r="V6" s="6" t="s">
        <v>9</v>
      </c>
      <c r="W6" s="6" t="s">
        <v>18</v>
      </c>
    </row>
    <row r="7">
      <c r="A7" s="11"/>
      <c r="B7" s="11"/>
      <c r="C7" s="12"/>
      <c r="D7" s="12"/>
      <c r="E7" s="11"/>
      <c r="F7" s="11"/>
      <c r="G7" s="11"/>
      <c r="H7" s="11"/>
      <c r="I7" s="11"/>
      <c r="J7" s="11"/>
      <c r="K7" s="11"/>
      <c r="L7" s="11"/>
      <c r="M7" s="5"/>
      <c r="O7" s="6" t="s">
        <v>121</v>
      </c>
      <c r="P7" s="4">
        <v>5.0</v>
      </c>
      <c r="Q7" s="4">
        <v>5.0</v>
      </c>
      <c r="R7" s="4">
        <v>3.0</v>
      </c>
      <c r="S7" s="4">
        <v>4.0</v>
      </c>
      <c r="T7" s="4">
        <v>15.0</v>
      </c>
      <c r="U7" s="4">
        <v>6.0</v>
      </c>
      <c r="V7" s="4">
        <v>28.55</v>
      </c>
      <c r="W7" s="4">
        <v>2.0</v>
      </c>
    </row>
    <row r="8">
      <c r="A8" s="11"/>
      <c r="B8" s="13" t="s">
        <v>23</v>
      </c>
      <c r="C8" s="13" t="s">
        <v>24</v>
      </c>
      <c r="D8" s="13" t="s">
        <v>25</v>
      </c>
      <c r="E8" s="14" t="s">
        <v>26</v>
      </c>
      <c r="F8" s="14" t="s">
        <v>27</v>
      </c>
      <c r="G8" s="14" t="s">
        <v>28</v>
      </c>
      <c r="H8" s="14" t="s">
        <v>29</v>
      </c>
      <c r="I8" s="14" t="s">
        <v>30</v>
      </c>
      <c r="J8" s="14" t="s">
        <v>31</v>
      </c>
      <c r="K8" s="14" t="s">
        <v>32</v>
      </c>
      <c r="L8" s="11"/>
      <c r="M8" s="7" t="s">
        <v>33</v>
      </c>
      <c r="O8" s="6" t="s">
        <v>122</v>
      </c>
      <c r="P8" s="4">
        <v>5.0</v>
      </c>
      <c r="Q8" s="4">
        <v>8.0</v>
      </c>
      <c r="R8" s="4">
        <v>4.0</v>
      </c>
      <c r="S8" s="4">
        <v>4.0</v>
      </c>
      <c r="T8" s="4">
        <v>18.0</v>
      </c>
      <c r="U8" s="4">
        <v>1.0</v>
      </c>
      <c r="V8" s="4">
        <v>28.55</v>
      </c>
      <c r="W8" s="4">
        <v>1.0</v>
      </c>
    </row>
    <row r="9">
      <c r="A9" s="11"/>
      <c r="B9" s="12">
        <v>27.0</v>
      </c>
      <c r="C9" s="23">
        <v>43923.0</v>
      </c>
      <c r="D9" s="12" t="s">
        <v>125</v>
      </c>
      <c r="E9" s="12" t="s">
        <v>126</v>
      </c>
      <c r="F9" s="12" t="s">
        <v>127</v>
      </c>
      <c r="G9" s="12" t="s">
        <v>128</v>
      </c>
      <c r="H9" s="12" t="s">
        <v>129</v>
      </c>
      <c r="I9" s="12" t="s">
        <v>130</v>
      </c>
      <c r="J9" s="12" t="s">
        <v>131</v>
      </c>
      <c r="K9" s="15" t="s">
        <v>132</v>
      </c>
      <c r="L9" s="11"/>
      <c r="M9" s="16">
        <f>D11/B11</f>
        <v>0.6164383562</v>
      </c>
      <c r="O9" s="6" t="s">
        <v>123</v>
      </c>
      <c r="P9" s="4">
        <v>5.0</v>
      </c>
      <c r="Q9" s="4">
        <v>4.0</v>
      </c>
      <c r="R9" s="4">
        <v>4.0</v>
      </c>
      <c r="S9" s="4">
        <v>4.0</v>
      </c>
      <c r="T9" s="4">
        <v>14.0</v>
      </c>
      <c r="U9" s="4">
        <v>2.0</v>
      </c>
      <c r="V9" s="4">
        <v>28.55</v>
      </c>
      <c r="W9" s="4">
        <v>2.0</v>
      </c>
    </row>
    <row r="10">
      <c r="A10" s="11"/>
      <c r="B10" s="8" t="s">
        <v>4</v>
      </c>
      <c r="C10" s="8" t="s">
        <v>43</v>
      </c>
      <c r="D10" s="8" t="s">
        <v>5</v>
      </c>
      <c r="E10" s="8" t="s">
        <v>6</v>
      </c>
      <c r="F10" s="8" t="s">
        <v>7</v>
      </c>
      <c r="G10" s="8" t="s">
        <v>44</v>
      </c>
      <c r="H10" s="8" t="s">
        <v>45</v>
      </c>
      <c r="I10" s="17" t="s">
        <v>46</v>
      </c>
      <c r="J10" s="17" t="s">
        <v>47</v>
      </c>
      <c r="K10" s="7" t="s">
        <v>48</v>
      </c>
      <c r="L10" s="7" t="s">
        <v>49</v>
      </c>
      <c r="M10" s="7" t="s">
        <v>11</v>
      </c>
      <c r="W10" s="4"/>
    </row>
    <row r="11">
      <c r="A11" s="5"/>
      <c r="B11" s="18">
        <f t="shared" ref="B11:L11" si="9">AVERAGEIF(B13:B82, "&lt;&gt;")</f>
        <v>2.703703704</v>
      </c>
      <c r="C11" s="18">
        <f t="shared" si="9"/>
        <v>1.814814815</v>
      </c>
      <c r="D11" s="18">
        <f t="shared" si="9"/>
        <v>1.666666667</v>
      </c>
      <c r="E11" s="18">
        <f t="shared" si="9"/>
        <v>3.333333333</v>
      </c>
      <c r="F11" s="18">
        <f t="shared" si="9"/>
        <v>7.814814815</v>
      </c>
      <c r="G11" s="18">
        <f t="shared" si="9"/>
        <v>3.555555556</v>
      </c>
      <c r="H11" s="18">
        <f t="shared" si="9"/>
        <v>6.259259259</v>
      </c>
      <c r="I11" s="18">
        <f t="shared" si="9"/>
        <v>1.592592593</v>
      </c>
      <c r="J11" s="18">
        <f t="shared" si="9"/>
        <v>1.777777778</v>
      </c>
      <c r="K11" s="18">
        <f t="shared" si="9"/>
        <v>50.36444444</v>
      </c>
      <c r="L11" s="18">
        <f t="shared" si="9"/>
        <v>52.42148148</v>
      </c>
      <c r="M11" s="16">
        <f>B11/F11</f>
        <v>0.345971564</v>
      </c>
      <c r="O11" s="6" t="s">
        <v>50</v>
      </c>
      <c r="P11" s="6" t="s">
        <v>3</v>
      </c>
      <c r="Q11" s="6" t="s">
        <v>13</v>
      </c>
      <c r="R11" s="6" t="s">
        <v>14</v>
      </c>
      <c r="S11" s="6" t="s">
        <v>15</v>
      </c>
      <c r="T11" s="6" t="s">
        <v>16</v>
      </c>
      <c r="U11" s="6" t="s">
        <v>17</v>
      </c>
      <c r="V11" s="6" t="s">
        <v>9</v>
      </c>
      <c r="W11" s="6" t="s">
        <v>18</v>
      </c>
    </row>
    <row r="12">
      <c r="A12" s="14" t="s">
        <v>51</v>
      </c>
      <c r="B12" s="14" t="s">
        <v>13</v>
      </c>
      <c r="C12" s="14" t="s">
        <v>52</v>
      </c>
      <c r="D12" s="14" t="s">
        <v>14</v>
      </c>
      <c r="E12" s="14" t="s">
        <v>15</v>
      </c>
      <c r="F12" s="13" t="s">
        <v>16</v>
      </c>
      <c r="G12" s="13" t="s">
        <v>53</v>
      </c>
      <c r="H12" s="13" t="s">
        <v>54</v>
      </c>
      <c r="I12" s="13" t="s">
        <v>17</v>
      </c>
      <c r="J12" s="13" t="s">
        <v>55</v>
      </c>
      <c r="K12" s="13" t="s">
        <v>48</v>
      </c>
      <c r="L12" s="6" t="s">
        <v>49</v>
      </c>
      <c r="M12" s="6" t="s">
        <v>56</v>
      </c>
      <c r="O12" s="6" t="s">
        <v>124</v>
      </c>
      <c r="P12" s="4">
        <v>5.0</v>
      </c>
      <c r="Q12" s="4">
        <v>4.0</v>
      </c>
      <c r="R12" s="4">
        <v>2.0</v>
      </c>
      <c r="S12" s="4">
        <v>10.0</v>
      </c>
      <c r="T12" s="4">
        <v>23.0</v>
      </c>
      <c r="U12" s="4">
        <v>1.0</v>
      </c>
      <c r="V12" s="4">
        <v>25.0</v>
      </c>
      <c r="W12" s="4">
        <v>3.0</v>
      </c>
    </row>
    <row r="13">
      <c r="A13" s="19" t="s">
        <v>133</v>
      </c>
      <c r="B13" s="19">
        <v>3.0</v>
      </c>
      <c r="C13" s="19">
        <v>0.0</v>
      </c>
      <c r="D13" s="19">
        <v>1.0</v>
      </c>
      <c r="E13" s="19">
        <v>1.0</v>
      </c>
      <c r="F13" s="19">
        <v>12.0</v>
      </c>
      <c r="G13" s="19">
        <v>4.0</v>
      </c>
      <c r="H13" s="19">
        <v>1.0</v>
      </c>
      <c r="I13" s="19">
        <v>1.0</v>
      </c>
      <c r="J13" s="19">
        <v>1.0</v>
      </c>
      <c r="K13" s="19">
        <v>54.62</v>
      </c>
      <c r="L13" s="19">
        <v>69.34</v>
      </c>
      <c r="M13" s="19">
        <v>0.0</v>
      </c>
      <c r="O13" s="6" t="s">
        <v>122</v>
      </c>
      <c r="P13" s="4">
        <v>5.0</v>
      </c>
      <c r="Q13" s="4">
        <v>7.0</v>
      </c>
      <c r="R13" s="4">
        <v>4.0</v>
      </c>
      <c r="S13" s="4">
        <v>4.0</v>
      </c>
      <c r="T13" s="4">
        <v>12.0</v>
      </c>
      <c r="U13" s="4">
        <v>3.0</v>
      </c>
      <c r="V13" s="4">
        <v>25.0</v>
      </c>
      <c r="W13" s="4">
        <v>4.0</v>
      </c>
    </row>
    <row r="14">
      <c r="A14" s="4" t="s">
        <v>134</v>
      </c>
      <c r="B14" s="4">
        <v>2.0</v>
      </c>
      <c r="C14" s="4">
        <v>0.0</v>
      </c>
      <c r="D14" s="4">
        <v>2.0</v>
      </c>
      <c r="E14" s="4">
        <v>4.0</v>
      </c>
      <c r="F14" s="4">
        <v>5.0</v>
      </c>
      <c r="G14" s="4">
        <v>2.0</v>
      </c>
      <c r="H14" s="4">
        <v>6.0</v>
      </c>
      <c r="I14" s="4">
        <v>1.0</v>
      </c>
      <c r="J14" s="4">
        <v>2.0</v>
      </c>
      <c r="K14" s="4">
        <v>54.05</v>
      </c>
      <c r="L14" s="4">
        <v>48.61</v>
      </c>
      <c r="M14" s="4">
        <v>0.0</v>
      </c>
      <c r="O14" s="6" t="s">
        <v>123</v>
      </c>
      <c r="P14" s="4">
        <v>5.0</v>
      </c>
      <c r="Q14" s="4">
        <v>1.0</v>
      </c>
      <c r="R14" s="4">
        <v>1.0</v>
      </c>
      <c r="S14" s="4">
        <v>12.0</v>
      </c>
      <c r="T14" s="4">
        <v>5.0</v>
      </c>
      <c r="U14" s="4">
        <v>2.0</v>
      </c>
      <c r="V14" s="4">
        <v>25.0</v>
      </c>
      <c r="W14" s="4">
        <v>4.0</v>
      </c>
    </row>
    <row r="15">
      <c r="A15" s="20" t="s">
        <v>135</v>
      </c>
      <c r="B15" s="20">
        <v>3.0</v>
      </c>
      <c r="C15" s="20">
        <v>0.0</v>
      </c>
      <c r="D15" s="20">
        <v>3.0</v>
      </c>
      <c r="E15" s="20">
        <v>4.0</v>
      </c>
      <c r="F15" s="20">
        <v>5.0</v>
      </c>
      <c r="G15" s="20">
        <v>3.0</v>
      </c>
      <c r="H15" s="20">
        <v>4.0</v>
      </c>
      <c r="I15" s="20">
        <v>1.0</v>
      </c>
      <c r="J15" s="20">
        <v>2.0</v>
      </c>
      <c r="K15" s="20">
        <v>46.5</v>
      </c>
      <c r="L15" s="20">
        <v>62.53</v>
      </c>
      <c r="M15" s="20">
        <v>0.0</v>
      </c>
    </row>
    <row r="16">
      <c r="A16" s="4" t="s">
        <v>136</v>
      </c>
      <c r="B16" s="4">
        <v>2.0</v>
      </c>
      <c r="C16" s="4">
        <v>3.0</v>
      </c>
      <c r="D16" s="4">
        <v>1.0</v>
      </c>
      <c r="E16" s="4">
        <v>4.0</v>
      </c>
      <c r="F16" s="4">
        <v>6.0</v>
      </c>
      <c r="G16" s="4">
        <v>2.0</v>
      </c>
      <c r="H16" s="4">
        <v>7.0</v>
      </c>
      <c r="I16" s="4">
        <v>1.0</v>
      </c>
      <c r="J16" s="4">
        <v>0.0</v>
      </c>
      <c r="K16" s="4">
        <v>50.38</v>
      </c>
      <c r="L16" s="4">
        <v>54.18</v>
      </c>
      <c r="M16" s="4">
        <v>0.0</v>
      </c>
      <c r="O16" s="6" t="s">
        <v>61</v>
      </c>
      <c r="P16" s="6" t="s">
        <v>3</v>
      </c>
      <c r="Q16" s="6" t="s">
        <v>13</v>
      </c>
      <c r="R16" s="6" t="s">
        <v>14</v>
      </c>
      <c r="S16" s="6" t="s">
        <v>15</v>
      </c>
      <c r="T16" s="6" t="s">
        <v>16</v>
      </c>
      <c r="U16" s="6" t="s">
        <v>17</v>
      </c>
      <c r="V16" s="6" t="s">
        <v>9</v>
      </c>
      <c r="W16" s="6" t="s">
        <v>18</v>
      </c>
    </row>
    <row r="17">
      <c r="A17" s="4" t="s">
        <v>137</v>
      </c>
      <c r="B17" s="4">
        <v>5.0</v>
      </c>
      <c r="C17" s="4">
        <v>6.0</v>
      </c>
      <c r="D17" s="4">
        <v>4.0</v>
      </c>
      <c r="E17" s="4">
        <v>0.0</v>
      </c>
      <c r="F17" s="4">
        <v>14.0</v>
      </c>
      <c r="G17" s="4">
        <v>4.0</v>
      </c>
      <c r="H17" s="4">
        <v>5.0</v>
      </c>
      <c r="I17" s="4">
        <v>1.0</v>
      </c>
      <c r="J17" s="4">
        <v>0.0</v>
      </c>
      <c r="K17" s="4">
        <v>58.52</v>
      </c>
      <c r="L17" s="4">
        <v>67.92</v>
      </c>
      <c r="M17" s="4">
        <v>0.0</v>
      </c>
      <c r="O17" s="6" t="s">
        <v>121</v>
      </c>
      <c r="P17" s="4">
        <v>4.0</v>
      </c>
      <c r="Q17" s="4">
        <v>5.0</v>
      </c>
      <c r="R17" s="4">
        <v>2.0</v>
      </c>
      <c r="S17" s="4">
        <v>5.0</v>
      </c>
      <c r="T17" s="4">
        <v>8.0</v>
      </c>
      <c r="U17" s="4">
        <v>5.0</v>
      </c>
      <c r="V17" s="4">
        <v>23.6</v>
      </c>
      <c r="W17" s="4">
        <v>3.0</v>
      </c>
    </row>
    <row r="18">
      <c r="A18" s="4" t="s">
        <v>138</v>
      </c>
      <c r="B18" s="4">
        <v>5.0</v>
      </c>
      <c r="C18" s="4">
        <v>4.0</v>
      </c>
      <c r="D18" s="4">
        <v>3.0</v>
      </c>
      <c r="E18" s="4">
        <v>4.0</v>
      </c>
      <c r="F18" s="4">
        <v>13.0</v>
      </c>
      <c r="G18" s="4">
        <v>5.0</v>
      </c>
      <c r="H18" s="4">
        <v>11.0</v>
      </c>
      <c r="I18" s="4">
        <v>5.0</v>
      </c>
      <c r="J18" s="4">
        <v>2.0</v>
      </c>
      <c r="K18" s="4">
        <v>48.72</v>
      </c>
      <c r="L18" s="4">
        <v>53.09</v>
      </c>
      <c r="M18" s="21" t="s">
        <v>139</v>
      </c>
      <c r="O18" s="6" t="s">
        <v>122</v>
      </c>
      <c r="P18" s="4">
        <v>4.0</v>
      </c>
      <c r="Q18" s="4">
        <v>5.0</v>
      </c>
      <c r="R18" s="4">
        <v>3.0</v>
      </c>
      <c r="S18" s="4">
        <v>6.0</v>
      </c>
      <c r="T18" s="4">
        <v>11.0</v>
      </c>
      <c r="U18" s="4">
        <v>3.0</v>
      </c>
      <c r="V18" s="4">
        <v>23.6</v>
      </c>
      <c r="W18" s="4">
        <v>7.0</v>
      </c>
    </row>
    <row r="19">
      <c r="A19" s="4" t="s">
        <v>140</v>
      </c>
      <c r="B19" s="4">
        <v>3.0</v>
      </c>
      <c r="C19" s="4">
        <v>2.0</v>
      </c>
      <c r="D19" s="4">
        <v>1.0</v>
      </c>
      <c r="E19" s="4">
        <v>2.0</v>
      </c>
      <c r="F19" s="4">
        <v>9.0</v>
      </c>
      <c r="G19" s="4">
        <v>4.0</v>
      </c>
      <c r="H19" s="4">
        <v>5.0</v>
      </c>
      <c r="I19" s="4">
        <v>0.0</v>
      </c>
      <c r="J19" s="4">
        <v>1.0</v>
      </c>
      <c r="K19" s="4">
        <v>49.07</v>
      </c>
      <c r="L19" s="4">
        <v>56.42</v>
      </c>
      <c r="M19" s="4">
        <v>0.0</v>
      </c>
      <c r="O19" s="6" t="s">
        <v>123</v>
      </c>
      <c r="P19" s="4">
        <v>4.0</v>
      </c>
      <c r="Q19" s="5">
        <v>2.0</v>
      </c>
      <c r="R19" s="4">
        <v>3.0</v>
      </c>
      <c r="S19" s="4">
        <v>4.0</v>
      </c>
      <c r="T19" s="4">
        <v>4.0</v>
      </c>
      <c r="U19" s="4">
        <v>1.0</v>
      </c>
      <c r="V19" s="4">
        <v>23.6</v>
      </c>
      <c r="W19" s="4">
        <v>1.0</v>
      </c>
    </row>
    <row r="20">
      <c r="A20" s="20" t="s">
        <v>141</v>
      </c>
      <c r="B20" s="20">
        <v>2.0</v>
      </c>
      <c r="C20" s="20">
        <v>0.0</v>
      </c>
      <c r="D20" s="20">
        <v>2.0</v>
      </c>
      <c r="E20" s="20">
        <v>2.0</v>
      </c>
      <c r="F20" s="20">
        <v>5.0</v>
      </c>
      <c r="G20" s="20">
        <v>2.0</v>
      </c>
      <c r="H20" s="20">
        <v>3.0</v>
      </c>
      <c r="I20" s="20">
        <v>2.0</v>
      </c>
      <c r="J20" s="20">
        <v>2.0</v>
      </c>
      <c r="K20" s="20">
        <v>53.59</v>
      </c>
      <c r="L20" s="20">
        <v>56.35</v>
      </c>
      <c r="M20" s="20">
        <v>0.0</v>
      </c>
    </row>
    <row r="21">
      <c r="A21" s="4" t="s">
        <v>142</v>
      </c>
      <c r="B21" s="4">
        <v>4.0</v>
      </c>
      <c r="C21" s="4">
        <v>2.0</v>
      </c>
      <c r="D21" s="4">
        <v>2.0</v>
      </c>
      <c r="E21" s="4">
        <v>7.0</v>
      </c>
      <c r="F21" s="4">
        <v>5.0</v>
      </c>
      <c r="G21" s="4">
        <v>1.0</v>
      </c>
      <c r="H21" s="4">
        <v>11.0</v>
      </c>
      <c r="I21" s="4">
        <v>2.0</v>
      </c>
      <c r="J21" s="4">
        <v>1.0</v>
      </c>
      <c r="K21" s="4">
        <v>44.23</v>
      </c>
      <c r="L21" s="4">
        <v>45.24</v>
      </c>
      <c r="M21" s="4">
        <v>0.0</v>
      </c>
      <c r="O21" s="22" t="s">
        <v>68</v>
      </c>
      <c r="P21" s="22" t="s">
        <v>3</v>
      </c>
      <c r="Q21" s="22" t="s">
        <v>13</v>
      </c>
      <c r="R21" s="22" t="s">
        <v>14</v>
      </c>
      <c r="S21" s="22" t="s">
        <v>15</v>
      </c>
      <c r="T21" s="22" t="s">
        <v>16</v>
      </c>
      <c r="U21" s="22" t="s">
        <v>17</v>
      </c>
      <c r="V21" s="22" t="s">
        <v>9</v>
      </c>
      <c r="W21" s="22" t="s">
        <v>18</v>
      </c>
    </row>
    <row r="22">
      <c r="A22" s="4" t="s">
        <v>143</v>
      </c>
      <c r="B22" s="4">
        <v>0.0</v>
      </c>
      <c r="C22" s="4">
        <v>3.0</v>
      </c>
      <c r="D22" s="4">
        <v>0.0</v>
      </c>
      <c r="E22" s="4">
        <v>4.0</v>
      </c>
      <c r="F22" s="4">
        <v>5.0</v>
      </c>
      <c r="G22" s="4">
        <v>3.0</v>
      </c>
      <c r="H22" s="4">
        <v>7.0</v>
      </c>
      <c r="I22" s="4">
        <v>1.0</v>
      </c>
      <c r="J22" s="4">
        <v>3.0</v>
      </c>
      <c r="K22" s="4">
        <v>53.52</v>
      </c>
      <c r="L22" s="4">
        <v>50.4</v>
      </c>
      <c r="M22" s="4">
        <v>0.0</v>
      </c>
      <c r="O22" s="22" t="s">
        <v>121</v>
      </c>
      <c r="P22" s="22">
        <v>5.0</v>
      </c>
      <c r="Q22" s="22">
        <v>7.0</v>
      </c>
      <c r="R22" s="22">
        <v>4.0</v>
      </c>
      <c r="S22" s="22">
        <v>4.0</v>
      </c>
      <c r="T22" s="22">
        <v>16.0</v>
      </c>
      <c r="U22" s="22">
        <v>4.0</v>
      </c>
      <c r="V22" s="22">
        <v>25.0</v>
      </c>
    </row>
    <row r="23">
      <c r="A23" s="4" t="s">
        <v>144</v>
      </c>
      <c r="B23" s="4">
        <v>1.0</v>
      </c>
      <c r="C23" s="4">
        <v>2.0</v>
      </c>
      <c r="D23" s="4">
        <v>1.0</v>
      </c>
      <c r="E23" s="4">
        <v>6.0</v>
      </c>
      <c r="F23" s="4">
        <v>9.0</v>
      </c>
      <c r="G23" s="4">
        <v>4.0</v>
      </c>
      <c r="H23" s="4">
        <v>7.0</v>
      </c>
      <c r="I23" s="4">
        <v>1.0</v>
      </c>
      <c r="J23" s="4">
        <v>2.0</v>
      </c>
      <c r="K23" s="4">
        <v>56.03</v>
      </c>
      <c r="L23" s="4">
        <v>57.57</v>
      </c>
      <c r="M23" s="4">
        <v>0.0</v>
      </c>
      <c r="O23" s="22" t="s">
        <v>122</v>
      </c>
      <c r="P23" s="22">
        <v>5.0</v>
      </c>
      <c r="Q23" s="22">
        <v>5.0</v>
      </c>
      <c r="R23" s="22">
        <v>1.0</v>
      </c>
      <c r="S23" s="22">
        <v>4.0</v>
      </c>
      <c r="T23" s="22">
        <v>12.0</v>
      </c>
      <c r="V23" s="22">
        <v>25.0</v>
      </c>
      <c r="W23" s="22">
        <v>4.0</v>
      </c>
    </row>
    <row r="24">
      <c r="A24" s="4" t="s">
        <v>145</v>
      </c>
      <c r="B24" s="4">
        <v>4.0</v>
      </c>
      <c r="C24" s="4">
        <v>2.0</v>
      </c>
      <c r="D24" s="4">
        <v>2.0</v>
      </c>
      <c r="E24" s="4">
        <v>4.0</v>
      </c>
      <c r="F24" s="4">
        <v>11.0</v>
      </c>
      <c r="G24" s="4">
        <v>5.0</v>
      </c>
      <c r="H24" s="4">
        <v>6.0</v>
      </c>
      <c r="I24" s="4">
        <v>0.0</v>
      </c>
      <c r="J24" s="4">
        <v>2.0</v>
      </c>
      <c r="K24" s="4">
        <v>50.86</v>
      </c>
      <c r="L24" s="4">
        <v>51.9</v>
      </c>
      <c r="M24" s="4">
        <v>0.0</v>
      </c>
      <c r="O24" s="22" t="s">
        <v>123</v>
      </c>
      <c r="P24" s="22">
        <v>5.0</v>
      </c>
      <c r="Q24" s="22">
        <v>2.0</v>
      </c>
      <c r="R24" s="22">
        <v>2.0</v>
      </c>
      <c r="S24" s="22">
        <v>6.0</v>
      </c>
      <c r="T24" s="22">
        <v>12.0</v>
      </c>
      <c r="U24" s="22">
        <v>1.0</v>
      </c>
      <c r="V24" s="22">
        <v>25.0</v>
      </c>
      <c r="W24" s="22">
        <v>3.0</v>
      </c>
    </row>
    <row r="25">
      <c r="A25" s="20" t="s">
        <v>146</v>
      </c>
      <c r="B25" s="20">
        <v>3.0</v>
      </c>
      <c r="C25" s="20">
        <v>0.0</v>
      </c>
      <c r="D25" s="20">
        <v>2.0</v>
      </c>
      <c r="E25" s="20">
        <v>5.0</v>
      </c>
      <c r="F25" s="20">
        <v>10.0</v>
      </c>
      <c r="G25" s="20">
        <v>6.0</v>
      </c>
      <c r="H25" s="20">
        <v>5.0</v>
      </c>
      <c r="I25" s="20">
        <v>2.0</v>
      </c>
      <c r="J25" s="20">
        <v>3.0</v>
      </c>
      <c r="K25" s="20">
        <v>54.94</v>
      </c>
      <c r="L25" s="20">
        <v>61.93</v>
      </c>
      <c r="M25" s="20">
        <v>0.0</v>
      </c>
    </row>
    <row r="26">
      <c r="A26" s="4" t="s">
        <v>147</v>
      </c>
      <c r="B26" s="4">
        <v>1.0</v>
      </c>
      <c r="C26" s="4">
        <v>2.0</v>
      </c>
      <c r="D26" s="4">
        <v>1.0</v>
      </c>
      <c r="E26" s="4">
        <v>3.0</v>
      </c>
      <c r="F26" s="4">
        <v>3.0</v>
      </c>
      <c r="G26" s="4">
        <v>1.0</v>
      </c>
      <c r="H26" s="4">
        <v>6.0</v>
      </c>
      <c r="I26" s="4">
        <v>0.0</v>
      </c>
      <c r="J26" s="4">
        <v>3.0</v>
      </c>
      <c r="K26" s="4">
        <v>46.84</v>
      </c>
      <c r="L26" s="4">
        <v>52.57</v>
      </c>
      <c r="M26" s="4">
        <v>0.0</v>
      </c>
      <c r="O26" s="22" t="s">
        <v>109</v>
      </c>
    </row>
    <row r="27">
      <c r="A27" s="4" t="s">
        <v>148</v>
      </c>
      <c r="B27" s="4">
        <v>8.0</v>
      </c>
      <c r="C27" s="4">
        <v>0.0</v>
      </c>
      <c r="D27" s="4">
        <v>5.0</v>
      </c>
      <c r="E27" s="4">
        <v>4.0</v>
      </c>
      <c r="F27" s="4">
        <v>10.0</v>
      </c>
      <c r="G27" s="4">
        <v>2.0</v>
      </c>
      <c r="H27" s="4">
        <v>4.0</v>
      </c>
      <c r="I27" s="4">
        <v>3.0</v>
      </c>
      <c r="J27" s="4">
        <v>2.0</v>
      </c>
      <c r="K27" s="4">
        <v>45.75</v>
      </c>
      <c r="L27" s="4">
        <v>54.82</v>
      </c>
      <c r="M27" s="4">
        <v>0.0</v>
      </c>
      <c r="O27" s="22" t="s">
        <v>121</v>
      </c>
      <c r="P27" s="22">
        <v>5.0</v>
      </c>
      <c r="Q27" s="22">
        <v>4.0</v>
      </c>
      <c r="R27" s="22">
        <v>3.0</v>
      </c>
      <c r="S27" s="22">
        <v>3.0</v>
      </c>
      <c r="T27" s="22">
        <v>15.0</v>
      </c>
      <c r="U27" s="22">
        <v>6.0</v>
      </c>
      <c r="V27" s="22">
        <v>26.05</v>
      </c>
      <c r="W27" s="22">
        <v>5.0</v>
      </c>
    </row>
    <row r="28">
      <c r="A28" s="4" t="s">
        <v>149</v>
      </c>
      <c r="B28" s="4">
        <v>1.0</v>
      </c>
      <c r="C28" s="4">
        <v>0.0</v>
      </c>
      <c r="D28" s="4">
        <v>0.0</v>
      </c>
      <c r="E28" s="4">
        <v>4.0</v>
      </c>
      <c r="F28" s="4">
        <v>5.0</v>
      </c>
      <c r="G28" s="4">
        <v>3.0</v>
      </c>
      <c r="H28" s="4">
        <v>6.0</v>
      </c>
      <c r="I28" s="4">
        <v>3.0</v>
      </c>
      <c r="J28" s="4">
        <v>6.0</v>
      </c>
      <c r="K28" s="4">
        <v>49.03</v>
      </c>
      <c r="L28" s="4">
        <v>39.58</v>
      </c>
      <c r="M28" s="21" t="s">
        <v>150</v>
      </c>
      <c r="O28" s="22" t="s">
        <v>122</v>
      </c>
      <c r="P28" s="22">
        <v>5.0</v>
      </c>
      <c r="Q28" s="22">
        <v>6.0</v>
      </c>
      <c r="R28" s="22">
        <v>1.0</v>
      </c>
      <c r="S28" s="22">
        <v>5.0</v>
      </c>
      <c r="T28" s="22">
        <v>15.0</v>
      </c>
      <c r="U28" s="22">
        <v>2.0</v>
      </c>
      <c r="V28" s="22">
        <v>26.05</v>
      </c>
      <c r="W28" s="22">
        <v>2.0</v>
      </c>
    </row>
    <row r="29">
      <c r="A29" s="4" t="s">
        <v>151</v>
      </c>
      <c r="B29" s="4">
        <v>2.0</v>
      </c>
      <c r="C29" s="4">
        <v>1.0</v>
      </c>
      <c r="D29" s="4">
        <v>2.0</v>
      </c>
      <c r="E29" s="4">
        <v>4.0</v>
      </c>
      <c r="F29" s="4">
        <v>5.0</v>
      </c>
      <c r="G29" s="4">
        <v>2.0</v>
      </c>
      <c r="H29" s="4">
        <v>5.0</v>
      </c>
      <c r="I29" s="4">
        <v>3.0</v>
      </c>
      <c r="J29" s="4">
        <v>0.0</v>
      </c>
      <c r="K29" s="4">
        <v>49.01</v>
      </c>
      <c r="L29" s="4">
        <v>48.48</v>
      </c>
      <c r="M29" s="21" t="s">
        <v>152</v>
      </c>
      <c r="O29" s="22" t="s">
        <v>123</v>
      </c>
      <c r="P29" s="22">
        <v>5.0</v>
      </c>
      <c r="Q29" s="22">
        <v>1.0</v>
      </c>
      <c r="R29" s="22">
        <v>2.0</v>
      </c>
      <c r="S29" s="22">
        <v>6.0</v>
      </c>
      <c r="T29" s="22">
        <v>9.0</v>
      </c>
      <c r="U29" s="22">
        <v>3.0</v>
      </c>
      <c r="V29" s="22">
        <v>26.05</v>
      </c>
      <c r="W29" s="22">
        <v>2.0</v>
      </c>
    </row>
    <row r="30">
      <c r="A30" s="4" t="s">
        <v>153</v>
      </c>
      <c r="B30" s="4">
        <v>6.0</v>
      </c>
      <c r="C30" s="4">
        <v>0.0</v>
      </c>
      <c r="D30" s="4">
        <v>3.0</v>
      </c>
      <c r="E30" s="4">
        <v>3.0</v>
      </c>
      <c r="F30" s="4">
        <v>10.0</v>
      </c>
      <c r="G30" s="4">
        <v>5.0</v>
      </c>
      <c r="H30" s="4">
        <v>3.0</v>
      </c>
      <c r="I30" s="4">
        <v>1.0</v>
      </c>
      <c r="J30" s="4">
        <v>0.0</v>
      </c>
      <c r="K30" s="4">
        <v>51.29</v>
      </c>
      <c r="L30" s="4">
        <v>56.67</v>
      </c>
      <c r="M30" s="4">
        <v>0.0</v>
      </c>
    </row>
    <row r="31">
      <c r="A31" s="4" t="s">
        <v>154</v>
      </c>
      <c r="B31" s="4">
        <v>1.0</v>
      </c>
      <c r="C31" s="4">
        <v>2.0</v>
      </c>
      <c r="D31" s="4">
        <v>1.0</v>
      </c>
      <c r="E31" s="4">
        <v>1.0</v>
      </c>
      <c r="F31" s="4">
        <v>2.0</v>
      </c>
      <c r="G31" s="4">
        <v>1.0</v>
      </c>
      <c r="H31" s="4">
        <v>5.0</v>
      </c>
      <c r="I31" s="4">
        <v>1.0</v>
      </c>
      <c r="J31" s="4">
        <v>5.0</v>
      </c>
      <c r="K31" s="4">
        <v>50.33</v>
      </c>
      <c r="L31" s="4">
        <v>43.53</v>
      </c>
      <c r="M31" s="4">
        <v>0.0</v>
      </c>
    </row>
    <row r="32">
      <c r="A32" s="4" t="s">
        <v>155</v>
      </c>
      <c r="B32" s="4">
        <v>2.0</v>
      </c>
      <c r="C32" s="4">
        <v>3.0</v>
      </c>
      <c r="D32" s="4">
        <v>1.0</v>
      </c>
      <c r="E32" s="4">
        <v>4.0</v>
      </c>
      <c r="F32" s="4">
        <v>7.0</v>
      </c>
      <c r="G32" s="4">
        <v>5.0</v>
      </c>
      <c r="H32" s="4">
        <v>11.0</v>
      </c>
      <c r="I32" s="4">
        <v>0.0</v>
      </c>
      <c r="J32" s="4">
        <v>1.0</v>
      </c>
      <c r="K32" s="4">
        <v>48.73</v>
      </c>
      <c r="L32" s="4">
        <v>39.7</v>
      </c>
      <c r="M32" s="4">
        <v>0.0</v>
      </c>
    </row>
    <row r="33">
      <c r="A33" s="4" t="s">
        <v>156</v>
      </c>
      <c r="B33" s="4">
        <v>4.0</v>
      </c>
      <c r="C33" s="4">
        <v>2.0</v>
      </c>
      <c r="D33" s="4">
        <v>1.0</v>
      </c>
      <c r="E33" s="4">
        <v>5.0</v>
      </c>
      <c r="F33" s="4">
        <v>9.0</v>
      </c>
      <c r="G33" s="4">
        <v>4.0</v>
      </c>
      <c r="H33" s="4">
        <v>7.0</v>
      </c>
      <c r="I33" s="4">
        <v>0.0</v>
      </c>
      <c r="J33" s="4">
        <v>0.0</v>
      </c>
      <c r="K33" s="4">
        <v>52.02</v>
      </c>
      <c r="L33" s="4">
        <v>40.3</v>
      </c>
      <c r="M33" s="4">
        <v>0.0</v>
      </c>
    </row>
    <row r="34">
      <c r="A34" s="4" t="s">
        <v>157</v>
      </c>
      <c r="B34" s="4">
        <v>1.0</v>
      </c>
      <c r="C34" s="4">
        <v>4.0</v>
      </c>
      <c r="D34" s="4">
        <v>1.0</v>
      </c>
      <c r="E34" s="4">
        <v>1.0</v>
      </c>
      <c r="F34" s="4">
        <v>12.0</v>
      </c>
      <c r="G34" s="4">
        <v>5.0</v>
      </c>
      <c r="H34" s="4">
        <v>5.0</v>
      </c>
      <c r="I34" s="4">
        <v>3.0</v>
      </c>
      <c r="J34" s="4">
        <v>1.0</v>
      </c>
      <c r="K34" s="4">
        <v>48.94</v>
      </c>
      <c r="L34" s="4">
        <v>66.39</v>
      </c>
      <c r="M34" s="4">
        <v>0.0</v>
      </c>
    </row>
    <row r="35">
      <c r="A35" s="4" t="s">
        <v>158</v>
      </c>
      <c r="B35" s="4">
        <v>4.0</v>
      </c>
      <c r="C35" s="4">
        <v>6.0</v>
      </c>
      <c r="D35" s="4">
        <v>2.0</v>
      </c>
      <c r="E35" s="4">
        <v>4.0</v>
      </c>
      <c r="F35" s="4">
        <v>9.0</v>
      </c>
      <c r="G35" s="4">
        <v>2.0</v>
      </c>
      <c r="H35" s="4">
        <v>10.0</v>
      </c>
      <c r="I35" s="4">
        <v>2.0</v>
      </c>
      <c r="J35" s="4">
        <v>3.0</v>
      </c>
      <c r="K35" s="4">
        <v>54.33</v>
      </c>
      <c r="L35" s="4">
        <v>42.95</v>
      </c>
      <c r="M35" s="4">
        <v>0.0</v>
      </c>
    </row>
    <row r="36">
      <c r="A36" s="4" t="s">
        <v>159</v>
      </c>
      <c r="B36" s="4">
        <v>1.0</v>
      </c>
      <c r="C36" s="4">
        <v>2.0</v>
      </c>
      <c r="D36" s="4">
        <v>1.0</v>
      </c>
      <c r="E36" s="4">
        <v>3.0</v>
      </c>
      <c r="F36" s="4">
        <v>9.0</v>
      </c>
      <c r="G36" s="4">
        <v>7.0</v>
      </c>
      <c r="H36" s="4">
        <v>8.0</v>
      </c>
      <c r="I36" s="4">
        <v>5.0</v>
      </c>
      <c r="J36" s="4">
        <v>3.0</v>
      </c>
      <c r="K36" s="4">
        <v>47.25</v>
      </c>
      <c r="L36" s="4">
        <v>43.95</v>
      </c>
      <c r="M36" s="21" t="s">
        <v>160</v>
      </c>
    </row>
    <row r="37">
      <c r="A37" s="4" t="s">
        <v>161</v>
      </c>
      <c r="B37" s="4">
        <v>3.0</v>
      </c>
      <c r="C37" s="4">
        <v>1.0</v>
      </c>
      <c r="D37" s="4">
        <v>2.0</v>
      </c>
      <c r="E37" s="4">
        <v>5.0</v>
      </c>
      <c r="F37" s="4">
        <v>7.0</v>
      </c>
      <c r="G37" s="4">
        <v>4.0</v>
      </c>
      <c r="H37" s="4">
        <v>10.0</v>
      </c>
      <c r="I37" s="4">
        <v>1.0</v>
      </c>
      <c r="J37" s="4">
        <v>1.0</v>
      </c>
      <c r="K37" s="4">
        <v>45.45</v>
      </c>
      <c r="L37" s="4">
        <v>44.78</v>
      </c>
      <c r="M37" s="4">
        <v>0.0</v>
      </c>
    </row>
    <row r="38">
      <c r="A38" s="4" t="s">
        <v>162</v>
      </c>
      <c r="B38" s="4">
        <v>2.0</v>
      </c>
      <c r="C38" s="4">
        <v>1.0</v>
      </c>
      <c r="D38" s="4">
        <v>1.0</v>
      </c>
      <c r="E38" s="4">
        <v>2.0</v>
      </c>
      <c r="F38" s="4">
        <v>8.0</v>
      </c>
      <c r="G38" s="4">
        <v>6.0</v>
      </c>
      <c r="H38" s="4">
        <v>5.0</v>
      </c>
      <c r="I38" s="4">
        <v>1.0</v>
      </c>
      <c r="J38" s="4">
        <v>2.0</v>
      </c>
      <c r="K38" s="4">
        <v>45.57</v>
      </c>
      <c r="L38" s="4">
        <v>58.22</v>
      </c>
      <c r="M38" s="21" t="s">
        <v>113</v>
      </c>
    </row>
    <row r="39">
      <c r="A39" s="4" t="s">
        <v>163</v>
      </c>
      <c r="B39" s="4">
        <v>0.0</v>
      </c>
      <c r="C39" s="4">
        <v>1.0</v>
      </c>
      <c r="D39" s="4">
        <v>0.0</v>
      </c>
      <c r="E39" s="4">
        <v>0.0</v>
      </c>
      <c r="F39" s="4">
        <v>6.0</v>
      </c>
      <c r="G39" s="4">
        <v>4.0</v>
      </c>
      <c r="H39" s="4">
        <v>6.0</v>
      </c>
      <c r="I39" s="4">
        <v>2.0</v>
      </c>
      <c r="J39" s="4">
        <v>0.0</v>
      </c>
      <c r="K39" s="4">
        <v>50.27</v>
      </c>
      <c r="L39" s="4">
        <v>47.96</v>
      </c>
      <c r="M39" s="4">
        <v>0.0</v>
      </c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10" max="10" width="15.63"/>
    <col customWidth="1" min="11" max="11" width="13.75"/>
  </cols>
  <sheetData>
    <row r="1">
      <c r="A1" s="5"/>
      <c r="B1" s="5"/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5"/>
      <c r="O1" s="6" t="s">
        <v>12</v>
      </c>
      <c r="P1" s="6" t="s">
        <v>3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9</v>
      </c>
      <c r="W1" s="6" t="s">
        <v>18</v>
      </c>
    </row>
    <row r="2">
      <c r="A2" s="5"/>
      <c r="B2" s="5"/>
      <c r="C2" s="6" t="s">
        <v>164</v>
      </c>
      <c r="D2" s="4">
        <f>SUMIF($O$1:$O$81, $C$2, P1:P80)</f>
        <v>18</v>
      </c>
      <c r="E2" s="9">
        <f>If($D$2 = 0, "Hasn't played", SUMIF($O$1:$O$81, $C$2, $Q$1:$Q$81)/$D$2)</f>
        <v>0.7777777778</v>
      </c>
      <c r="F2" s="9">
        <f t="shared" ref="F2:F6" si="1">If(D2 = 0, "Hasn't played", SUMIF($O$1:$O$81, C2, $R$1:$R$81)/D2)</f>
        <v>0.4444444444</v>
      </c>
      <c r="G2" s="9">
        <f t="shared" ref="G2:G6" si="2">If(D2 = 0, "Hasn't played", SUMIF($O$1:$O$81, C2, $S$1:$S$81)/D2)</f>
        <v>1.555555556</v>
      </c>
      <c r="H2" s="9">
        <f t="shared" ref="H2:H6" si="3">If(D2 = 0, "Hasn't played", SUMIF($O$1:$O$81, C2, $T$1:$T$81)/D2)</f>
        <v>2.833333333</v>
      </c>
      <c r="I2" s="9">
        <f t="shared" ref="I2:I6" si="4">If(D2 = 0, "Hasn't played", SUMIF($O$1:$O$81, C2, $U$1:$U$81)/D2)</f>
        <v>1.055555556</v>
      </c>
      <c r="J2" s="9">
        <f t="shared" ref="J2:J6" si="5">If(D2 = 0, "Hasn't played", SUMIF($O$1:$O$81, C2, $V$1:$V$81))</f>
        <v>92.53</v>
      </c>
      <c r="K2" s="9">
        <f t="shared" ref="K2:K6" si="6">If(D2 = 0, "Hasn't played", SUMIF($O$1:$O$81, C2, $W$1:$W$81)/D2)</f>
        <v>0.8333333333</v>
      </c>
      <c r="L2" s="10">
        <f t="shared" ref="L2:L6" si="7">If(D2=0, "Hasn't played", E2/H2)</f>
        <v>0.2745098039</v>
      </c>
      <c r="M2" s="5"/>
      <c r="O2" s="6" t="s">
        <v>164</v>
      </c>
      <c r="P2" s="4">
        <v>4.0</v>
      </c>
      <c r="Q2" s="4">
        <v>1.0</v>
      </c>
      <c r="R2" s="5"/>
      <c r="S2" s="4">
        <v>7.0</v>
      </c>
      <c r="T2" s="4">
        <v>10.0</v>
      </c>
      <c r="U2" s="4">
        <v>3.0</v>
      </c>
      <c r="V2" s="4">
        <v>20.0</v>
      </c>
      <c r="W2" s="4">
        <v>3.0</v>
      </c>
    </row>
    <row r="3">
      <c r="A3" s="5"/>
      <c r="B3" s="5"/>
      <c r="C3" s="6" t="s">
        <v>165</v>
      </c>
      <c r="D3" s="4">
        <f>SUMIF($O$1:$O$81, $C$3, P1:P80)</f>
        <v>17</v>
      </c>
      <c r="E3" s="9">
        <f t="shared" ref="E3:E6" si="8">If(D3 = 0, "Hasn't played", SUMIF($O$1:$O$81, C3, $Q$1:$Q$81)/D3)</f>
        <v>0.7058823529</v>
      </c>
      <c r="F3" s="9">
        <f t="shared" si="1"/>
        <v>0.6470588235</v>
      </c>
      <c r="G3" s="9">
        <f t="shared" si="2"/>
        <v>1</v>
      </c>
      <c r="H3" s="9">
        <f t="shared" si="3"/>
        <v>2.411764706</v>
      </c>
      <c r="I3" s="9">
        <f t="shared" si="4"/>
        <v>0.4705882353</v>
      </c>
      <c r="J3" s="9">
        <f t="shared" si="5"/>
        <v>87.53</v>
      </c>
      <c r="K3" s="9">
        <f t="shared" si="6"/>
        <v>0.9411764706</v>
      </c>
      <c r="L3" s="10">
        <f t="shared" si="7"/>
        <v>0.2926829268</v>
      </c>
      <c r="M3" s="5"/>
      <c r="O3" s="6" t="s">
        <v>165</v>
      </c>
      <c r="P3" s="4">
        <v>3.0</v>
      </c>
      <c r="Q3" s="4">
        <v>1.0</v>
      </c>
      <c r="R3" s="5"/>
      <c r="S3" s="4">
        <v>1.0</v>
      </c>
      <c r="T3" s="4">
        <v>5.0</v>
      </c>
      <c r="U3" s="4">
        <v>1.0</v>
      </c>
      <c r="V3" s="4">
        <v>15.0</v>
      </c>
      <c r="W3" s="4">
        <v>2.0</v>
      </c>
    </row>
    <row r="4">
      <c r="A4" s="5"/>
      <c r="B4" s="5"/>
      <c r="C4" s="6" t="s">
        <v>166</v>
      </c>
      <c r="D4" s="4">
        <f>SUMIF($O$1:$O$81, $C$4, P1:P80)</f>
        <v>7</v>
      </c>
      <c r="E4" s="9">
        <f t="shared" si="8"/>
        <v>0.5714285714</v>
      </c>
      <c r="F4" s="9">
        <f t="shared" si="1"/>
        <v>0.8571428571</v>
      </c>
      <c r="G4" s="9">
        <f t="shared" si="2"/>
        <v>1.142857143</v>
      </c>
      <c r="H4" s="9">
        <f t="shared" si="3"/>
        <v>3.571428571</v>
      </c>
      <c r="I4" s="9">
        <f t="shared" si="4"/>
        <v>1.714285714</v>
      </c>
      <c r="J4" s="9">
        <f t="shared" si="5"/>
        <v>35</v>
      </c>
      <c r="K4" s="9">
        <f t="shared" si="6"/>
        <v>0.8571428571</v>
      </c>
      <c r="L4" s="10">
        <f t="shared" si="7"/>
        <v>0.16</v>
      </c>
      <c r="M4" s="5"/>
      <c r="O4" s="6" t="s">
        <v>166</v>
      </c>
      <c r="P4" s="4">
        <v>4.0</v>
      </c>
      <c r="Q4" s="5"/>
      <c r="R4" s="4">
        <v>2.0</v>
      </c>
      <c r="S4" s="4">
        <v>5.0</v>
      </c>
      <c r="T4" s="4">
        <v>14.0</v>
      </c>
      <c r="U4" s="4">
        <v>5.0</v>
      </c>
      <c r="V4" s="4">
        <v>20.0</v>
      </c>
      <c r="W4" s="4">
        <v>5.0</v>
      </c>
    </row>
    <row r="5">
      <c r="A5" s="11"/>
      <c r="B5" s="11"/>
      <c r="C5" s="6" t="s">
        <v>167</v>
      </c>
      <c r="D5" s="4">
        <f>SUMIF($O$1:$O$81, $C$5, P1:P80)</f>
        <v>4</v>
      </c>
      <c r="E5" s="9">
        <f t="shared" si="8"/>
        <v>0.75</v>
      </c>
      <c r="F5" s="9">
        <f t="shared" si="1"/>
        <v>0.75</v>
      </c>
      <c r="G5" s="9">
        <f t="shared" si="2"/>
        <v>0.25</v>
      </c>
      <c r="H5" s="9">
        <f t="shared" si="3"/>
        <v>2.25</v>
      </c>
      <c r="I5" s="9">
        <f t="shared" si="4"/>
        <v>1</v>
      </c>
      <c r="J5" s="9">
        <f t="shared" si="5"/>
        <v>20</v>
      </c>
      <c r="K5" s="9">
        <f t="shared" si="6"/>
        <v>0.25</v>
      </c>
      <c r="L5" s="10">
        <f t="shared" si="7"/>
        <v>0.3333333333</v>
      </c>
      <c r="M5" s="5"/>
      <c r="O5" s="6" t="s">
        <v>168</v>
      </c>
      <c r="P5" s="4">
        <v>1.0</v>
      </c>
      <c r="Q5" s="5"/>
      <c r="R5" s="5"/>
      <c r="S5" s="4">
        <v>1.0</v>
      </c>
      <c r="T5" s="5"/>
      <c r="U5" s="5"/>
      <c r="V5" s="4">
        <v>5.0</v>
      </c>
      <c r="W5" s="4">
        <v>0.0</v>
      </c>
    </row>
    <row r="6">
      <c r="A6" s="11"/>
      <c r="B6" s="11"/>
      <c r="C6" s="13" t="s">
        <v>168</v>
      </c>
      <c r="D6" s="4">
        <f>SUMIF($O$1:$O$81, $C$6, P1:P82)</f>
        <v>8</v>
      </c>
      <c r="E6" s="9">
        <f t="shared" si="8"/>
        <v>0.75</v>
      </c>
      <c r="F6" s="9">
        <f t="shared" si="1"/>
        <v>0.25</v>
      </c>
      <c r="G6" s="9">
        <f t="shared" si="2"/>
        <v>1.125</v>
      </c>
      <c r="H6" s="9">
        <f t="shared" si="3"/>
        <v>2.375</v>
      </c>
      <c r="I6" s="9">
        <f t="shared" si="4"/>
        <v>0.5</v>
      </c>
      <c r="J6" s="9">
        <f t="shared" si="5"/>
        <v>42.53</v>
      </c>
      <c r="K6" s="9">
        <f t="shared" si="6"/>
        <v>0.875</v>
      </c>
      <c r="L6" s="10">
        <f t="shared" si="7"/>
        <v>0.3157894737</v>
      </c>
      <c r="M6" s="5"/>
      <c r="V6" s="6"/>
    </row>
    <row r="7">
      <c r="A7" s="11"/>
      <c r="B7" s="11"/>
      <c r="C7" s="12"/>
      <c r="D7" s="12"/>
      <c r="E7" s="11"/>
      <c r="F7" s="11"/>
      <c r="G7" s="11"/>
      <c r="H7" s="11"/>
      <c r="I7" s="11"/>
      <c r="J7" s="11"/>
      <c r="K7" s="11"/>
      <c r="L7" s="11"/>
      <c r="M7" s="5"/>
      <c r="O7" s="6" t="s">
        <v>22</v>
      </c>
      <c r="P7" s="6" t="s">
        <v>3</v>
      </c>
      <c r="Q7" s="6" t="s">
        <v>13</v>
      </c>
      <c r="R7" s="6" t="s">
        <v>14</v>
      </c>
      <c r="S7" s="6" t="s">
        <v>15</v>
      </c>
      <c r="T7" s="6" t="s">
        <v>16</v>
      </c>
      <c r="U7" s="6" t="s">
        <v>17</v>
      </c>
      <c r="V7" s="6" t="s">
        <v>9</v>
      </c>
      <c r="W7" s="6" t="s">
        <v>18</v>
      </c>
    </row>
    <row r="8">
      <c r="A8" s="11"/>
      <c r="B8" s="13" t="s">
        <v>23</v>
      </c>
      <c r="C8" s="13" t="s">
        <v>24</v>
      </c>
      <c r="D8" s="13" t="s">
        <v>25</v>
      </c>
      <c r="E8" s="14" t="s">
        <v>26</v>
      </c>
      <c r="F8" s="14" t="s">
        <v>27</v>
      </c>
      <c r="G8" s="14" t="s">
        <v>28</v>
      </c>
      <c r="H8" s="14" t="s">
        <v>29</v>
      </c>
      <c r="I8" s="14" t="s">
        <v>30</v>
      </c>
      <c r="J8" s="14" t="s">
        <v>31</v>
      </c>
      <c r="K8" s="14" t="s">
        <v>32</v>
      </c>
      <c r="L8" s="11"/>
      <c r="M8" s="7" t="s">
        <v>33</v>
      </c>
      <c r="O8" s="6" t="s">
        <v>164</v>
      </c>
      <c r="P8" s="22">
        <v>3.0</v>
      </c>
      <c r="Q8" s="22">
        <v>1.0</v>
      </c>
      <c r="R8" s="22">
        <v>1.0</v>
      </c>
      <c r="S8" s="22">
        <v>4.0</v>
      </c>
      <c r="T8" s="22">
        <v>6.0</v>
      </c>
      <c r="U8" s="22">
        <v>3.0</v>
      </c>
      <c r="V8" s="4">
        <v>15.0</v>
      </c>
      <c r="W8" s="4">
        <v>2.0</v>
      </c>
    </row>
    <row r="9">
      <c r="A9" s="11"/>
      <c r="B9" s="12">
        <v>18.0</v>
      </c>
      <c r="C9" s="12" t="s">
        <v>169</v>
      </c>
      <c r="D9" s="12" t="s">
        <v>170</v>
      </c>
      <c r="E9" s="12" t="s">
        <v>39</v>
      </c>
      <c r="F9" s="12" t="s">
        <v>37</v>
      </c>
      <c r="G9" s="12" t="s">
        <v>38</v>
      </c>
      <c r="H9" s="12">
        <v>0.0</v>
      </c>
      <c r="I9" s="12" t="s">
        <v>40</v>
      </c>
      <c r="J9" s="12" t="s">
        <v>171</v>
      </c>
      <c r="K9" s="15" t="s">
        <v>172</v>
      </c>
      <c r="L9" s="11"/>
      <c r="M9" s="16">
        <f>D11/B11</f>
        <v>0.7692307692</v>
      </c>
      <c r="O9" s="6" t="s">
        <v>165</v>
      </c>
      <c r="P9" s="22">
        <v>3.0</v>
      </c>
      <c r="Q9" s="22">
        <v>2.0</v>
      </c>
      <c r="R9" s="22">
        <v>2.0</v>
      </c>
      <c r="S9" s="22">
        <v>3.0</v>
      </c>
      <c r="T9" s="22">
        <v>6.0</v>
      </c>
      <c r="V9" s="4">
        <v>15.0</v>
      </c>
      <c r="W9" s="4">
        <v>3.0</v>
      </c>
    </row>
    <row r="10">
      <c r="A10" s="11"/>
      <c r="B10" s="8" t="s">
        <v>4</v>
      </c>
      <c r="C10" s="8" t="s">
        <v>43</v>
      </c>
      <c r="D10" s="8" t="s">
        <v>5</v>
      </c>
      <c r="E10" s="8" t="s">
        <v>6</v>
      </c>
      <c r="F10" s="8" t="s">
        <v>7</v>
      </c>
      <c r="G10" s="8" t="s">
        <v>44</v>
      </c>
      <c r="H10" s="8" t="s">
        <v>45</v>
      </c>
      <c r="I10" s="17" t="s">
        <v>46</v>
      </c>
      <c r="J10" s="17" t="s">
        <v>47</v>
      </c>
      <c r="K10" s="7" t="s">
        <v>48</v>
      </c>
      <c r="L10" s="7" t="s">
        <v>49</v>
      </c>
      <c r="M10" s="7" t="s">
        <v>11</v>
      </c>
      <c r="O10" s="6" t="s">
        <v>168</v>
      </c>
      <c r="P10" s="22">
        <v>3.0</v>
      </c>
      <c r="Q10" s="22">
        <v>2.0</v>
      </c>
      <c r="R10" s="22">
        <v>1.0</v>
      </c>
      <c r="S10" s="22">
        <v>3.0</v>
      </c>
      <c r="T10" s="22">
        <v>8.0</v>
      </c>
      <c r="U10" s="22">
        <v>2.0</v>
      </c>
      <c r="V10" s="4">
        <v>15.0</v>
      </c>
      <c r="W10" s="4">
        <v>2.0</v>
      </c>
    </row>
    <row r="11">
      <c r="A11" s="5"/>
      <c r="B11" s="18">
        <f t="shared" ref="B11:L11" si="9">AVERAGEIF(B13:B82, "&lt;&gt;")</f>
        <v>2.166666667</v>
      </c>
      <c r="C11" s="18">
        <f t="shared" si="9"/>
        <v>2.277777778</v>
      </c>
      <c r="D11" s="18">
        <f t="shared" si="9"/>
        <v>1.666666667</v>
      </c>
      <c r="E11" s="18">
        <f t="shared" si="9"/>
        <v>3.5</v>
      </c>
      <c r="F11" s="18">
        <f t="shared" si="9"/>
        <v>8.055555556</v>
      </c>
      <c r="G11" s="18">
        <f t="shared" si="9"/>
        <v>4.5</v>
      </c>
      <c r="H11" s="18">
        <f t="shared" si="9"/>
        <v>7.277777778</v>
      </c>
      <c r="I11" s="18">
        <f t="shared" si="9"/>
        <v>2.611111111</v>
      </c>
      <c r="J11" s="18">
        <f t="shared" si="9"/>
        <v>2.5</v>
      </c>
      <c r="K11" s="18">
        <f t="shared" si="9"/>
        <v>50.46722222</v>
      </c>
      <c r="L11" s="18">
        <f t="shared" si="9"/>
        <v>48.84166667</v>
      </c>
      <c r="M11" s="16">
        <f>B11/F11</f>
        <v>0.2689655172</v>
      </c>
      <c r="O11" s="6"/>
    </row>
    <row r="12">
      <c r="A12" s="14" t="s">
        <v>51</v>
      </c>
      <c r="B12" s="14" t="s">
        <v>13</v>
      </c>
      <c r="C12" s="14" t="s">
        <v>52</v>
      </c>
      <c r="D12" s="14" t="s">
        <v>14</v>
      </c>
      <c r="E12" s="14" t="s">
        <v>15</v>
      </c>
      <c r="F12" s="13" t="s">
        <v>16</v>
      </c>
      <c r="G12" s="13" t="s">
        <v>53</v>
      </c>
      <c r="H12" s="13" t="s">
        <v>54</v>
      </c>
      <c r="I12" s="13" t="s">
        <v>17</v>
      </c>
      <c r="J12" s="13" t="s">
        <v>55</v>
      </c>
      <c r="K12" s="13" t="s">
        <v>48</v>
      </c>
      <c r="L12" s="6" t="s">
        <v>49</v>
      </c>
      <c r="M12" s="6" t="s">
        <v>56</v>
      </c>
      <c r="O12" s="6" t="s">
        <v>50</v>
      </c>
      <c r="P12" s="6" t="s">
        <v>3</v>
      </c>
      <c r="Q12" s="6" t="s">
        <v>13</v>
      </c>
      <c r="R12" s="6" t="s">
        <v>14</v>
      </c>
      <c r="S12" s="6" t="s">
        <v>15</v>
      </c>
      <c r="T12" s="6" t="s">
        <v>16</v>
      </c>
      <c r="U12" s="6" t="s">
        <v>17</v>
      </c>
      <c r="V12" s="6" t="s">
        <v>9</v>
      </c>
      <c r="W12" s="6" t="s">
        <v>18</v>
      </c>
    </row>
    <row r="13">
      <c r="A13" s="19" t="s">
        <v>173</v>
      </c>
      <c r="B13" s="19">
        <v>0.0</v>
      </c>
      <c r="C13" s="19">
        <v>1.0</v>
      </c>
      <c r="D13" s="19">
        <v>0.0</v>
      </c>
      <c r="E13" s="19">
        <v>2.0</v>
      </c>
      <c r="F13" s="19">
        <v>6.0</v>
      </c>
      <c r="G13" s="19">
        <v>4.0</v>
      </c>
      <c r="H13" s="19">
        <v>4.0</v>
      </c>
      <c r="I13" s="19">
        <v>3.0</v>
      </c>
      <c r="J13" s="19">
        <v>2.0</v>
      </c>
      <c r="K13" s="19">
        <v>56.37</v>
      </c>
      <c r="L13" s="19">
        <v>56.71</v>
      </c>
      <c r="M13" s="19">
        <v>0.0</v>
      </c>
      <c r="O13" s="6" t="s">
        <v>164</v>
      </c>
      <c r="P13" s="4">
        <v>4.0</v>
      </c>
      <c r="Q13" s="4">
        <v>1.0</v>
      </c>
      <c r="R13" s="4">
        <v>2.0</v>
      </c>
      <c r="S13" s="4">
        <v>6.0</v>
      </c>
      <c r="T13" s="4">
        <v>15.0</v>
      </c>
      <c r="U13" s="4">
        <v>5.0</v>
      </c>
      <c r="V13" s="4">
        <v>22.53</v>
      </c>
      <c r="W13" s="4">
        <v>1.0</v>
      </c>
    </row>
    <row r="14">
      <c r="A14" s="4" t="s">
        <v>174</v>
      </c>
      <c r="B14" s="4">
        <v>2.0</v>
      </c>
      <c r="C14" s="4">
        <v>1.0</v>
      </c>
      <c r="D14" s="4">
        <v>2.0</v>
      </c>
      <c r="E14" s="4">
        <v>4.0</v>
      </c>
      <c r="F14" s="4">
        <v>16.0</v>
      </c>
      <c r="G14" s="4">
        <v>7.0</v>
      </c>
      <c r="H14" s="4">
        <v>7.0</v>
      </c>
      <c r="I14" s="4">
        <v>2.0</v>
      </c>
      <c r="J14" s="4">
        <v>4.0</v>
      </c>
      <c r="K14" s="4">
        <v>48.88</v>
      </c>
      <c r="L14" s="4">
        <v>49.28</v>
      </c>
      <c r="M14" s="4">
        <v>0.0</v>
      </c>
      <c r="O14" s="6" t="s">
        <v>165</v>
      </c>
      <c r="P14" s="4">
        <v>4.0</v>
      </c>
      <c r="Q14" s="4">
        <v>3.0</v>
      </c>
      <c r="R14" s="4">
        <v>2.0</v>
      </c>
      <c r="S14" s="4">
        <v>6.0</v>
      </c>
      <c r="T14" s="4">
        <v>10.0</v>
      </c>
      <c r="U14" s="4">
        <v>2.0</v>
      </c>
      <c r="V14" s="4">
        <v>22.53</v>
      </c>
      <c r="W14" s="4">
        <v>1.0</v>
      </c>
    </row>
    <row r="15">
      <c r="A15" s="4" t="s">
        <v>175</v>
      </c>
      <c r="B15" s="4">
        <v>0.0</v>
      </c>
      <c r="C15" s="4">
        <v>2.0</v>
      </c>
      <c r="D15" s="4">
        <v>0.0</v>
      </c>
      <c r="E15" s="4">
        <v>1.0</v>
      </c>
      <c r="F15" s="4">
        <v>3.0</v>
      </c>
      <c r="G15" s="4">
        <v>3.0</v>
      </c>
      <c r="H15" s="4">
        <v>4.0</v>
      </c>
      <c r="I15" s="4">
        <v>3.0</v>
      </c>
      <c r="J15" s="4">
        <v>4.0</v>
      </c>
      <c r="K15" s="4">
        <v>49.29</v>
      </c>
      <c r="L15" s="4">
        <v>34.83</v>
      </c>
      <c r="M15" s="4">
        <v>0.0</v>
      </c>
      <c r="O15" s="6" t="s">
        <v>168</v>
      </c>
      <c r="P15" s="4">
        <v>4.0</v>
      </c>
      <c r="Q15" s="5">
        <v>4.0</v>
      </c>
      <c r="R15" s="4">
        <v>1.0</v>
      </c>
      <c r="S15" s="4">
        <v>5.0</v>
      </c>
      <c r="T15" s="4">
        <v>11.0</v>
      </c>
      <c r="U15" s="4">
        <v>2.0</v>
      </c>
      <c r="V15" s="4">
        <v>22.53</v>
      </c>
      <c r="W15" s="4">
        <v>5.0</v>
      </c>
    </row>
    <row r="16">
      <c r="A16" s="20" t="s">
        <v>176</v>
      </c>
      <c r="B16" s="20">
        <v>0.0</v>
      </c>
      <c r="C16" s="20">
        <v>4.0</v>
      </c>
      <c r="D16" s="20">
        <v>0.0</v>
      </c>
      <c r="E16" s="20">
        <v>7.0</v>
      </c>
      <c r="F16" s="20">
        <v>4.0</v>
      </c>
      <c r="G16" s="20">
        <v>3.0</v>
      </c>
      <c r="H16" s="20">
        <v>13.0</v>
      </c>
      <c r="I16" s="20">
        <v>1.0</v>
      </c>
      <c r="J16" s="20">
        <v>0.0</v>
      </c>
      <c r="K16" s="20">
        <v>52.96</v>
      </c>
      <c r="L16" s="20">
        <v>37.61</v>
      </c>
      <c r="M16" s="20">
        <v>0.0</v>
      </c>
    </row>
    <row r="17">
      <c r="A17" s="4" t="s">
        <v>177</v>
      </c>
      <c r="B17" s="4">
        <v>3.0</v>
      </c>
      <c r="C17" s="4">
        <v>4.0</v>
      </c>
      <c r="D17" s="4">
        <v>2.0</v>
      </c>
      <c r="E17" s="4">
        <v>4.0</v>
      </c>
      <c r="F17" s="4">
        <v>9.0</v>
      </c>
      <c r="G17" s="4">
        <v>5.0</v>
      </c>
      <c r="H17" s="4">
        <v>10.0</v>
      </c>
      <c r="I17" s="4">
        <v>2.0</v>
      </c>
      <c r="J17" s="4">
        <v>3.0</v>
      </c>
      <c r="K17" s="4">
        <v>46.64</v>
      </c>
      <c r="L17" s="4">
        <v>41.74</v>
      </c>
      <c r="M17" s="4">
        <v>0.0</v>
      </c>
      <c r="O17" s="22" t="s">
        <v>61</v>
      </c>
      <c r="P17" s="22" t="s">
        <v>3</v>
      </c>
      <c r="Q17" s="22" t="s">
        <v>13</v>
      </c>
      <c r="R17" s="22" t="s">
        <v>14</v>
      </c>
      <c r="S17" s="22" t="s">
        <v>15</v>
      </c>
      <c r="T17" s="22" t="s">
        <v>16</v>
      </c>
      <c r="U17" s="22" t="s">
        <v>17</v>
      </c>
      <c r="V17" s="22" t="s">
        <v>9</v>
      </c>
      <c r="W17" s="22" t="s">
        <v>18</v>
      </c>
    </row>
    <row r="18">
      <c r="A18" s="4" t="s">
        <v>178</v>
      </c>
      <c r="B18" s="4">
        <v>1.0</v>
      </c>
      <c r="C18" s="4">
        <v>4.0</v>
      </c>
      <c r="D18" s="4">
        <v>1.0</v>
      </c>
      <c r="E18" s="4">
        <v>3.0</v>
      </c>
      <c r="F18" s="4">
        <v>3.0</v>
      </c>
      <c r="G18" s="4">
        <v>2.0</v>
      </c>
      <c r="H18" s="4">
        <v>9.0</v>
      </c>
      <c r="I18" s="4">
        <v>3.0</v>
      </c>
      <c r="J18" s="4">
        <v>2.0</v>
      </c>
      <c r="K18" s="4">
        <v>41.81</v>
      </c>
      <c r="L18" s="4">
        <v>37.73</v>
      </c>
      <c r="M18" s="4">
        <v>0.0</v>
      </c>
      <c r="O18" s="22" t="s">
        <v>166</v>
      </c>
      <c r="P18" s="22">
        <v>3.0</v>
      </c>
      <c r="Q18" s="22">
        <v>4.0</v>
      </c>
      <c r="R18" s="22">
        <v>4.0</v>
      </c>
      <c r="S18" s="22">
        <v>3.0</v>
      </c>
      <c r="T18" s="22">
        <v>11.0</v>
      </c>
      <c r="U18" s="22">
        <v>7.0</v>
      </c>
      <c r="V18" s="22">
        <v>15.0</v>
      </c>
      <c r="W18" s="22">
        <v>1.0</v>
      </c>
    </row>
    <row r="19">
      <c r="A19" s="20" t="s">
        <v>179</v>
      </c>
      <c r="B19" s="20">
        <v>1.0</v>
      </c>
      <c r="C19" s="20">
        <v>2.0</v>
      </c>
      <c r="D19" s="20">
        <v>1.0</v>
      </c>
      <c r="E19" s="20">
        <v>3.0</v>
      </c>
      <c r="F19" s="20">
        <v>8.0</v>
      </c>
      <c r="G19" s="20">
        <v>7.0</v>
      </c>
      <c r="H19" s="20">
        <v>8.0</v>
      </c>
      <c r="I19" s="20">
        <v>0.0</v>
      </c>
      <c r="J19" s="20">
        <v>2.0</v>
      </c>
      <c r="K19" s="20">
        <v>47.18</v>
      </c>
      <c r="L19" s="20">
        <v>48.96</v>
      </c>
      <c r="M19" s="20">
        <v>0.0</v>
      </c>
      <c r="O19" s="22" t="s">
        <v>164</v>
      </c>
      <c r="P19" s="22">
        <v>3.0</v>
      </c>
      <c r="Q19" s="22">
        <v>5.0</v>
      </c>
      <c r="R19" s="22">
        <v>3.0</v>
      </c>
      <c r="S19" s="22">
        <v>3.0</v>
      </c>
      <c r="T19" s="22">
        <v>10.0</v>
      </c>
      <c r="U19" s="22">
        <v>5.0</v>
      </c>
      <c r="V19" s="22">
        <v>15.0</v>
      </c>
      <c r="W19" s="22">
        <v>6.0</v>
      </c>
    </row>
    <row r="20">
      <c r="A20" s="4" t="s">
        <v>180</v>
      </c>
      <c r="B20" s="4">
        <v>1.0</v>
      </c>
      <c r="C20" s="4">
        <v>3.0</v>
      </c>
      <c r="D20" s="4">
        <v>1.0</v>
      </c>
      <c r="E20" s="4">
        <v>5.0</v>
      </c>
      <c r="F20" s="4">
        <v>7.0</v>
      </c>
      <c r="G20" s="4">
        <v>5.0</v>
      </c>
      <c r="H20" s="4">
        <v>10.0</v>
      </c>
      <c r="I20" s="4">
        <v>2.0</v>
      </c>
      <c r="J20" s="4">
        <v>1.0</v>
      </c>
      <c r="K20" s="4">
        <v>54.1</v>
      </c>
      <c r="L20" s="4">
        <v>51.84</v>
      </c>
      <c r="M20" s="4">
        <v>0.0</v>
      </c>
      <c r="O20" s="22" t="s">
        <v>165</v>
      </c>
      <c r="P20" s="22">
        <v>3.0</v>
      </c>
      <c r="Q20" s="22">
        <v>2.0</v>
      </c>
      <c r="R20" s="22">
        <v>1.0</v>
      </c>
      <c r="S20" s="22">
        <v>1.0</v>
      </c>
      <c r="T20" s="22">
        <v>8.0</v>
      </c>
      <c r="U20" s="22">
        <v>3.0</v>
      </c>
      <c r="V20" s="22">
        <v>15.0</v>
      </c>
      <c r="W20" s="22">
        <v>6.0</v>
      </c>
    </row>
    <row r="21">
      <c r="A21" s="4" t="s">
        <v>181</v>
      </c>
      <c r="B21" s="4">
        <v>4.0</v>
      </c>
      <c r="C21" s="4">
        <v>5.0</v>
      </c>
      <c r="D21" s="4">
        <v>1.0</v>
      </c>
      <c r="E21" s="4">
        <v>4.0</v>
      </c>
      <c r="F21" s="4">
        <v>15.0</v>
      </c>
      <c r="G21" s="4">
        <v>9.0</v>
      </c>
      <c r="H21" s="4">
        <v>13.0</v>
      </c>
      <c r="I21" s="4">
        <v>3.0</v>
      </c>
      <c r="J21" s="4">
        <v>2.0</v>
      </c>
      <c r="K21" s="4">
        <v>54.25</v>
      </c>
      <c r="L21" s="4">
        <v>50.71</v>
      </c>
      <c r="M21" s="21" t="s">
        <v>172</v>
      </c>
    </row>
    <row r="22">
      <c r="A22" s="4" t="s">
        <v>182</v>
      </c>
      <c r="B22" s="4">
        <v>2.0</v>
      </c>
      <c r="C22" s="4">
        <v>1.0</v>
      </c>
      <c r="D22" s="4">
        <v>2.0</v>
      </c>
      <c r="E22" s="4">
        <v>6.0</v>
      </c>
      <c r="F22" s="4">
        <v>8.0</v>
      </c>
      <c r="G22" s="4">
        <v>5.0</v>
      </c>
      <c r="H22" s="4">
        <v>8.0</v>
      </c>
      <c r="I22" s="4">
        <v>3.0</v>
      </c>
      <c r="J22" s="4">
        <v>2.0</v>
      </c>
      <c r="K22" s="4">
        <v>51.2</v>
      </c>
      <c r="L22" s="4">
        <v>54.37</v>
      </c>
      <c r="M22" s="4">
        <v>0.0</v>
      </c>
      <c r="O22" s="22" t="s">
        <v>68</v>
      </c>
    </row>
    <row r="23">
      <c r="A23" s="4" t="s">
        <v>183</v>
      </c>
      <c r="B23" s="4">
        <v>1.0</v>
      </c>
      <c r="C23" s="4">
        <v>2.0</v>
      </c>
      <c r="D23" s="4">
        <v>1.0</v>
      </c>
      <c r="E23" s="4">
        <v>2.0</v>
      </c>
      <c r="F23" s="4">
        <v>6.0</v>
      </c>
      <c r="G23" s="4">
        <v>3.0</v>
      </c>
      <c r="H23" s="4">
        <v>4.0</v>
      </c>
      <c r="I23" s="4">
        <v>1.0</v>
      </c>
      <c r="J23" s="4">
        <v>2.0</v>
      </c>
      <c r="K23" s="4">
        <v>47.56</v>
      </c>
      <c r="L23" s="4">
        <v>46.14</v>
      </c>
      <c r="M23" s="4">
        <v>0.0</v>
      </c>
      <c r="O23" s="22" t="s">
        <v>165</v>
      </c>
      <c r="P23" s="22">
        <v>4.0</v>
      </c>
      <c r="Q23" s="22">
        <v>4.0</v>
      </c>
      <c r="R23" s="22">
        <v>6.0</v>
      </c>
      <c r="S23" s="22">
        <v>6.0</v>
      </c>
      <c r="T23" s="22">
        <v>12.0</v>
      </c>
      <c r="U23" s="22">
        <v>2.0</v>
      </c>
      <c r="V23" s="22">
        <v>20.0</v>
      </c>
      <c r="W23" s="22">
        <v>4.0</v>
      </c>
    </row>
    <row r="24">
      <c r="A24" s="4" t="s">
        <v>184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O24" s="22" t="s">
        <v>164</v>
      </c>
      <c r="P24" s="22">
        <v>4.0</v>
      </c>
      <c r="Q24" s="22">
        <v>6.0</v>
      </c>
      <c r="R24" s="22">
        <v>2.0</v>
      </c>
      <c r="S24" s="22">
        <v>8.0</v>
      </c>
      <c r="T24" s="22">
        <v>10.0</v>
      </c>
      <c r="U24" s="22">
        <v>3.0</v>
      </c>
      <c r="V24" s="22">
        <v>20.0</v>
      </c>
      <c r="W24" s="22">
        <v>3.0</v>
      </c>
    </row>
    <row r="25">
      <c r="A25" s="4" t="s">
        <v>185</v>
      </c>
      <c r="B25" s="4">
        <v>2.0</v>
      </c>
      <c r="C25" s="4">
        <v>0.0</v>
      </c>
      <c r="D25" s="4">
        <v>2.0</v>
      </c>
      <c r="E25" s="4">
        <v>3.0</v>
      </c>
      <c r="F25" s="4">
        <v>9.0</v>
      </c>
      <c r="G25" s="4">
        <v>6.0</v>
      </c>
      <c r="H25" s="4">
        <v>4.0</v>
      </c>
      <c r="I25" s="4">
        <v>3.0</v>
      </c>
      <c r="J25" s="4">
        <v>2.0</v>
      </c>
      <c r="K25" s="4">
        <v>57.96</v>
      </c>
      <c r="L25" s="4">
        <v>60.21</v>
      </c>
      <c r="M25" s="4">
        <v>0.0</v>
      </c>
      <c r="O25" s="22" t="s">
        <v>167</v>
      </c>
      <c r="P25" s="22">
        <v>4.0</v>
      </c>
      <c r="Q25" s="22">
        <v>3.0</v>
      </c>
      <c r="R25" s="22">
        <v>3.0</v>
      </c>
      <c r="S25" s="22">
        <v>1.0</v>
      </c>
      <c r="T25" s="22">
        <v>9.0</v>
      </c>
      <c r="U25" s="22">
        <v>4.0</v>
      </c>
      <c r="V25" s="22">
        <v>20.0</v>
      </c>
      <c r="W25" s="22">
        <v>1.0</v>
      </c>
    </row>
    <row r="26">
      <c r="A26" s="4" t="s">
        <v>186</v>
      </c>
      <c r="B26" s="4">
        <v>4.0</v>
      </c>
      <c r="C26" s="4">
        <v>1.0</v>
      </c>
      <c r="D26" s="4">
        <v>2.0</v>
      </c>
      <c r="E26" s="4">
        <v>2.0</v>
      </c>
      <c r="F26" s="4">
        <v>11.0</v>
      </c>
      <c r="G26" s="4">
        <v>6.0</v>
      </c>
      <c r="H26" s="4">
        <v>4.0</v>
      </c>
      <c r="I26" s="4">
        <v>5.0</v>
      </c>
      <c r="J26" s="4">
        <v>8.0</v>
      </c>
      <c r="K26" s="4">
        <v>55.82</v>
      </c>
      <c r="L26" s="4">
        <v>50.85</v>
      </c>
      <c r="M26" s="4">
        <v>0.0</v>
      </c>
    </row>
    <row r="27">
      <c r="A27" s="4" t="s">
        <v>187</v>
      </c>
      <c r="B27" s="4">
        <v>5.0</v>
      </c>
      <c r="C27" s="4">
        <v>2.0</v>
      </c>
      <c r="D27" s="4">
        <v>4.0</v>
      </c>
      <c r="E27" s="4">
        <v>2.0</v>
      </c>
      <c r="F27" s="4">
        <v>9.0</v>
      </c>
      <c r="G27" s="4">
        <v>4.0</v>
      </c>
      <c r="H27" s="4">
        <v>7.0</v>
      </c>
      <c r="I27" s="4">
        <v>7.0</v>
      </c>
      <c r="J27" s="4">
        <v>3.0</v>
      </c>
      <c r="K27" s="4">
        <v>52.51</v>
      </c>
      <c r="L27" s="4">
        <v>61.45</v>
      </c>
      <c r="M27" s="4">
        <v>0.0</v>
      </c>
    </row>
    <row r="28">
      <c r="A28" s="4" t="s">
        <v>188</v>
      </c>
      <c r="B28" s="4">
        <v>4.0</v>
      </c>
      <c r="C28" s="4">
        <v>3.0</v>
      </c>
      <c r="D28" s="4">
        <v>3.0</v>
      </c>
      <c r="E28" s="4">
        <v>2.0</v>
      </c>
      <c r="F28" s="4">
        <v>7.0</v>
      </c>
      <c r="G28" s="4">
        <v>0.0</v>
      </c>
      <c r="H28" s="4">
        <v>5.0</v>
      </c>
      <c r="I28" s="4">
        <v>2.0</v>
      </c>
      <c r="J28" s="4">
        <v>2.0</v>
      </c>
      <c r="K28" s="4">
        <v>48.72</v>
      </c>
      <c r="L28" s="4">
        <v>36.63</v>
      </c>
      <c r="M28" s="4">
        <v>0.0</v>
      </c>
    </row>
    <row r="29">
      <c r="A29" s="4" t="s">
        <v>189</v>
      </c>
      <c r="B29" s="4">
        <v>2.0</v>
      </c>
      <c r="C29" s="4">
        <v>0.0</v>
      </c>
      <c r="D29" s="4">
        <v>2.0</v>
      </c>
      <c r="E29" s="4">
        <v>6.0</v>
      </c>
      <c r="F29" s="4">
        <v>6.0</v>
      </c>
      <c r="G29" s="4">
        <v>4.0</v>
      </c>
      <c r="H29" s="4">
        <v>6.0</v>
      </c>
      <c r="I29" s="4">
        <v>2.0</v>
      </c>
      <c r="J29" s="4">
        <v>0.0</v>
      </c>
      <c r="K29" s="4">
        <v>50.57</v>
      </c>
      <c r="L29" s="4">
        <v>54.62</v>
      </c>
      <c r="M29" s="4">
        <v>0.0</v>
      </c>
    </row>
    <row r="30">
      <c r="A30" s="4" t="s">
        <v>190</v>
      </c>
      <c r="B30" s="4">
        <v>1.0</v>
      </c>
      <c r="C30" s="4">
        <v>2.0</v>
      </c>
      <c r="D30" s="4">
        <v>1.0</v>
      </c>
      <c r="E30" s="4">
        <v>6.0</v>
      </c>
      <c r="F30" s="4">
        <v>6.0</v>
      </c>
      <c r="G30" s="4">
        <v>2.0</v>
      </c>
      <c r="H30" s="4">
        <v>9.0</v>
      </c>
      <c r="I30" s="4">
        <v>4.0</v>
      </c>
      <c r="J30" s="4">
        <v>2.0</v>
      </c>
      <c r="K30" s="4">
        <v>44.46</v>
      </c>
      <c r="L30" s="4">
        <v>50.36</v>
      </c>
      <c r="M30" s="4">
        <v>0.0</v>
      </c>
    </row>
    <row r="31">
      <c r="A31" s="4" t="s">
        <v>191</v>
      </c>
      <c r="B31" s="4">
        <v>6.0</v>
      </c>
      <c r="C31" s="4">
        <v>4.0</v>
      </c>
      <c r="D31" s="4">
        <v>5.0</v>
      </c>
      <c r="E31" s="4">
        <v>1.0</v>
      </c>
      <c r="F31" s="4">
        <v>12.0</v>
      </c>
      <c r="G31" s="4">
        <v>6.0</v>
      </c>
      <c r="H31" s="4">
        <v>6.0</v>
      </c>
      <c r="I31" s="4">
        <v>1.0</v>
      </c>
      <c r="J31" s="4">
        <v>4.0</v>
      </c>
      <c r="K31" s="4">
        <v>48.13</v>
      </c>
      <c r="L31" s="4">
        <v>55.11</v>
      </c>
      <c r="M31" s="4">
        <v>0.0</v>
      </c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0"/>
  </cols>
  <sheetData>
    <row r="1">
      <c r="B1" s="17" t="s">
        <v>23</v>
      </c>
      <c r="C1" s="17" t="s">
        <v>24</v>
      </c>
      <c r="D1" s="17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32</v>
      </c>
    </row>
    <row r="2">
      <c r="A2" s="24" t="s">
        <v>192</v>
      </c>
      <c r="B2" s="25">
        <f>OAFT!B9</f>
        <v>19</v>
      </c>
      <c r="C2" s="25" t="str">
        <f>OAFT!C9</f>
        <v>2-4 (2-3)</v>
      </c>
      <c r="D2" s="25" t="str">
        <f>OAFT!D9</f>
        <v>9-13 (9-10)</v>
      </c>
      <c r="E2" s="25" t="str">
        <f>OAFT!E9</f>
        <v>3 (3-0)</v>
      </c>
      <c r="F2" s="25" t="str">
        <f>OAFT!F9</f>
        <v>2 (1-1)</v>
      </c>
      <c r="G2" s="25" t="str">
        <f>OAFT!G9</f>
        <v>3 (1-2)</v>
      </c>
      <c r="H2" s="25" t="str">
        <f>OAFT!H9</f>
        <v>1 (0-1)</v>
      </c>
      <c r="I2" s="25" t="str">
        <f>OAFT!I9</f>
        <v>3 (2-1)</v>
      </c>
      <c r="J2" s="25" t="str">
        <f>OAFT!J9</f>
        <v>6 (3-3)</v>
      </c>
      <c r="K2" s="25" t="str">
        <f>OAFT!K9</f>
        <v>7:44</v>
      </c>
    </row>
    <row r="3">
      <c r="A3" s="26">
        <v>990.0</v>
      </c>
      <c r="B3" s="27">
        <f>'990'!B9</f>
        <v>22</v>
      </c>
      <c r="C3" s="27" t="str">
        <f>'990'!C9</f>
        <v>0-6</v>
      </c>
      <c r="D3" s="28">
        <f>'990'!D9</f>
        <v>43939</v>
      </c>
      <c r="E3" s="27" t="str">
        <f>'990'!E9</f>
        <v>6 (0-6)</v>
      </c>
      <c r="F3" s="27" t="str">
        <f>'990'!F9</f>
        <v>3 (0-3)</v>
      </c>
      <c r="G3" s="27" t="str">
        <f>'990'!G9</f>
        <v>3 (0-3)</v>
      </c>
      <c r="H3" s="27" t="str">
        <f>'990'!H9</f>
        <v>1 (0-1)</v>
      </c>
      <c r="I3" s="27" t="str">
        <f>'990'!I9</f>
        <v>1 (0-1)</v>
      </c>
      <c r="J3" s="27" t="str">
        <f>'990'!J9</f>
        <v>8 (2-6)</v>
      </c>
      <c r="K3" s="27" t="str">
        <f>'990'!K9</f>
        <v>5:16</v>
      </c>
    </row>
    <row r="4">
      <c r="A4" s="6" t="s">
        <v>193</v>
      </c>
      <c r="B4" s="5">
        <f>PKRK!B9</f>
        <v>27</v>
      </c>
      <c r="C4" s="29">
        <f>PKRK!C9</f>
        <v>43923</v>
      </c>
      <c r="D4" s="5" t="str">
        <f>PKRK!D9</f>
        <v>16-11</v>
      </c>
      <c r="E4" s="5" t="str">
        <f>PKRK!E9</f>
        <v>5 (4-1)</v>
      </c>
      <c r="F4" s="5" t="str">
        <f>PKRK!F9</f>
        <v>1 (1-0)</v>
      </c>
      <c r="G4" s="5" t="str">
        <f>PKRK!G9</f>
        <v>5 (3-2)</v>
      </c>
      <c r="H4" s="5" t="str">
        <f>PKRK!H9</f>
        <v>4 (2-2)</v>
      </c>
      <c r="I4" s="5" t="str">
        <f>PKRK!I9</f>
        <v>6 (4-2)</v>
      </c>
      <c r="J4" s="5" t="str">
        <f>PKRK!J9</f>
        <v>10 (8-2)</v>
      </c>
      <c r="K4" s="5" t="str">
        <f>PKRK!K9</f>
        <v>6:37</v>
      </c>
    </row>
    <row r="5">
      <c r="A5" s="30" t="s">
        <v>194</v>
      </c>
      <c r="B5" s="31">
        <f>Cute!B9</f>
        <v>18</v>
      </c>
      <c r="C5" s="32" t="str">
        <f>Cute!C9</f>
        <v>3-3 (2-3)</v>
      </c>
      <c r="D5" s="32" t="str">
        <f>Cute!D9</f>
        <v>11-10 (8-10)</v>
      </c>
      <c r="E5" s="32" t="str">
        <f>Cute!E9</f>
        <v>1 (0-1)</v>
      </c>
      <c r="F5" s="32" t="str">
        <f>Cute!F9</f>
        <v>2 (1-1)</v>
      </c>
      <c r="G5" s="32" t="str">
        <f>Cute!G9</f>
        <v>3 (1-2)</v>
      </c>
      <c r="H5" s="32">
        <f>Cute!H9</f>
        <v>0</v>
      </c>
      <c r="I5" s="32" t="str">
        <f>Cute!I9</f>
        <v>3 (2-1)</v>
      </c>
      <c r="J5" s="32" t="str">
        <f>Cute!J9</f>
        <v>4 (1-3)</v>
      </c>
      <c r="K5" s="32" t="str">
        <f>Cute!K9</f>
        <v>2:32</v>
      </c>
    </row>
    <row r="8">
      <c r="B8" s="8" t="s">
        <v>4</v>
      </c>
      <c r="C8" s="8" t="s">
        <v>43</v>
      </c>
      <c r="D8" s="8" t="s">
        <v>5</v>
      </c>
      <c r="E8" s="8" t="s">
        <v>6</v>
      </c>
      <c r="F8" s="8" t="s">
        <v>7</v>
      </c>
      <c r="G8" s="8" t="s">
        <v>44</v>
      </c>
      <c r="H8" s="8" t="s">
        <v>45</v>
      </c>
      <c r="I8" s="17" t="s">
        <v>46</v>
      </c>
      <c r="J8" s="17" t="s">
        <v>47</v>
      </c>
      <c r="K8" s="7" t="s">
        <v>48</v>
      </c>
      <c r="L8" s="7" t="s">
        <v>49</v>
      </c>
      <c r="M8" s="7" t="s">
        <v>11</v>
      </c>
      <c r="N8" s="7" t="s">
        <v>33</v>
      </c>
    </row>
    <row r="9">
      <c r="A9" s="24" t="s">
        <v>192</v>
      </c>
      <c r="B9" s="33">
        <f>OAFT!B11</f>
        <v>2.315789474</v>
      </c>
      <c r="C9" s="33">
        <f>OAFT!C11</f>
        <v>2.157894737</v>
      </c>
      <c r="D9" s="33">
        <f>OAFT!D11</f>
        <v>1.684210526</v>
      </c>
      <c r="E9" s="33">
        <f>OAFT!E11</f>
        <v>4.842105263</v>
      </c>
      <c r="F9" s="33">
        <f>OAFT!F11</f>
        <v>7.157894737</v>
      </c>
      <c r="G9" s="33">
        <f>OAFT!G11</f>
        <v>3.5</v>
      </c>
      <c r="H9" s="33">
        <f>OAFT!H11</f>
        <v>8.666666667</v>
      </c>
      <c r="I9" s="33">
        <f>OAFT!I11</f>
        <v>1.941176471</v>
      </c>
      <c r="J9" s="33">
        <f>OAFT!J11</f>
        <v>2.294117647</v>
      </c>
      <c r="K9" s="33">
        <f>OAFT!K11</f>
        <v>49.8775</v>
      </c>
      <c r="L9" s="33">
        <f>OAFT!L11</f>
        <v>50.4075</v>
      </c>
      <c r="M9" s="34">
        <f>OAFT!M11</f>
        <v>0.3235294118</v>
      </c>
      <c r="N9" s="34">
        <f>OAFT!$M$9</f>
        <v>0.7272727273</v>
      </c>
    </row>
    <row r="10">
      <c r="A10" s="26">
        <v>990.0</v>
      </c>
      <c r="B10" s="35">
        <f>'990'!B11</f>
        <v>1.363636364</v>
      </c>
      <c r="C10" s="35">
        <f>'990'!C11</f>
        <v>2.909090909</v>
      </c>
      <c r="D10" s="35">
        <f>'990'!D11</f>
        <v>0.8181818182</v>
      </c>
      <c r="E10" s="35">
        <f>'990'!E11</f>
        <v>3.090909091</v>
      </c>
      <c r="F10" s="35">
        <f>'990'!F11</f>
        <v>5.454545455</v>
      </c>
      <c r="G10" s="35">
        <f>'990'!G11</f>
        <v>3.045454545</v>
      </c>
      <c r="H10" s="35">
        <f>'990'!H11</f>
        <v>8.363636364</v>
      </c>
      <c r="I10" s="35">
        <f>'990'!I11</f>
        <v>1.818181818</v>
      </c>
      <c r="J10" s="35">
        <f>'990'!J11</f>
        <v>2.5</v>
      </c>
      <c r="K10" s="35">
        <f>'990'!K11</f>
        <v>48.44409091</v>
      </c>
      <c r="L10" s="35">
        <f>'990'!L11</f>
        <v>45.52363636</v>
      </c>
      <c r="M10" s="36">
        <f>'990'!M11</f>
        <v>0.25</v>
      </c>
      <c r="N10" s="36">
        <f>'990'!$M$9</f>
        <v>0.6</v>
      </c>
    </row>
    <row r="11">
      <c r="A11" s="6" t="s">
        <v>193</v>
      </c>
      <c r="B11" s="37">
        <f>PKRK!B11</f>
        <v>2.703703704</v>
      </c>
      <c r="C11" s="37">
        <f>PKRK!C11</f>
        <v>1.814814815</v>
      </c>
      <c r="D11" s="37">
        <f>PKRK!D11</f>
        <v>1.666666667</v>
      </c>
      <c r="E11" s="37">
        <f>PKRK!E11</f>
        <v>3.333333333</v>
      </c>
      <c r="F11" s="37">
        <f>PKRK!F11</f>
        <v>7.814814815</v>
      </c>
      <c r="G11" s="37">
        <f>PKRK!G11</f>
        <v>3.555555556</v>
      </c>
      <c r="H11" s="37">
        <f>PKRK!H11</f>
        <v>6.259259259</v>
      </c>
      <c r="I11" s="37">
        <f>PKRK!I11</f>
        <v>1.592592593</v>
      </c>
      <c r="J11" s="37">
        <f>PKRK!J11</f>
        <v>1.777777778</v>
      </c>
      <c r="K11" s="37">
        <f>PKRK!K11</f>
        <v>50.36444444</v>
      </c>
      <c r="L11" s="37">
        <f>PKRK!L11</f>
        <v>52.42148148</v>
      </c>
      <c r="M11" s="16">
        <f>PKRK!M11</f>
        <v>0.345971564</v>
      </c>
      <c r="N11" s="16">
        <f>PKRK!$M$9</f>
        <v>0.6164383562</v>
      </c>
    </row>
    <row r="12">
      <c r="A12" s="30" t="s">
        <v>194</v>
      </c>
      <c r="B12" s="38">
        <f>Cute!B11</f>
        <v>2.166666667</v>
      </c>
      <c r="C12" s="38">
        <f>Cute!C11</f>
        <v>2.277777778</v>
      </c>
      <c r="D12" s="38">
        <f>Cute!D11</f>
        <v>1.666666667</v>
      </c>
      <c r="E12" s="38">
        <f>Cute!E11</f>
        <v>3.5</v>
      </c>
      <c r="F12" s="38">
        <f>Cute!F11</f>
        <v>8.055555556</v>
      </c>
      <c r="G12" s="38">
        <f>Cute!G11</f>
        <v>4.5</v>
      </c>
      <c r="H12" s="38">
        <f>Cute!H11</f>
        <v>7.277777778</v>
      </c>
      <c r="I12" s="38">
        <f>Cute!I11</f>
        <v>2.611111111</v>
      </c>
      <c r="J12" s="38">
        <f>Cute!J11</f>
        <v>2.5</v>
      </c>
      <c r="K12" s="38">
        <f>Cute!K11</f>
        <v>50.46722222</v>
      </c>
      <c r="L12" s="38">
        <f>Cute!L11</f>
        <v>48.84166667</v>
      </c>
      <c r="M12" s="39">
        <f>Cute!M11</f>
        <v>0.2689655172</v>
      </c>
      <c r="N12" s="40">
        <f>Cute!$M$9</f>
        <v>0.7692307692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3" max="3" width="19.38"/>
    <col customWidth="1" min="5" max="5" width="19.38"/>
    <col customWidth="1" min="7" max="7" width="19.63"/>
    <col customWidth="1" min="9" max="9" width="17.63"/>
    <col customWidth="1" min="12" max="12" width="19.13"/>
    <col customWidth="1" min="14" max="14" width="16.88"/>
    <col customWidth="1" min="16" max="16" width="19.0"/>
    <col customWidth="1" min="17" max="17" width="11.13"/>
    <col customWidth="1" min="18" max="18" width="17.75"/>
    <col customWidth="1" min="20" max="20" width="18.25"/>
  </cols>
  <sheetData>
    <row r="1">
      <c r="A1" s="41" t="s">
        <v>195</v>
      </c>
      <c r="B1" s="6"/>
      <c r="C1" s="14"/>
      <c r="D1" s="14"/>
      <c r="E1" s="14"/>
      <c r="F1" s="14"/>
      <c r="G1" s="6"/>
      <c r="I1" s="6"/>
      <c r="J1" s="6"/>
      <c r="K1" s="6"/>
      <c r="L1" s="42"/>
      <c r="M1" s="6"/>
      <c r="N1" s="14"/>
      <c r="O1" s="14"/>
      <c r="P1" s="14"/>
      <c r="Q1" s="14"/>
      <c r="R1" s="6"/>
    </row>
    <row r="2">
      <c r="A2" s="43" t="s">
        <v>196</v>
      </c>
      <c r="B2" s="44" t="s">
        <v>4</v>
      </c>
      <c r="C2" s="43" t="s">
        <v>197</v>
      </c>
      <c r="D2" s="44" t="s">
        <v>5</v>
      </c>
      <c r="E2" s="43" t="s">
        <v>198</v>
      </c>
      <c r="F2" s="44" t="s">
        <v>6</v>
      </c>
      <c r="G2" s="43" t="s">
        <v>199</v>
      </c>
      <c r="H2" s="44" t="s">
        <v>8</v>
      </c>
      <c r="I2" s="43" t="s">
        <v>200</v>
      </c>
      <c r="J2" s="44" t="s">
        <v>201</v>
      </c>
      <c r="K2" s="6"/>
      <c r="L2" s="45"/>
      <c r="M2" s="46"/>
      <c r="N2" s="45"/>
      <c r="O2" s="46"/>
      <c r="P2" s="45"/>
      <c r="Q2" s="46"/>
      <c r="R2" s="45"/>
      <c r="S2" s="46"/>
      <c r="T2" s="6"/>
      <c r="U2" s="6"/>
    </row>
    <row r="3">
      <c r="A3" s="47" t="str">
        <f t="array" ref="A3">INDEX($A$18:$A$31, MATCH(LARGE(C18:C31, 1), C18:C31, 0))</f>
        <v>Hunter</v>
      </c>
      <c r="B3" s="48">
        <f>LARGE($C$18:$C$31, 1)</f>
        <v>1.222222222</v>
      </c>
      <c r="C3" s="47" t="str">
        <f t="array" ref="C3">INDEX($A$18:$A$31, MATCH(LARGE(D18:D31, 1), D18:D31, 0))</f>
        <v>RadPanda</v>
      </c>
      <c r="D3" s="48">
        <f>LARGE($D$18:$D$31, 1)</f>
        <v>0.8571428571</v>
      </c>
      <c r="E3" s="47" t="str">
        <f t="array" ref="E3">INDEX($A$18:$A$31, MATCH(LARGE(E18:E31, 1), E18:E31, 0))</f>
        <v>Rainbow</v>
      </c>
      <c r="F3" s="48">
        <f>LARGE($E$18:$E$31, 1)</f>
        <v>1.789473684</v>
      </c>
      <c r="G3" s="47" t="str">
        <f t="array" ref="G3">INDEX($A$18:$A$31, MATCH(LARGE(G18:G31, 1), G18:G31, 0))</f>
        <v>RadPanda</v>
      </c>
      <c r="H3" s="48">
        <f>LARGE($G$18:$G$31, 1)</f>
        <v>1.714285714</v>
      </c>
      <c r="I3" s="47" t="str">
        <f t="array" ref="I3">INDEX($A$18:$A$31, MATCH(LARGE(H18:H31, 1), H18:H31, 0))</f>
        <v>Yoshi</v>
      </c>
      <c r="J3" s="48">
        <f>LARGE($H$18:$H$31, 1)</f>
        <v>1.058823529</v>
      </c>
      <c r="K3" s="6"/>
      <c r="L3" s="49"/>
      <c r="M3" s="50"/>
      <c r="N3" s="49"/>
      <c r="O3" s="50"/>
      <c r="P3" s="49"/>
      <c r="Q3" s="50"/>
      <c r="R3" s="49"/>
      <c r="S3" s="50"/>
      <c r="T3" s="4"/>
      <c r="U3" s="4"/>
    </row>
    <row r="4">
      <c r="A4" s="6" t="str">
        <f t="array" ref="A4">IF(IFNA(MATCH(INDEX($A$18:$A$31, MATCH(LARGE($C$18:$C$31, (ROW(A4) - 2)), $C$18:$C$31, 0)), $A$3:A3, 0), FALSE()), INDEX($A$18:$A$31, SMALL(IF($C$18:$C$31 = B4, ROW($C$18:$C$31) - MIN(ROW($C$18:$C$31)) + 1), (ROW(A4) -1) -MATCH(INDEX($A$18:$A$31, MATCH(LARGE($C$18:$C$31, (ROW(A4) - 2)), $C$18:$C$31, 0)), $A$3:A3, 0))), INDEX($A$18:$A$31, MATCH(LARGE($C$18:$C$31, (ROW(A4) - 2)), $C$18:$C$31, 0)))</f>
        <v>Rainbow</v>
      </c>
      <c r="B4" s="48">
        <f>LARGE($C$18:$C$31, 2)</f>
        <v>1.157894737</v>
      </c>
      <c r="C4" s="6" t="str">
        <f t="array" ref="C4">IF(IFNA(MATCH(INDEX($A$18:$A$31, MATCH(LARGE($D$18:$D$31, (ROW(C4) - 2)), $D$18:$D$31, 0)), $C$3:C3, 0), FALSE()), INDEX($A$18:$A$31, SMALL(IF($D$18:$D$31 = D4, ROW($D$18:$D$31) - MIN(ROW($D$18:$D$31)) + 1), (ROW(C4) -1) -MATCH(INDEX($A$18:$A$31, MATCH(LARGE($D$18:$D$31, (ROW(C4) - 2)), $D$18:$D$31, 0)), $C$3:C3, 0))), INDEX($A$18:$A$31, MATCH(LARGE($D$18:$D$31, (ROW(C4) - 2)), $D$18:$D$31, 0)))</f>
        <v>Hymel</v>
      </c>
      <c r="D4" s="48">
        <f>LARGE($D$18:$D$31, 2)</f>
        <v>0.6470588235</v>
      </c>
      <c r="E4" s="6" t="str">
        <f t="array" ref="E4">IF(IFNA(MATCH(INDEX($A$18:$A$31, MATCH(LARGE($E$18:$E$31, (ROW(E4) - 2)), $E$18:$E$31, 0)), $E$3:E3, 0), FALSE()), INDEX($A$18:$A$31, SMALL(IF($E$18:$E$31 = F4, ROW($E$18:$E$31) - MIN(ROW($E$18:$E$31)) + 1), (ROW(E4) -1) -MATCH(INDEX($A$18:$A$31, MATCH(LARGE($E$18:$E$31, (ROW(E4) - 2)), $E$18:$E$31, 0)), $E$3:E3, 0))), INDEX($A$18:$A$31, MATCH(LARGE($E$18:$E$31, (ROW(E4) - 2)), $E$18:$E$31, 0)))</f>
        <v>Rel</v>
      </c>
      <c r="F4" s="48">
        <f>LARGE($E$18:$E$31, 2)</f>
        <v>1.736842105</v>
      </c>
      <c r="G4" s="6" t="str">
        <f t="array" ref="G4">IF(IFNA(MATCH(INDEX($A$18:$A$31, MATCH(LARGE($G$18:$G$31, (ROW(G4) - 2)), $G$18:$G$31, 0)), $G$3:G3, 0), FALSE()), INDEX($A$18:$A$31, SMALL(IF($G$18:$G$31 = H4, ROW($G$18:$G$31) - MIN(ROW($G$18:$G$31)) + 1), (ROW(G4) -1) -MATCH(INDEX($A$18:$A$31, MATCH(LARGE($G$18:$G$31, (ROW(G4) - 2)), $G$18:$G$31, 0)), $G$3:G3, 0))), INDEX($A$18:$A$31, MATCH(LARGE($G$18:$G$31, (ROW(G4) - 2)), $G$18:$G$31, 0)))</f>
        <v>Jdub</v>
      </c>
      <c r="H4" s="48">
        <f>LARGE($G$18:$G$31, 2)</f>
        <v>1.055555556</v>
      </c>
      <c r="I4" s="6" t="str">
        <f t="array" ref="I4">IF(IFNA(MATCH(INDEX($A$18:$A$31, MATCH(LARGE($H$18:$H$31, (ROW(I4) - 2)), $H$18:$H$31, 0)), $I$3:I3, 0), FALSE()), INDEX($A$18:$A$31, SMALL(IF($H$18:$H$31 = J4, ROW($H$18:$H$31) - MIN(ROW($H$18:$H$31)) + 1), (ROW(I4) -1) -MATCH(INDEX($A$18:$A$31, MATCH(LARGE($H$18:$H$31, (ROW(I4) - 2)), $H$18:$H$31, 0)), $I$3:I3, 0))), INDEX($A$18:$A$31, MATCH(LARGE($H$18:$H$31, (ROW(I4) - 2)), $H$18:$H$31, 0)))</f>
        <v>Hymel</v>
      </c>
      <c r="J4" s="48">
        <f>LARGE($H$18:$H$31, 2)</f>
        <v>0.9411764706</v>
      </c>
      <c r="K4" s="6"/>
      <c r="L4" s="49"/>
      <c r="M4" s="50"/>
      <c r="N4" s="51"/>
      <c r="O4" s="50"/>
      <c r="P4" s="49"/>
      <c r="Q4" s="50"/>
      <c r="R4" s="52"/>
      <c r="S4" s="50"/>
      <c r="T4" s="4"/>
      <c r="U4" s="4"/>
    </row>
    <row r="5">
      <c r="A5" s="6" t="str">
        <f t="array" ref="A5">IF(IFNA(MATCH(INDEX($A$18:$A$31, MATCH(LARGE($C$18:$C$31, (ROW(A5) - 2)), $C$18:$C$31, 0)), $A$3:A4, 0), FALSE()), INDEX($A$18:$A$31, SMALL(IF($C$18:$C$31 = B5, ROW($C$18:$C$31) - MIN(ROW($C$18:$C$31)) + 1), (ROW(A5) -1) -MATCH(INDEX($A$18:$A$31, MATCH(LARGE($C$18:$C$31, (ROW(A5) - 2)), $C$18:$C$31, 0)), $A$3:A4, 0))), INDEX($A$18:$A$31, MATCH(LARGE($C$18:$C$31, (ROW(A5) - 2)), $C$18:$C$31, 0)))</f>
        <v>Whale</v>
      </c>
      <c r="B5" s="48">
        <f>LARGE($C$18:$C$31, 3)</f>
        <v>1.090909091</v>
      </c>
      <c r="C5" s="6" t="str">
        <f t="array" ref="C5">IF(IFNA(MATCH(INDEX($A$18:$A$31, MATCH(LARGE($D$18:$D$31, (ROW(C5) - 2)), $D$18:$D$31, 0)), $C$3:C4, 0), FALSE()), INDEX($A$18:$A$31, SMALL(IF($D$18:$D$31 = D5, ROW($D$18:$D$31) - MIN(ROW($D$18:$D$31)) + 1), (ROW(C5) -1) -MATCH(INDEX($A$18:$A$31, MATCH(LARGE($D$18:$D$31, (ROW(C5) - 2)), $D$18:$D$31, 0)), $C$3:C4, 0))), INDEX($A$18:$A$31, MATCH(LARGE($D$18:$D$31, (ROW(C5) - 2)), $D$18:$D$31, 0)))</f>
        <v>Rel</v>
      </c>
      <c r="D5" s="48">
        <f>LARGE($D$18:$D$31, 3)</f>
        <v>0.6315789474</v>
      </c>
      <c r="E5" s="6" t="str">
        <f t="array" ref="E5">IF(IFNA(MATCH(INDEX($A$18:$A$31, MATCH(LARGE($E$18:$E$31, (ROW(E5) - 2)), $E$18:$E$31, 0)), $E$3:E4, 0), FALSE()), INDEX($A$18:$A$31, SMALL(IF($E$18:$E$31 = F5, ROW($E$18:$E$31) - MIN(ROW($E$18:$E$31)) + 1), (ROW(E5) -1) -MATCH(INDEX($A$18:$A$31, MATCH(LARGE($E$18:$E$31, (ROW(E5) - 2)), $E$18:$E$31, 0)), $E$3:E4, 0))), INDEX($A$18:$A$31, MATCH(LARGE($E$18:$E$31, (ROW(E5) - 2)), $E$18:$E$31, 0)))</f>
        <v>Jdub</v>
      </c>
      <c r="F5" s="48">
        <f>LARGE($E$18:$E$31, 3)</f>
        <v>1.555555556</v>
      </c>
      <c r="G5" s="6" t="str">
        <f t="array" ref="G5">IF(IFNA(MATCH(INDEX($A$18:$A$31, MATCH(LARGE($G$18:$G$31, (ROW(G5) - 2)), $G$18:$G$31, 0)), $G$3:G4, 0), FALSE()), INDEX($A$18:$A$31, SMALL(IF($G$18:$G$31 = H5, ROW($G$18:$G$31) - MIN(ROW($G$18:$G$31)) + 1), (ROW(G5) -1) -MATCH(INDEX($A$18:$A$31, MATCH(LARGE($G$18:$G$31, (ROW(G5) - 2)), $G$18:$G$31, 0)), $G$3:G4, 0))), INDEX($A$18:$A$31, MATCH(LARGE($G$18:$G$31, (ROW(G5) - 2)), $G$18:$G$31, 0)))</f>
        <v>Whale</v>
      </c>
      <c r="H5" s="48">
        <f>LARGE($G$18:$G$31, 3)</f>
        <v>1.045454545</v>
      </c>
      <c r="I5" s="6" t="str">
        <f t="array" ref="I5">IF(IFNA(MATCH(INDEX($A$18:$A$31, MATCH(LARGE($H$18:$H$31, (ROW(I5) - 2)), $H$18:$H$31, 0)), $I$3:I4, 0), FALSE()), INDEX($A$18:$A$31, SMALL(IF($H$18:$H$31 = J5, ROW($H$18:$H$31) - MIN(ROW($H$18:$H$31)) + 1), (ROW(I5) -1) -MATCH(INDEX($A$18:$A$31, MATCH(LARGE($H$18:$H$31, (ROW(I5) - 2)), $H$18:$H$31, 0)), $I$3:I4, 0))), INDEX($A$18:$A$31, MATCH(LARGE($H$18:$H$31, (ROW(I5) - 2)), $H$18:$H$31, 0)))</f>
        <v>TK Moose</v>
      </c>
      <c r="J5" s="48">
        <f>LARGE($H$18:$H$31, 3)</f>
        <v>0.875</v>
      </c>
      <c r="K5" s="6"/>
      <c r="L5" s="49"/>
      <c r="M5" s="50"/>
      <c r="N5" s="53"/>
      <c r="O5" s="50"/>
      <c r="P5" s="53"/>
      <c r="Q5" s="50"/>
      <c r="R5" s="53"/>
      <c r="S5" s="50"/>
      <c r="T5" s="4"/>
      <c r="U5" s="4"/>
    </row>
    <row r="6">
      <c r="A6" s="6" t="str">
        <f t="array" ref="A6">IF(IFNA(MATCH(INDEX($A$18:$A$31, MATCH(LARGE($C$18:$C$31, (ROW(A6) - 2)), $C$18:$C$31, 0)), $A$3:A5, 0), FALSE()), INDEX($A$18:$A$31, SMALL(IF($C$18:$C$31 = B6, ROW($C$18:$C$31) - MIN(ROW($C$18:$C$31)) + 1), (ROW(A6) -1) -MATCH(INDEX($A$18:$A$31, MATCH(LARGE($C$18:$C$31, (ROW(A6) - 2)), $C$18:$C$31, 0)), $A$3:A5, 0))), INDEX($A$18:$A$31, MATCH(LARGE($C$18:$C$31, (ROW(A6) - 2)), $C$18:$C$31, 0)))</f>
        <v>Jdub</v>
      </c>
      <c r="B6" s="48">
        <f>LARGE($C$18:$C$31, 4)</f>
        <v>0.7777777778</v>
      </c>
      <c r="C6" s="6" t="str">
        <f t="array" ref="C6">IF(IFNA(MATCH(INDEX($A$18:$A$31, MATCH(LARGE($D$18:$D$31, (ROW(C6) - 2)), $D$18:$D$31, 0)), $C$3:C5, 0), FALSE()), INDEX($A$18:$A$31, SMALL(IF($D$18:$D$31 = D6, ROW($D$18:$D$31) - MIN(ROW($D$18:$D$31)) + 1), (ROW(C6) -1) -MATCH(INDEX($A$18:$A$31, MATCH(LARGE($D$18:$D$31, (ROW(C6) - 2)), $D$18:$D$31, 0)), $C$3:C5, 0))), INDEX($A$18:$A$31, MATCH(LARGE($D$18:$D$31, (ROW(C6) - 2)), $D$18:$D$31, 0)))</f>
        <v>Hunter</v>
      </c>
      <c r="D6" s="48">
        <f>LARGE($D$18:$D$31, 4)</f>
        <v>0.5925925926</v>
      </c>
      <c r="E6" s="6" t="str">
        <f t="array" ref="E6">IF(IFNA(MATCH(INDEX($A$18:$A$31, MATCH(LARGE($E$18:$E$31, (ROW(E6) - 2)), $E$18:$E$31, 0)), $E$3:E5, 0), FALSE()), INDEX($A$18:$A$31, SMALL(IF($E$18:$E$31 = F6, ROW($E$18:$E$31) - MIN(ROW($E$18:$E$31)) + 1), (ROW(E6) -1) -MATCH(INDEX($A$18:$A$31, MATCH(LARGE($E$18:$E$31, (ROW(E6) - 2)), $E$18:$E$31, 0)), $E$3:E5, 0))), INDEX($A$18:$A$31, MATCH(LARGE($E$18:$E$31, (ROW(E6) - 2)), $E$18:$E$31, 0)))</f>
        <v>Yoshi</v>
      </c>
      <c r="F6" s="48">
        <f>LARGE($E$18:$E$31, 4)</f>
        <v>1.470588235</v>
      </c>
      <c r="G6" s="6" t="str">
        <f t="array" ref="G6">IF(IFNA(MATCH(INDEX($A$18:$A$31, MATCH(LARGE($G$18:$G$31, (ROW(G6) - 2)), $G$18:$G$31, 0)), $G$3:G5, 0), FALSE()), INDEX($A$18:$A$31, SMALL(IF($G$18:$G$31 = H6, ROW($G$18:$G$31) - MIN(ROW($G$18:$G$31)) + 1), (ROW(G6) -1) -MATCH(INDEX($A$18:$A$31, MATCH(LARGE($G$18:$G$31, (ROW(G6) - 2)), $G$18:$G$31, 0)), $G$3:G5, 0))), INDEX($A$18:$A$31, MATCH(LARGE($G$18:$G$31, (ROW(G6) - 2)), $G$18:$G$31, 0)))</f>
        <v>BS</v>
      </c>
      <c r="H6" s="48">
        <f>LARGE($G$18:$G$31, 4)</f>
        <v>1</v>
      </c>
      <c r="I6" s="6" t="str">
        <f t="array" ref="I6">IF(IFNA(MATCH(INDEX($A$18:$A$31, MATCH(LARGE($H$18:$H$31, (ROW(I6) - 2)), $H$18:$H$31, 0)), $I$3:I5, 0), FALSE()), INDEX($A$18:$A$31, SMALL(IF($H$18:$H$31 = J6, ROW($H$18:$H$31) - MIN(ROW($H$18:$H$31)) + 1), (ROW(I6) -1) -MATCH(INDEX($A$18:$A$31, MATCH(LARGE($H$18:$H$31, (ROW(I6) - 2)), $H$18:$H$31, 0)), $I$3:I5, 0))), INDEX($A$18:$A$31, MATCH(LARGE($H$18:$H$31, (ROW(I6) - 2)), $H$18:$H$31, 0)))</f>
        <v>RadPanda</v>
      </c>
      <c r="J6" s="48">
        <f>LARGE($H$18:$H$31, 4)</f>
        <v>0.8571428571</v>
      </c>
      <c r="K6" s="6"/>
      <c r="L6" s="47"/>
      <c r="M6" s="50"/>
      <c r="N6" s="47"/>
      <c r="O6" s="50"/>
      <c r="P6" s="47"/>
      <c r="Q6" s="50"/>
      <c r="R6" s="47"/>
      <c r="S6" s="50"/>
      <c r="T6" s="4"/>
      <c r="U6" s="4"/>
    </row>
    <row r="7">
      <c r="A7" s="54" t="str">
        <f t="array" ref="A7">IF(IFNA(MATCH(INDEX($A$18:$A$31, MATCH(LARGE($C$18:$C$31, (ROW(A7) - 2)), $C$18:$C$31, 0)), $A$3:A6, 0), FALSE()), INDEX($A$18:$A$31, SMALL(IF($C$18:$C$31 = B7, ROW($C$18:$C$31) - MIN(ROW($C$18:$C$31)) + 1), (ROW(A7) -1) -MATCH(INDEX($A$18:$A$31, MATCH(LARGE($C$18:$C$31, (ROW(A7) - 2)), $C$18:$C$31, 0)), $A$3:A6, 0))), INDEX($A$18:$A$31, MATCH(LARGE($C$18:$C$31, (ROW(A7) - 2)), $C$18:$C$31, 0)))</f>
        <v>TK Moose</v>
      </c>
      <c r="B7" s="55">
        <f>LARGE($C$18:$C$31, 5)</f>
        <v>0.75</v>
      </c>
      <c r="C7" s="56" t="str">
        <f t="array" ref="C7">IF(IFNA(MATCH(INDEX($A$18:$A$31, MATCH(LARGE($D$18:$D$31, (ROW(C7) - 2)), $D$18:$D$31, 0)), $C$3:C6, 0), FALSE()), INDEX($A$18:$A$31, SMALL(IF($D$18:$D$31 = D7, ROW($D$18:$D$31) - MIN(ROW($D$18:$D$31)) + 1), (ROW(C7) -1) -MATCH(INDEX($A$18:$A$31, MATCH(LARGE($D$18:$D$31, (ROW(C7) - 2)), $D$18:$D$31, 0)), $C$3:C6, 0))), INDEX($A$18:$A$31, MATCH(LARGE($D$18:$D$31, (ROW(C7) - 2)), $D$18:$D$31, 0)))</f>
        <v>Whale</v>
      </c>
      <c r="D7" s="55">
        <f>LARGE($D$18:$D$31, 5)</f>
        <v>0.5909090909</v>
      </c>
      <c r="E7" s="56" t="str">
        <f t="array" ref="E7">IF(IFNA(MATCH(INDEX($A$18:$A$31, MATCH(LARGE($E$18:$E$31, (ROW(E7) - 2)), $E$18:$E$31, 0)), $E$3:E6, 0), FALSE()), INDEX($A$18:$A$31, SMALL(IF($E$18:$E$31 = F7, ROW($E$18:$E$31) - MIN(ROW($E$18:$E$31)) + 1), (ROW(E7) -1) -MATCH(INDEX($A$18:$A$31, MATCH(LARGE($E$18:$E$31, (ROW(E7) - 2)), $E$18:$E$31, 0)), $E$3:E6, 0))), INDEX($A$18:$A$31, MATCH(LARGE($E$18:$E$31, (ROW(E7) - 2)), $E$18:$E$31, 0)))</f>
        <v>Cole</v>
      </c>
      <c r="F7" s="55">
        <f>LARGE($E$18:$E$31, 5)</f>
        <v>1.315789474</v>
      </c>
      <c r="G7" s="56" t="str">
        <f t="array" ref="G7">IF(IFNA(MATCH(INDEX($A$18:$A$31, MATCH(LARGE($G$18:$G$31, (ROW(G7) - 2)), $G$18:$G$31, 0)), $G$3:G6, 0), FALSE()), INDEX($A$18:$A$31, SMALL(IF($G$18:$G$31 = H7, ROW($G$18:$G$31) - MIN(ROW($G$18:$G$31)) + 1), (ROW(G7) -1) -MATCH(INDEX($A$18:$A$31, MATCH(LARGE($G$18:$G$31, (ROW(G7) - 2)), $G$18:$G$31, 0)), $G$3:G6, 0))), INDEX($A$18:$A$31, MATCH(LARGE($G$18:$G$31, (ROW(G7) - 2)), $G$18:$G$31, 0)))</f>
        <v>Nance</v>
      </c>
      <c r="H7" s="55">
        <f>LARGE($G$18:$G$31, 5)</f>
        <v>0.8947368421</v>
      </c>
      <c r="I7" s="56" t="str">
        <f t="array" ref="I7">IF(IFNA(MATCH(INDEX($A$18:$A$31, MATCH(LARGE($H$18:$H$31, (ROW(I7) - 2)), $H$18:$H$31, 0)), $I$3:I6, 0), FALSE()), INDEX($A$18:$A$31, SMALL(IF($H$18:$H$31 = J7, ROW($H$18:$H$31) - MIN(ROW($H$18:$H$31)) + 1), (ROW(I7) -1) -MATCH(INDEX($A$18:$A$31, MATCH(LARGE($H$18:$H$31, (ROW(I7) - 2)), $H$18:$H$31, 0)), $I$3:I6, 0))), INDEX($A$18:$A$31, MATCH(LARGE($H$18:$H$31, (ROW(I7) - 2)), $H$18:$H$31, 0)))</f>
        <v>Jdub</v>
      </c>
      <c r="J7" s="55">
        <f>LARGE($H$18:$H$31, 5)</f>
        <v>0.8333333333</v>
      </c>
      <c r="K7" s="6"/>
      <c r="L7" s="54"/>
      <c r="M7" s="57"/>
      <c r="N7" s="54"/>
      <c r="O7" s="57"/>
      <c r="P7" s="54"/>
      <c r="Q7" s="57"/>
      <c r="R7" s="54"/>
      <c r="S7" s="57"/>
      <c r="T7" s="4"/>
      <c r="U7" s="4"/>
    </row>
    <row r="8">
      <c r="B8" s="6"/>
      <c r="C8" s="14"/>
      <c r="D8" s="14"/>
      <c r="E8" s="14"/>
      <c r="F8" s="14"/>
      <c r="G8" s="6"/>
      <c r="I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43" t="s">
        <v>202</v>
      </c>
      <c r="B9" s="58" t="s">
        <v>4</v>
      </c>
      <c r="C9" s="43" t="s">
        <v>202</v>
      </c>
      <c r="D9" s="58" t="s">
        <v>5</v>
      </c>
      <c r="E9" s="43" t="s">
        <v>202</v>
      </c>
      <c r="F9" s="44" t="s">
        <v>6</v>
      </c>
      <c r="G9" s="43" t="s">
        <v>202</v>
      </c>
      <c r="H9" s="58" t="s">
        <v>8</v>
      </c>
      <c r="I9" s="43" t="s">
        <v>203</v>
      </c>
      <c r="J9" s="44" t="s">
        <v>201</v>
      </c>
      <c r="K9" s="6"/>
      <c r="L9" s="6"/>
      <c r="M9" s="6"/>
      <c r="N9" s="59"/>
      <c r="O9" s="59"/>
      <c r="P9" s="59"/>
      <c r="Q9" s="59"/>
      <c r="R9" s="6"/>
      <c r="S9" s="59"/>
      <c r="T9" s="59"/>
      <c r="U9" s="59"/>
    </row>
    <row r="10">
      <c r="A10" s="60" t="str">
        <f t="array" ref="A10">INDEX($A$18:$A$31, MATCH(SMALL(C18:C31, 1), C18:C31, 0))</f>
        <v>BS</v>
      </c>
      <c r="B10" s="61">
        <f t="shared" ref="B10:B14" si="1">SMALL($C$18:$C$31, (ROW(C10) -9))</f>
        <v>0.1818181818</v>
      </c>
      <c r="C10" s="62" t="str">
        <f t="array" ref="C10">INDEX($A$18:$A$31, MATCH(SMALL($D$18:$D$31, 1), D18:D31, 0))</f>
        <v>Yoshi</v>
      </c>
      <c r="D10" s="61">
        <f t="shared" ref="D10:D14" si="2">SMALL($D$18:$D$31, (ROW(E10) -9))</f>
        <v>0.1764705882</v>
      </c>
      <c r="E10" s="62" t="str">
        <f t="array" ref="E10">INDEX($A$18:$A$31, MATCH(SMALL($E$18:$E$31, 1), E18:E31, 0))</f>
        <v>Drihzer</v>
      </c>
      <c r="F10" s="63">
        <f t="shared" ref="F10:F14" si="3">SMALL($E$18:$E$31, (ROW(G10) -9))</f>
        <v>0.5333333333</v>
      </c>
      <c r="G10" s="62" t="str">
        <f t="array" ref="G10">INDEX($A$18:$A$31, MATCH(SMALL($G$18:$G$31, 1), G18:G31, 0))</f>
        <v>Drihzer</v>
      </c>
      <c r="H10" s="61">
        <f t="shared" ref="H10:H14" si="4">SMALL($G$18:$G$31, (ROW(K10) -9))</f>
        <v>0.3333333333</v>
      </c>
      <c r="I10" s="62" t="str">
        <f t="array" ref="I10">INDEX($A$18:$A$31, MATCH(SMALL($H$18:$H$31, 1), H18:H31, 0))</f>
        <v>Cyber</v>
      </c>
      <c r="J10" s="61">
        <f t="shared" ref="J10:J14" si="5">SMALL($H$18:$H$31, (ROW(M10) -9))</f>
        <v>0.5185185185</v>
      </c>
      <c r="K10" s="6"/>
      <c r="L10" s="45"/>
      <c r="M10" s="46"/>
      <c r="N10" s="45"/>
      <c r="O10" s="46"/>
      <c r="P10" s="45"/>
      <c r="Q10" s="46"/>
      <c r="R10" s="45"/>
      <c r="S10" s="46"/>
      <c r="T10" s="64"/>
      <c r="U10" s="65"/>
    </row>
    <row r="11">
      <c r="A11" s="47" t="str">
        <f t="array" ref="A11">IF(IFNA(MATCH(INDEX($A$18:$A$31, MATCH(SMALL($C$18:$C$31, (ROW(C11) -9)), $C$18:$C$31, 0)), $A$10:A10, 0), FALSE()), INDEX($A$18:$A$31, SMALL(IF($C$18:$C$31 = B11, ROW($C$18:$C$31) - MIN(ROW($C$18:$C$31)) + 1), (ROW(A11) -8) -MATCH(INDEX($A$18:$A$31, MATCH(SMALL($C$18:$C$31, (ROW(C11) -9)), $C$18:$C$31, 0)), $A$10:A10, 0))), INDEX($A$18:$A$31, MATCH(SMALL($C$18:$C$31, (ROW(C11) -9)), $C$18:$C$31, 0)))</f>
        <v>Yoshi</v>
      </c>
      <c r="B11" s="63">
        <f t="shared" si="1"/>
        <v>0.4705882353</v>
      </c>
      <c r="C11" s="6" t="str">
        <f t="array" ref="C11">IF(IFNA(MATCH(INDEX($A$18:$A$31, MATCH(SMALL($D$18:$D$31, (ROW(E11) -9)), $D$18:$D$31, 0)), $C$10:C10, 0), FALSE()), INDEX($A$18:$A$31, SMALL(IF($D$18:$D$31 = D11, ROW($D$18:$D$31) - MIN(ROW($D$18:$D$31)) + 1), (ROW(C11) -8) -MATCH(INDEX($A$18:$A$31, MATCH(SMALL($D$18:$D$31, (ROW(E11) -9)), $D$18:$D$31, 0)), $C$10:C10, 0))), INDEX($A$18:$A$31, MATCH(SMALL($D$18:$D$31, (ROW(E11) -9)), $D$18:$D$31, 0)))</f>
        <v>Drihzer</v>
      </c>
      <c r="D11" s="63">
        <f t="shared" si="2"/>
        <v>0.2</v>
      </c>
      <c r="E11" s="6" t="str">
        <f t="array" ref="E11">IF(IFNA(MATCH(INDEX($A$18:$A$31, MATCH(SMALL($E$18:$E$31, (ROW(G11) -9)), $E$18:$E$31, 0)), $E$10:E10, 0), FALSE()), INDEX($A$18:$A$31, SMALL(IF($E$18:$E$31 = F11, ROW($E$18:$E$31) - MIN(ROW($E$18:$E$31)) + 1), (ROW(E11) -8) -MATCH(INDEX($A$18:$A$31, MATCH(SMALL($E$18:$E$31, (ROW(G11) -9)), $E$18:$E$31, 0)), $E$10:E10, 0))), INDEX($A$18:$A$31, MATCH(SMALL($E$18:$E$31, (ROW(G11) -9)), $E$18:$E$31, 0)))</f>
        <v>Hunter</v>
      </c>
      <c r="F11" s="63">
        <f t="shared" si="3"/>
        <v>0.8888888889</v>
      </c>
      <c r="G11" s="6" t="str">
        <f t="array" ref="G11">IF(IFNA(MATCH(INDEX($A$18:$A$31, MATCH(SMALL($G$18:$G$31, (ROW(K11) -9)), $G$18:$G$31, 0)), $G$10:G10, 0), FALSE()), INDEX($A$18:$A$31, SMALL(IF($G$18:$G$31 = H11, ROW($G$18:$G$31) - MIN(ROW($G$18:$G$31)) + 1), (ROW(G11) -8) -MATCH(INDEX($A$18:$A$31, MATCH(SMALL($G$18:$G$31, (ROW(K11) -9)), $G$18:$G$31, 0)), $G$10:G10, 0))), INDEX($A$18:$A$31, MATCH(SMALL($G$18:$G$31, (ROW(K11) -9)), $G$18:$G$31, 0)))</f>
        <v>Cyber</v>
      </c>
      <c r="H11" s="63">
        <f t="shared" si="4"/>
        <v>0.3333333333</v>
      </c>
      <c r="I11" s="6" t="str">
        <f t="array" ref="I11">IF(IFNA(MATCH(INDEX($A$18:$A$31, MATCH(SMALL($H$18:$H$31, (ROW(M11) -9)), $H$18:$H$31, 0)), $I$10:I10, 0), FALSE()), INDEX($A$18:$A$31, SMALL(IF($H$18:$H$31 = J11, ROW($H$18:$H$31) - MIN(ROW($H$18:$H$31)) + 1), (ROW(I11) -8) -MATCH(INDEX($A$18:$A$31, MATCH(SMALL($H$18:$H$31, (ROW(M11) -9)), $H$18:$H$31, 0)), $I$10:I10, 0))), INDEX($A$18:$A$31, MATCH(SMALL($H$18:$H$31, (ROW(M11) -9)), $H$18:$H$31, 0)))</f>
        <v>Whale</v>
      </c>
      <c r="J11" s="63">
        <f t="shared" si="5"/>
        <v>0.5454545455</v>
      </c>
      <c r="K11" s="6"/>
      <c r="L11" s="49"/>
      <c r="M11" s="66"/>
      <c r="N11" s="49"/>
      <c r="O11" s="66"/>
      <c r="P11" s="49"/>
      <c r="Q11" s="66"/>
      <c r="R11" s="49"/>
      <c r="S11" s="66"/>
      <c r="T11" s="67"/>
      <c r="U11" s="63"/>
    </row>
    <row r="12">
      <c r="A12" s="47" t="str">
        <f t="array" ref="A12">IF(IFNA(MATCH(INDEX($A$18:$A$31, MATCH(SMALL($C$18:$C$31, (ROW(C12) -9)), $C$18:$C$31, 0)), $A$10:A11, 0), FALSE()), INDEX($A$18:$A$31, SMALL(IF($C$18:$C$31 = B12, ROW($C$18:$C$31) - MIN(ROW($C$18:$C$31)) + 1), (ROW(A12) -8) -MATCH(INDEX($A$18:$A$31, MATCH(SMALL($C$18:$C$31, (ROW(C12) -9)), $C$18:$C$31, 0)), $A$10:A11, 0))), INDEX($A$18:$A$31, MATCH(SMALL($C$18:$C$31, (ROW(C12) -9)), $C$18:$C$31, 0)))</f>
        <v>Nance</v>
      </c>
      <c r="B12" s="63">
        <f t="shared" si="1"/>
        <v>0.4736842105</v>
      </c>
      <c r="C12" s="6" t="str">
        <f t="array" ref="C12">IF(IFNA(MATCH(INDEX($A$18:$A$31, MATCH(SMALL($D$18:$D$31, (ROW(E12) -9)), $D$18:$D$31, 0)), $C$10:C11, 0), FALSE()), INDEX($A$18:$A$31, SMALL(IF($D$18:$D$31 = D12, ROW($D$18:$D$31) - MIN(ROW($D$18:$D$31)) + 1), (ROW(C12) -8) -MATCH(INDEX($A$18:$A$31, MATCH(SMALL($D$18:$D$31, (ROW(E12) -9)), $D$18:$D$31, 0)), $C$10:C11, 0))), INDEX($A$18:$A$31, MATCH(SMALL($D$18:$D$31, (ROW(E12) -9)), $D$18:$D$31, 0)))</f>
        <v>TK Moose</v>
      </c>
      <c r="D12" s="63">
        <f t="shared" si="2"/>
        <v>0.25</v>
      </c>
      <c r="E12" s="6" t="str">
        <f t="array" ref="E12">IF(IFNA(MATCH(INDEX($A$18:$A$31, MATCH(SMALL($E$18:$E$31, (ROW(G12) -9)), $E$18:$E$31, 0)), $E$10:E11, 0), FALSE()), INDEX($A$18:$A$31, SMALL(IF($E$18:$E$31 = F12, ROW($E$18:$E$31) - MIN(ROW($E$18:$E$31)) + 1), (ROW(E12) -8) -MATCH(INDEX($A$18:$A$31, MATCH(SMALL($E$18:$E$31, (ROW(G12) -9)), $E$18:$E$31, 0)), $E$10:E11, 0))), INDEX($A$18:$A$31, MATCH(SMALL($E$18:$E$31, (ROW(G12) -9)), $E$18:$E$31, 0)))</f>
        <v>Nance</v>
      </c>
      <c r="F12" s="63">
        <f t="shared" si="3"/>
        <v>0.8947368421</v>
      </c>
      <c r="G12" s="6" t="str">
        <f t="array" ref="G12">IF(IFNA(MATCH(INDEX($A$18:$A$31, MATCH(SMALL($G$18:$G$31, (ROW(K12) -9)), $G$18:$G$31, 0)), $G$10:G11, 0), FALSE()), INDEX($A$18:$A$31, SMALL(IF($G$18:$G$31 = H12, ROW($G$18:$G$31) - MIN(ROW($G$18:$G$31)) + 1), (ROW(G12) -8) -MATCH(INDEX($A$18:$A$31, MATCH(SMALL($G$18:$G$31, (ROW(K12) -9)), $G$18:$G$31, 0)), $G$10:G11, 0))), INDEX($A$18:$A$31, MATCH(SMALL($G$18:$G$31, (ROW(K12) -9)), $G$18:$G$31, 0)))</f>
        <v>Yoshi</v>
      </c>
      <c r="H12" s="63">
        <f t="shared" si="4"/>
        <v>0.3529411765</v>
      </c>
      <c r="I12" s="6" t="str">
        <f t="array" ref="I12">IF(IFNA(MATCH(INDEX($A$18:$A$31, MATCH(SMALL($H$18:$H$31, (ROW(M12) -9)), $H$18:$H$31, 0)), $I$10:I11, 0), FALSE()), INDEX($A$18:$A$31, SMALL(IF($H$18:$H$31 = J12, ROW($H$18:$H$31) - MIN(ROW($H$18:$H$31)) + 1), (ROW(I12) -8) -MATCH(INDEX($A$18:$A$31, MATCH(SMALL($H$18:$H$31, (ROW(M12) -9)), $H$18:$H$31, 0)), $I$10:I11, 0))), INDEX($A$18:$A$31, MATCH(SMALL($H$18:$H$31, (ROW(M12) -9)), $H$18:$H$31, 0)))</f>
        <v>Rel</v>
      </c>
      <c r="J12" s="63">
        <f t="shared" si="5"/>
        <v>0.5789473684</v>
      </c>
      <c r="K12" s="6"/>
      <c r="L12" s="52"/>
      <c r="M12" s="66"/>
      <c r="N12" s="52"/>
      <c r="O12" s="66"/>
      <c r="P12" s="52"/>
      <c r="Q12" s="66"/>
      <c r="R12" s="52"/>
      <c r="S12" s="66"/>
      <c r="T12" s="59"/>
      <c r="U12" s="63"/>
    </row>
    <row r="13">
      <c r="A13" s="47" t="str">
        <f t="array" ref="A13">IF(IFNA(MATCH(INDEX($A$18:$A$31, MATCH(SMALL($C$18:$C$31, (ROW(C13) -9)), $C$18:$C$31, 0)), $A$10:A12, 0), FALSE()), INDEX($A$18:$A$31, SMALL(IF($C$18:$C$31 = B13, ROW($C$18:$C$31) - MIN(ROW($C$18:$C$31)) + 1), (ROW(A13) -8) -MATCH(INDEX($A$18:$A$31, MATCH(SMALL($C$18:$C$31, (ROW(C13) -9)), $C$18:$C$31, 0)), $A$10:A12, 0))), INDEX($A$18:$A$31, MATCH(SMALL($C$18:$C$31, (ROW(C13) -9)), $C$18:$C$31, 0)))</f>
        <v>Cyber</v>
      </c>
      <c r="B13" s="63">
        <f t="shared" si="1"/>
        <v>0.4814814815</v>
      </c>
      <c r="C13" s="6" t="str">
        <f t="array" ref="C13">IF(IFNA(MATCH(INDEX($A$18:$A$31, MATCH(SMALL($D$18:$D$31, (ROW(E13) -9)), $D$18:$D$31, 0)), $C$10:C12, 0), FALSE()), INDEX($A$18:$A$31, SMALL(IF($D$18:$D$31 = D13, ROW($D$18:$D$31) - MIN(ROW($D$18:$D$31)) + 1), (ROW(C13) -8) -MATCH(INDEX($A$18:$A$31, MATCH(SMALL($D$18:$D$31, (ROW(E13) -9)), $D$18:$D$31, 0)), $C$10:C12, 0))), INDEX($A$18:$A$31, MATCH(SMALL($D$18:$D$31, (ROW(E13) -9)), $D$18:$D$31, 0)))</f>
        <v>Nance</v>
      </c>
      <c r="D13" s="63">
        <f t="shared" si="2"/>
        <v>0.3157894737</v>
      </c>
      <c r="E13" s="6" t="str">
        <f t="array" ref="E13">IF(IFNA(MATCH(INDEX($A$18:$A$31, MATCH(SMALL($E$18:$E$31, (ROW(G13) -9)), $E$18:$E$31, 0)), $E$10:E12, 0), FALSE()), INDEX($A$18:$A$31, SMALL(IF($E$18:$E$31 = F13, ROW($E$18:$E$31) - MIN(ROW($E$18:$E$31)) + 1), (ROW(E13) -8) -MATCH(INDEX($A$18:$A$31, MATCH(SMALL($E$18:$E$31, (ROW(G13) -9)), $E$18:$E$31, 0)), $E$10:E12, 0))), INDEX($A$18:$A$31, MATCH(SMALL($E$18:$E$31, (ROW(G13) -9)), $E$18:$E$31, 0)))</f>
        <v>Whale</v>
      </c>
      <c r="F13" s="63">
        <f t="shared" si="3"/>
        <v>0.9545454545</v>
      </c>
      <c r="G13" s="6" t="str">
        <f t="array" ref="G13">IF(IFNA(MATCH(INDEX($A$18:$A$31, MATCH(SMALL($G$18:$G$31, (ROW(K13) -9)), $G$18:$G$31, 0)), $G$10:G12, 0), FALSE()), INDEX($A$18:$A$31, SMALL(IF($G$18:$G$31 = H13, ROW($G$18:$G$31) - MIN(ROW($G$18:$G$31)) + 1), (ROW(G13) -8) -MATCH(INDEX($A$18:$A$31, MATCH(SMALL($G$18:$G$31, (ROW(K13) -9)), $G$18:$G$31, 0)), $G$10:G12, 0))), INDEX($A$18:$A$31, MATCH(SMALL($G$18:$G$31, (ROW(K13) -9)), $G$18:$G$31, 0)))</f>
        <v>Hunter</v>
      </c>
      <c r="H13" s="63">
        <f t="shared" si="4"/>
        <v>0.3703703704</v>
      </c>
      <c r="I13" s="6" t="str">
        <f t="array" ref="I13">IF(IFNA(MATCH(INDEX($A$18:$A$31, MATCH(SMALL($H$18:$H$31, (ROW(M13) -9)), $H$18:$H$31, 0)), $I$10:I12, 0), FALSE()), INDEX($A$18:$A$31, SMALL(IF($H$18:$H$31 = J13, ROW($H$18:$H$31) - MIN(ROW($H$18:$H$31)) + 1), (ROW(I13) -8) -MATCH(INDEX($A$18:$A$31, MATCH(SMALL($H$18:$H$31, (ROW(M13) -9)), $H$18:$H$31, 0)), $I$10:I12, 0))), INDEX($A$18:$A$31, MATCH(SMALL($H$18:$H$31, (ROW(M13) -9)), $H$18:$H$31, 0)))</f>
        <v>Nance</v>
      </c>
      <c r="J13" s="63">
        <f t="shared" si="5"/>
        <v>0.6315789474</v>
      </c>
      <c r="K13" s="6"/>
      <c r="L13" s="53"/>
      <c r="M13" s="66"/>
      <c r="N13" s="53"/>
      <c r="O13" s="66"/>
      <c r="P13" s="53"/>
      <c r="Q13" s="66"/>
      <c r="R13" s="52"/>
      <c r="S13" s="66"/>
      <c r="T13" s="59"/>
      <c r="U13" s="63"/>
    </row>
    <row r="14">
      <c r="A14" s="54" t="str">
        <f t="array" ref="A14">IF(IFNA(MATCH(INDEX($A$18:$A$31, MATCH(SMALL($C$18:$C$31, (ROW(C14) -9)), $C$18:$C$31, 0)), $A$10:A13, 0), FALSE()), INDEX($A$18:$A$31, SMALL(IF($C$18:$C$31 = B14, ROW($C$18:$C$31) - MIN(ROW($C$18:$C$31)) + 1), (ROW(A14) -8) -MATCH(INDEX($A$18:$A$31, MATCH(SMALL($C$18:$C$31, (ROW(C14) -9)), $C$18:$C$31, 0)), $A$10:A13, 0))), INDEX($A$18:$A$31, MATCH(SMALL($C$18:$C$31, (ROW(C14) -9)), $C$18:$C$31, 0)))</f>
        <v>Cole</v>
      </c>
      <c r="B14" s="68">
        <f t="shared" si="1"/>
        <v>0.5263157895</v>
      </c>
      <c r="C14" s="56" t="str">
        <f t="array" ref="C14">IF(IFNA(MATCH(INDEX($A$18:$A$31, MATCH(SMALL($D$18:$D$31, (ROW(E14) -9)), $D$18:$D$31, 0)), $C$10:C13, 0), FALSE()), INDEX($A$18:$A$31, SMALL(IF($D$18:$D$31 = D14, ROW($D$18:$D$31) - MIN(ROW($D$18:$D$31)) + 1), (ROW(C14) -8) -MATCH(INDEX($A$18:$A$31, MATCH(SMALL($D$18:$D$31, (ROW(E14) -9)), $D$18:$D$31, 0)), $C$10:C13, 0))), INDEX($A$18:$A$31, MATCH(SMALL($D$18:$D$31, (ROW(E14) -9)), $D$18:$D$31, 0)))</f>
        <v>Jdub</v>
      </c>
      <c r="D14" s="68">
        <f t="shared" si="2"/>
        <v>0.4444444444</v>
      </c>
      <c r="E14" s="56" t="str">
        <f t="array" ref="E14">IF(IFNA(MATCH(INDEX($A$18:$A$31, MATCH(SMALL($E$18:$E$31, (ROW(G14) -9)), $E$18:$E$31, 0)), $E$10:E13, 0), FALSE()), INDEX($A$18:$A$31, SMALL(IF($E$18:$E$31 = F14, ROW($E$18:$E$31) - MIN(ROW($E$18:$E$31)) + 1), (ROW(E14) -8) -MATCH(INDEX($A$18:$A$31, MATCH(SMALL($E$18:$E$31, (ROW(G14) -9)), $E$18:$E$31, 0)), $E$10:E13, 0))), INDEX($A$18:$A$31, MATCH(SMALL($E$18:$E$31, (ROW(G14) -9)), $E$18:$E$31, 0)))</f>
        <v>Hymel</v>
      </c>
      <c r="F14" s="68">
        <f t="shared" si="3"/>
        <v>1</v>
      </c>
      <c r="G14" s="56" t="str">
        <f t="array" ref="G14">IF(IFNA(MATCH(INDEX($A$18:$A$31, MATCH(SMALL($G$18:$G$31, (ROW(K14) -9)), $G$18:$G$31, 0)), $G$10:G13, 0), FALSE()), INDEX($A$18:$A$31, SMALL(IF($G$18:$G$31 = H14, ROW($G$18:$G$31) - MIN(ROW($G$18:$G$31)) + 1), (ROW(G14) -8) -MATCH(INDEX($A$18:$A$31, MATCH(SMALL($G$18:$G$31, (ROW(K14) -9)), $G$18:$G$31, 0)), $G$10:G13, 0))), INDEX($A$18:$A$31, MATCH(SMALL($G$18:$G$31, (ROW(K14) -9)), $G$18:$G$31, 0)))</f>
        <v>Hymel</v>
      </c>
      <c r="H14" s="68">
        <f t="shared" si="4"/>
        <v>0.4705882353</v>
      </c>
      <c r="I14" s="56" t="str">
        <f t="array" ref="I14">IF(IFNA(MATCH(INDEX($A$18:$A$31, MATCH(SMALL($H$18:$H$31, (ROW(M14) -9)), $H$18:$H$31, 0)), $I$10:I13, 0), FALSE()), INDEX($A$18:$A$31, SMALL(IF($H$18:$H$31 = J14, ROW($H$18:$H$31) - MIN(ROW($H$18:$H$31)) + 1), (ROW(I14) -8) -MATCH(INDEX($A$18:$A$31, MATCH(SMALL($H$18:$H$31, (ROW(M14) -9)), $H$18:$H$31, 0)), $I$10:I13, 0))), INDEX($A$18:$A$31, MATCH(SMALL($H$18:$H$31, (ROW(M14) -9)), $H$18:$H$31, 0)))</f>
        <v>BS</v>
      </c>
      <c r="J14" s="68">
        <f t="shared" si="5"/>
        <v>0.6363636364</v>
      </c>
      <c r="K14" s="6"/>
      <c r="L14" s="47"/>
      <c r="M14" s="66"/>
      <c r="N14" s="47"/>
      <c r="O14" s="66"/>
      <c r="P14" s="47"/>
      <c r="Q14" s="66"/>
      <c r="R14" s="52"/>
      <c r="S14" s="66"/>
      <c r="T14" s="59"/>
      <c r="U14" s="63"/>
    </row>
    <row r="15">
      <c r="B15" s="6"/>
      <c r="C15" s="14"/>
      <c r="D15" s="14"/>
      <c r="E15" s="14"/>
      <c r="F15" s="14"/>
      <c r="G15" s="6"/>
      <c r="I15" s="6"/>
      <c r="J15" s="6"/>
      <c r="K15" s="6"/>
      <c r="L15" s="54"/>
      <c r="M15" s="69"/>
      <c r="N15" s="54"/>
      <c r="O15" s="69"/>
      <c r="P15" s="54"/>
      <c r="Q15" s="69"/>
      <c r="R15" s="54"/>
      <c r="S15" s="69"/>
      <c r="T15" s="70"/>
      <c r="U15" s="68"/>
    </row>
    <row r="16">
      <c r="B16" s="6"/>
      <c r="C16" s="14"/>
      <c r="D16" s="14"/>
      <c r="E16" s="14"/>
      <c r="F16" s="14"/>
      <c r="G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B17" s="7" t="s">
        <v>3</v>
      </c>
      <c r="C17" s="8" t="s">
        <v>4</v>
      </c>
      <c r="D17" s="8" t="s">
        <v>5</v>
      </c>
      <c r="E17" s="8" t="s">
        <v>6</v>
      </c>
      <c r="F17" s="8" t="s">
        <v>7</v>
      </c>
      <c r="G17" s="7" t="s">
        <v>8</v>
      </c>
      <c r="H17" s="7" t="s">
        <v>201</v>
      </c>
      <c r="I17" s="7" t="s">
        <v>11</v>
      </c>
      <c r="J17" s="71"/>
      <c r="K17" s="71"/>
      <c r="L17" s="45"/>
      <c r="M17" s="72"/>
      <c r="N17" s="45"/>
      <c r="O17" s="72"/>
      <c r="P17" s="45"/>
      <c r="Q17" s="46"/>
      <c r="R17" s="45"/>
      <c r="S17" s="72"/>
      <c r="T17" s="45"/>
      <c r="U17" s="46"/>
    </row>
    <row r="18">
      <c r="A18" s="24" t="str">
        <f>OAFT!C2</f>
        <v>Rel</v>
      </c>
      <c r="B18" s="25">
        <f>OAFT!D2</f>
        <v>19</v>
      </c>
      <c r="C18" s="73">
        <f>OAFT!E2</f>
        <v>0.6315789474</v>
      </c>
      <c r="D18" s="73">
        <f>OAFT!F2</f>
        <v>0.6315789474</v>
      </c>
      <c r="E18" s="73">
        <f>OAFT!G2</f>
        <v>1.736842105</v>
      </c>
      <c r="F18" s="73">
        <f>OAFT!H2</f>
        <v>2.263157895</v>
      </c>
      <c r="G18" s="73">
        <f>OAFT!I2</f>
        <v>0.5789473684</v>
      </c>
      <c r="H18" s="73">
        <f>OAFT!K2</f>
        <v>0.5789473684</v>
      </c>
      <c r="I18" s="34">
        <f>OAFT!L2</f>
        <v>0.2790697674</v>
      </c>
      <c r="J18" s="71"/>
      <c r="K18" s="71"/>
      <c r="L18" s="49"/>
      <c r="M18" s="61"/>
      <c r="N18" s="49"/>
      <c r="O18" s="61"/>
      <c r="P18" s="49"/>
      <c r="Q18" s="63"/>
      <c r="R18" s="49"/>
      <c r="S18" s="61"/>
      <c r="T18" s="49"/>
      <c r="U18" s="61"/>
    </row>
    <row r="19">
      <c r="A19" s="24" t="str">
        <f>OAFT!C3</f>
        <v>Rainbow</v>
      </c>
      <c r="B19" s="25">
        <f>OAFT!D3</f>
        <v>19</v>
      </c>
      <c r="C19" s="73">
        <f>OAFT!E3</f>
        <v>1.157894737</v>
      </c>
      <c r="D19" s="73">
        <f>OAFT!F3</f>
        <v>0.4736842105</v>
      </c>
      <c r="E19" s="73">
        <f>OAFT!G3</f>
        <v>1.789473684</v>
      </c>
      <c r="F19" s="73">
        <f>OAFT!H3</f>
        <v>2.947368421</v>
      </c>
      <c r="G19" s="73">
        <f>OAFT!I3</f>
        <v>0.4736842105</v>
      </c>
      <c r="H19" s="73">
        <f>OAFT!K3</f>
        <v>0.7894736842</v>
      </c>
      <c r="I19" s="34">
        <f>OAFT!L3</f>
        <v>0.3928571429</v>
      </c>
      <c r="J19" s="71"/>
      <c r="K19" s="71"/>
      <c r="L19" s="52"/>
      <c r="M19" s="63"/>
      <c r="N19" s="52"/>
      <c r="O19" s="63"/>
      <c r="P19" s="52"/>
      <c r="Q19" s="63"/>
      <c r="R19" s="52"/>
      <c r="S19" s="63"/>
      <c r="T19" s="52"/>
      <c r="U19" s="63"/>
    </row>
    <row r="20">
      <c r="A20" s="24" t="str">
        <f>OAFT!C4</f>
        <v>Cole</v>
      </c>
      <c r="B20" s="25">
        <f>OAFT!D4</f>
        <v>19</v>
      </c>
      <c r="C20" s="73">
        <f>OAFT!E4</f>
        <v>0.5263157895</v>
      </c>
      <c r="D20" s="73">
        <f>OAFT!F4</f>
        <v>0.5789473684</v>
      </c>
      <c r="E20" s="73">
        <f>OAFT!G4</f>
        <v>1.315789474</v>
      </c>
      <c r="F20" s="73">
        <f>OAFT!H4</f>
        <v>1.947368421</v>
      </c>
      <c r="G20" s="73">
        <f>OAFT!I4</f>
        <v>0.6842105263</v>
      </c>
      <c r="H20" s="73">
        <f>OAFT!K4</f>
        <v>0.6842105263</v>
      </c>
      <c r="I20" s="34">
        <f>OAFT!L4</f>
        <v>0.2702702703</v>
      </c>
      <c r="J20" s="71"/>
      <c r="K20" s="71"/>
      <c r="L20" s="53"/>
      <c r="M20" s="63"/>
      <c r="N20" s="53"/>
      <c r="O20" s="63"/>
      <c r="P20" s="53"/>
      <c r="Q20" s="63"/>
      <c r="R20" s="53"/>
      <c r="S20" s="63"/>
      <c r="T20" s="53"/>
      <c r="U20" s="63"/>
    </row>
    <row r="21">
      <c r="A21" s="26" t="str">
        <f>'990'!C2</f>
        <v>Yoshi</v>
      </c>
      <c r="B21" s="27">
        <f>'990'!D2</f>
        <v>17</v>
      </c>
      <c r="C21" s="74">
        <f>'990'!E2</f>
        <v>0.4705882353</v>
      </c>
      <c r="D21" s="74">
        <f>'990'!F2</f>
        <v>0.1764705882</v>
      </c>
      <c r="E21" s="74">
        <f>'990'!G2</f>
        <v>1.470588235</v>
      </c>
      <c r="F21" s="74">
        <f>'990'!H2</f>
        <v>2.352941176</v>
      </c>
      <c r="G21" s="74">
        <f>'990'!I2</f>
        <v>0.3529411765</v>
      </c>
      <c r="H21" s="74">
        <f>'990'!K2</f>
        <v>1.058823529</v>
      </c>
      <c r="I21" s="36">
        <f>'990'!L2</f>
        <v>0.2</v>
      </c>
      <c r="J21" s="71"/>
      <c r="K21" s="71"/>
      <c r="L21" s="47"/>
      <c r="M21" s="63"/>
      <c r="N21" s="53"/>
      <c r="O21" s="63"/>
      <c r="P21" s="6"/>
      <c r="Q21" s="63"/>
      <c r="R21" s="53"/>
      <c r="S21" s="63"/>
      <c r="T21" s="53"/>
      <c r="U21" s="63"/>
    </row>
    <row r="22">
      <c r="A22" s="26" t="str">
        <f>'990'!C4</f>
        <v>Nance</v>
      </c>
      <c r="B22" s="27">
        <f>'990'!D4</f>
        <v>19</v>
      </c>
      <c r="C22" s="74">
        <f>'990'!E4</f>
        <v>0.4736842105</v>
      </c>
      <c r="D22" s="74">
        <f>'990'!F4</f>
        <v>0.3157894737</v>
      </c>
      <c r="E22" s="74">
        <f>'990'!G4</f>
        <v>0.8947368421</v>
      </c>
      <c r="F22" s="74">
        <f>'990'!H4</f>
        <v>1.052631579</v>
      </c>
      <c r="G22" s="74">
        <f>'990'!I4</f>
        <v>0.8947368421</v>
      </c>
      <c r="H22" s="74">
        <f>'990'!K4</f>
        <v>0.6315789474</v>
      </c>
      <c r="I22" s="36">
        <f>'990'!L4</f>
        <v>0.45</v>
      </c>
      <c r="J22" s="71"/>
      <c r="K22" s="71"/>
      <c r="L22" s="54"/>
      <c r="M22" s="68"/>
      <c r="N22" s="56"/>
      <c r="O22" s="68"/>
      <c r="P22" s="56"/>
      <c r="Q22" s="68"/>
      <c r="R22" s="53"/>
      <c r="S22" s="68"/>
      <c r="T22" s="53"/>
      <c r="U22" s="68"/>
    </row>
    <row r="23">
      <c r="A23" s="26" t="str">
        <f>'990'!C5</f>
        <v>Drihzer</v>
      </c>
      <c r="B23" s="27">
        <f>'990'!D5</f>
        <v>15</v>
      </c>
      <c r="C23" s="74">
        <f>'990'!E5</f>
        <v>0.6</v>
      </c>
      <c r="D23" s="74">
        <f>'990'!F5</f>
        <v>0.2</v>
      </c>
      <c r="E23" s="74">
        <f>'990'!G5</f>
        <v>0.5333333333</v>
      </c>
      <c r="F23" s="74">
        <f>'990'!H5</f>
        <v>2</v>
      </c>
      <c r="G23" s="74">
        <f>'990'!I5</f>
        <v>0.3333333333</v>
      </c>
      <c r="H23" s="74">
        <f>'990'!K5</f>
        <v>0.8</v>
      </c>
      <c r="I23" s="36">
        <f>'990'!L5</f>
        <v>0.3</v>
      </c>
    </row>
    <row r="24">
      <c r="A24" s="26" t="str">
        <f>'990'!C6</f>
        <v>BS</v>
      </c>
      <c r="B24" s="27">
        <f>'990'!D6</f>
        <v>11</v>
      </c>
      <c r="C24" s="74">
        <f>'990'!E6</f>
        <v>0.1818181818</v>
      </c>
      <c r="D24" s="74">
        <f>'990'!F6</f>
        <v>0.4545454545</v>
      </c>
      <c r="E24" s="74">
        <f>'990'!G6</f>
        <v>1.181818182</v>
      </c>
      <c r="F24" s="74">
        <f>'990'!H6</f>
        <v>2</v>
      </c>
      <c r="G24" s="74">
        <f>'990'!I6</f>
        <v>1</v>
      </c>
      <c r="H24" s="74">
        <f>'990'!K6</f>
        <v>0.6363636364</v>
      </c>
      <c r="I24" s="36">
        <f>'990'!L6</f>
        <v>0.09090909091</v>
      </c>
      <c r="L24" s="6"/>
    </row>
    <row r="25">
      <c r="A25" s="75" t="str">
        <f>PKRK!C2</f>
        <v>Whale</v>
      </c>
      <c r="B25" s="5">
        <f>PKRK!D2</f>
        <v>22</v>
      </c>
      <c r="C25" s="76">
        <f>PKRK!E2</f>
        <v>1.090909091</v>
      </c>
      <c r="D25" s="76">
        <f>PKRK!F2</f>
        <v>0.5909090909</v>
      </c>
      <c r="E25" s="76">
        <f>PKRK!G2</f>
        <v>0.9545454545</v>
      </c>
      <c r="F25" s="76">
        <f>PKRK!H2</f>
        <v>2.772727273</v>
      </c>
      <c r="G25" s="76">
        <f>PKRK!I2</f>
        <v>1.045454545</v>
      </c>
      <c r="H25" s="76">
        <f>PKRK!K2</f>
        <v>0.5454545455</v>
      </c>
      <c r="I25" s="16">
        <f>PKRK!L2</f>
        <v>0.393442623</v>
      </c>
      <c r="L25" s="77"/>
      <c r="M25" s="78"/>
      <c r="N25" s="79"/>
      <c r="O25" s="79"/>
      <c r="P25" s="77"/>
      <c r="Q25" s="78"/>
      <c r="R25" s="79"/>
      <c r="S25" s="78"/>
      <c r="T25" s="43"/>
      <c r="U25" s="44"/>
    </row>
    <row r="26">
      <c r="A26" s="75" t="str">
        <f>PKRK!C3</f>
        <v>Hunter</v>
      </c>
      <c r="B26" s="5">
        <f>PKRK!D3</f>
        <v>27</v>
      </c>
      <c r="C26" s="76">
        <f>PKRK!E3</f>
        <v>1.222222222</v>
      </c>
      <c r="D26" s="76">
        <f>PKRK!F3</f>
        <v>0.5925925926</v>
      </c>
      <c r="E26" s="76">
        <f>PKRK!G3</f>
        <v>0.8888888889</v>
      </c>
      <c r="F26" s="76">
        <f>PKRK!H3</f>
        <v>2.814814815</v>
      </c>
      <c r="G26" s="76">
        <f>PKRK!I3</f>
        <v>0.3703703704</v>
      </c>
      <c r="H26" s="76">
        <f>PKRK!K3</f>
        <v>0.7037037037</v>
      </c>
      <c r="I26" s="16">
        <f>PKRK!L3</f>
        <v>0.4342105263</v>
      </c>
      <c r="L26" s="80"/>
      <c r="M26" s="66"/>
      <c r="N26" s="81"/>
      <c r="O26" s="82"/>
      <c r="P26" s="80"/>
      <c r="Q26" s="66"/>
      <c r="R26" s="81"/>
      <c r="S26" s="66"/>
      <c r="T26" s="83"/>
      <c r="U26" s="84"/>
    </row>
    <row r="27">
      <c r="A27" s="75" t="str">
        <f>PKRK!C4</f>
        <v>Cyber</v>
      </c>
      <c r="B27" s="5">
        <f>PKRK!D4</f>
        <v>27</v>
      </c>
      <c r="C27" s="76">
        <f>PKRK!E4</f>
        <v>0.4814814815</v>
      </c>
      <c r="D27" s="76">
        <f>PKRK!F4</f>
        <v>0.4814814815</v>
      </c>
      <c r="E27" s="76">
        <f>PKRK!G4</f>
        <v>1.296296296</v>
      </c>
      <c r="F27" s="76">
        <f>PKRK!H4</f>
        <v>1.888888889</v>
      </c>
      <c r="G27" s="76">
        <f>PKRK!I4</f>
        <v>0.3333333333</v>
      </c>
      <c r="H27" s="76">
        <f>PKRK!K4</f>
        <v>0.5185185185</v>
      </c>
      <c r="I27" s="16">
        <f>PKRK!L4</f>
        <v>0.2549019608</v>
      </c>
      <c r="L27" s="85"/>
      <c r="M27" s="66"/>
      <c r="N27" s="86"/>
      <c r="O27" s="82"/>
      <c r="P27" s="85"/>
      <c r="Q27" s="66"/>
      <c r="R27" s="86"/>
      <c r="S27" s="66"/>
      <c r="T27" s="87"/>
      <c r="U27" s="88"/>
    </row>
    <row r="28">
      <c r="A28" s="89" t="str">
        <f>Cute!C2</f>
        <v>Jdub</v>
      </c>
      <c r="B28" s="90">
        <f>Cute!D2</f>
        <v>18</v>
      </c>
      <c r="C28" s="91">
        <f>Cute!E2</f>
        <v>0.7777777778</v>
      </c>
      <c r="D28" s="91">
        <f>Cute!F2</f>
        <v>0.4444444444</v>
      </c>
      <c r="E28" s="91">
        <f>Cute!G2</f>
        <v>1.555555556</v>
      </c>
      <c r="F28" s="91">
        <f>Cute!H2</f>
        <v>2.833333333</v>
      </c>
      <c r="G28" s="91">
        <f>Cute!I2</f>
        <v>1.055555556</v>
      </c>
      <c r="H28" s="91">
        <f>Cute!K2</f>
        <v>0.8333333333</v>
      </c>
      <c r="I28" s="92">
        <f>Cute!L2</f>
        <v>0.2745098039</v>
      </c>
      <c r="L28" s="93"/>
      <c r="M28" s="66"/>
      <c r="N28" s="94"/>
      <c r="O28" s="82"/>
      <c r="P28" s="93"/>
      <c r="Q28" s="66"/>
      <c r="R28" s="86"/>
      <c r="S28" s="66"/>
      <c r="T28" s="95"/>
      <c r="U28" s="88"/>
    </row>
    <row r="29">
      <c r="A29" s="89" t="str">
        <f>Cute!C3</f>
        <v>Hymel</v>
      </c>
      <c r="B29" s="90">
        <f>Cute!D3</f>
        <v>17</v>
      </c>
      <c r="C29" s="91">
        <f>Cute!E3</f>
        <v>0.7058823529</v>
      </c>
      <c r="D29" s="91">
        <f>Cute!F3</f>
        <v>0.6470588235</v>
      </c>
      <c r="E29" s="91">
        <f>Cute!G3</f>
        <v>1</v>
      </c>
      <c r="F29" s="91">
        <f>Cute!H3</f>
        <v>2.411764706</v>
      </c>
      <c r="G29" s="91">
        <f>Cute!I3</f>
        <v>0.4705882353</v>
      </c>
      <c r="H29" s="91">
        <f>Cute!K3</f>
        <v>0.9411764706</v>
      </c>
      <c r="I29" s="92">
        <f>Cute!L3</f>
        <v>0.2926829268</v>
      </c>
      <c r="L29" s="96"/>
      <c r="M29" s="66"/>
      <c r="N29" s="97"/>
      <c r="O29" s="82"/>
      <c r="P29" s="96"/>
      <c r="Q29" s="66"/>
      <c r="R29" s="97"/>
      <c r="S29" s="66"/>
      <c r="T29" s="6"/>
      <c r="U29" s="88"/>
    </row>
    <row r="30">
      <c r="A30" s="89" t="str">
        <f>Cute!C4</f>
        <v>RadPanda</v>
      </c>
      <c r="B30" s="90">
        <f>Cute!D4</f>
        <v>7</v>
      </c>
      <c r="C30" s="91">
        <f>Cute!E4</f>
        <v>0.5714285714</v>
      </c>
      <c r="D30" s="91">
        <f>Cute!F4</f>
        <v>0.8571428571</v>
      </c>
      <c r="E30" s="91">
        <f>Cute!G4</f>
        <v>1.142857143</v>
      </c>
      <c r="F30" s="91">
        <f>Cute!H4</f>
        <v>3.571428571</v>
      </c>
      <c r="G30" s="91">
        <f>Cute!I4</f>
        <v>1.714285714</v>
      </c>
      <c r="H30" s="91">
        <f>Cute!K4</f>
        <v>0.8571428571</v>
      </c>
      <c r="I30" s="92">
        <f>Cute!L4</f>
        <v>0.16</v>
      </c>
      <c r="L30" s="98"/>
      <c r="M30" s="69"/>
      <c r="N30" s="99"/>
      <c r="O30" s="100"/>
      <c r="P30" s="98"/>
      <c r="Q30" s="69"/>
      <c r="R30" s="99"/>
      <c r="S30" s="69"/>
      <c r="T30" s="56"/>
      <c r="U30" s="101"/>
    </row>
    <row r="31">
      <c r="A31" s="89" t="str">
        <f>Cute!C6</f>
        <v>TK Moose</v>
      </c>
      <c r="B31" s="90">
        <f>Cute!D6</f>
        <v>8</v>
      </c>
      <c r="C31" s="91">
        <f>Cute!E6</f>
        <v>0.75</v>
      </c>
      <c r="D31" s="91">
        <f>Cute!F6</f>
        <v>0.25</v>
      </c>
      <c r="E31" s="91">
        <f>Cute!G6</f>
        <v>1.125</v>
      </c>
      <c r="F31" s="91">
        <f>Cute!H6</f>
        <v>2.375</v>
      </c>
      <c r="G31" s="91">
        <f>Cute!I6</f>
        <v>0.5</v>
      </c>
      <c r="H31" s="91">
        <f>Cute!K6</f>
        <v>0.875</v>
      </c>
      <c r="I31" s="92">
        <f>Cute!L6</f>
        <v>0.3157894737</v>
      </c>
    </row>
    <row r="32">
      <c r="A32" s="71"/>
      <c r="B32" s="71"/>
      <c r="C32" s="71"/>
      <c r="D32" s="71"/>
      <c r="E32" s="71"/>
      <c r="F32" s="71"/>
      <c r="G32" s="71"/>
      <c r="H32" s="71"/>
      <c r="L32" s="43"/>
      <c r="M32" s="58"/>
      <c r="N32" s="43"/>
      <c r="O32" s="58"/>
      <c r="P32" s="43"/>
      <c r="Q32" s="44"/>
      <c r="R32" s="43"/>
      <c r="S32" s="58"/>
      <c r="T32" s="43"/>
      <c r="U32" s="44"/>
    </row>
    <row r="33">
      <c r="A33" s="71"/>
      <c r="B33" s="71"/>
      <c r="C33" s="71"/>
      <c r="D33" s="71"/>
      <c r="E33" s="71"/>
      <c r="F33" s="71"/>
      <c r="G33" s="71"/>
      <c r="H33" s="71"/>
      <c r="L33" s="80"/>
      <c r="M33" s="61"/>
      <c r="N33" s="80"/>
      <c r="O33" s="61"/>
      <c r="P33" s="80"/>
      <c r="Q33" s="63"/>
      <c r="R33" s="80"/>
      <c r="S33" s="61"/>
      <c r="T33" s="81"/>
      <c r="U33" s="48"/>
    </row>
    <row r="34">
      <c r="A34" s="71"/>
      <c r="B34" s="71"/>
      <c r="C34" s="71"/>
      <c r="D34" s="71"/>
      <c r="E34" s="71"/>
      <c r="F34" s="71"/>
      <c r="G34" s="71"/>
      <c r="H34" s="71"/>
      <c r="L34" s="85"/>
      <c r="M34" s="63"/>
      <c r="N34" s="85"/>
      <c r="O34" s="63"/>
      <c r="P34" s="85"/>
      <c r="Q34" s="63"/>
      <c r="R34" s="85"/>
      <c r="S34" s="63"/>
      <c r="T34" s="86"/>
      <c r="U34" s="48"/>
    </row>
    <row r="35">
      <c r="A35" s="71"/>
      <c r="B35" s="71"/>
      <c r="C35" s="71"/>
      <c r="D35" s="71"/>
      <c r="E35" s="71"/>
      <c r="F35" s="71"/>
      <c r="G35" s="71"/>
      <c r="H35" s="71"/>
      <c r="L35" s="93"/>
      <c r="M35" s="63"/>
      <c r="N35" s="93"/>
      <c r="O35" s="63"/>
      <c r="P35" s="93"/>
      <c r="Q35" s="63"/>
      <c r="R35" s="93"/>
      <c r="S35" s="63"/>
      <c r="T35" s="86"/>
      <c r="U35" s="48"/>
    </row>
    <row r="36">
      <c r="A36" s="71"/>
      <c r="B36" s="71"/>
      <c r="C36" s="71"/>
      <c r="D36" s="71"/>
      <c r="E36" s="71"/>
      <c r="F36" s="71"/>
      <c r="G36" s="71"/>
      <c r="H36" s="71"/>
      <c r="L36" s="47"/>
      <c r="M36" s="63"/>
      <c r="N36" s="6"/>
      <c r="O36" s="63"/>
      <c r="P36" s="6"/>
      <c r="Q36" s="63"/>
      <c r="R36" s="6"/>
      <c r="S36" s="63"/>
      <c r="T36" s="6"/>
      <c r="U36" s="48"/>
    </row>
    <row r="37">
      <c r="A37" s="71"/>
      <c r="B37" s="71"/>
      <c r="C37" s="71"/>
      <c r="D37" s="71"/>
      <c r="E37" s="71"/>
      <c r="F37" s="71"/>
      <c r="G37" s="71"/>
      <c r="H37" s="71"/>
      <c r="L37" s="54"/>
      <c r="M37" s="68"/>
      <c r="N37" s="56"/>
      <c r="O37" s="68"/>
      <c r="P37" s="56"/>
      <c r="Q37" s="68"/>
      <c r="R37" s="56"/>
      <c r="S37" s="68"/>
      <c r="T37" s="56"/>
      <c r="U37" s="55"/>
    </row>
    <row r="38">
      <c r="A38" s="71"/>
      <c r="B38" s="71"/>
      <c r="C38" s="71"/>
      <c r="D38" s="71"/>
      <c r="E38" s="71"/>
      <c r="F38" s="71"/>
      <c r="G38" s="71"/>
      <c r="H38" s="7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1" t="s">
        <v>195</v>
      </c>
      <c r="B1" s="6"/>
      <c r="C1" s="14"/>
      <c r="D1" s="14"/>
      <c r="E1" s="14"/>
      <c r="F1" s="14"/>
      <c r="G1" s="6"/>
    </row>
    <row r="2">
      <c r="A2" s="43" t="s">
        <v>204</v>
      </c>
      <c r="B2" s="44" t="s">
        <v>205</v>
      </c>
      <c r="C2" s="43" t="s">
        <v>206</v>
      </c>
      <c r="D2" s="44" t="s">
        <v>207</v>
      </c>
      <c r="E2" s="43" t="s">
        <v>208</v>
      </c>
      <c r="F2" s="44" t="s">
        <v>209</v>
      </c>
      <c r="G2" s="43" t="s">
        <v>210</v>
      </c>
      <c r="H2" s="44" t="s">
        <v>211</v>
      </c>
      <c r="I2" s="43" t="s">
        <v>212</v>
      </c>
      <c r="J2" s="44" t="s">
        <v>213</v>
      </c>
      <c r="K2" s="43" t="s">
        <v>214</v>
      </c>
      <c r="L2" s="44" t="s">
        <v>215</v>
      </c>
      <c r="M2" s="43" t="s">
        <v>216</v>
      </c>
      <c r="N2" s="44" t="s">
        <v>217</v>
      </c>
    </row>
    <row r="3">
      <c r="A3" s="47" t="str">
        <f t="array" ref="A3">INDEX($A$18:$A$31, MATCH(LARGE(C18:C31, 1), C18:C31, 0))</f>
        <v>Whale</v>
      </c>
      <c r="B3" s="48">
        <f>LARGE($C$18:$C$31, 1)</f>
        <v>382.3181818</v>
      </c>
      <c r="C3" s="47" t="str">
        <f t="array" ref="C3">INDEX($A$18:$A$31, MATCH(LARGE(D18:D31, 1), D18:D31, 0))</f>
        <v>Jdub</v>
      </c>
      <c r="D3" s="48">
        <f>LARGE($D$18:$D$31, 1)</f>
        <v>3.696098563</v>
      </c>
      <c r="E3" s="47" t="str">
        <f t="array" ref="E3">INDEX($A$18:$A$31, MATCH(LARGE(E18:E31, 1), E18:E31, 0))</f>
        <v>TK Moose</v>
      </c>
      <c r="F3" s="48">
        <f>LARGE($E$18:$E$31, 1)</f>
        <v>16.08276511</v>
      </c>
      <c r="G3" s="47" t="str">
        <f t="array" ref="G3">INDEX($A$18:$A$31, MATCH(LARGE(F18:F31, 1), F18:F31, 0))</f>
        <v>BS</v>
      </c>
      <c r="H3" s="48">
        <f>LARGE($F$18:$F$31, 1)</f>
        <v>1.039989265</v>
      </c>
      <c r="I3" s="47" t="str">
        <f t="array" ref="I3">INDEX($A$18:$A$31, MATCH(LARGE(G18:G31, 1), G18:G31, 0))</f>
        <v>TK Moose</v>
      </c>
      <c r="J3" s="48">
        <f>LARGE($G$18:$G$31, 1)</f>
        <v>4.584998824</v>
      </c>
      <c r="K3" s="47" t="str">
        <f t="array" ref="K3">INDEX($A$18:$A$31, MATCH(LARGE(H18:H31, 1), H18:H31, 0))</f>
        <v>Nance</v>
      </c>
      <c r="L3" s="48">
        <f>LARGE($H$18:$H$31, 1)</f>
        <v>39.32210526</v>
      </c>
      <c r="M3" s="47" t="str">
        <f t="array" ref="M3">INDEX($A$18:$A$31, MATCH(LARGE(I18:I31, 1), I18:I31, 0))</f>
        <v>BS</v>
      </c>
      <c r="N3" s="48">
        <f>LARGE($I$18:$I$31, 1)</f>
        <v>37.75909091</v>
      </c>
    </row>
    <row r="4">
      <c r="A4" s="6" t="str">
        <f t="array" ref="A4">IF(IFNA(MATCH(INDEX($A$18:$A$31, MATCH(LARGE($C$18:$C$31, (ROW(A4) - 2)), $C$18:$C$31, 0)), $A$3:A3, 0), FALSE()), INDEX($A$18:$A$31, SMALL(IF($C$18:$C$31 = B4, ROW($C$18:$C$31) - MIN(ROW($C$18:$C$31)) + 1), (ROW(A4) -1) -MATCH(INDEX($A$18:$A$31, MATCH(LARGE($C$18:$C$31, (ROW(A4) - 2)), $C$18:$C$31, 0)), $A$3:A3, 0))), INDEX($A$18:$A$31, MATCH(LARGE($C$18:$C$31, (ROW(A4) - 2)), $C$18:$C$31, 0)))</f>
        <v>Cyber</v>
      </c>
      <c r="B4" s="48">
        <f>LARGE($C$18:$C$31, 2)</f>
        <v>368.7037037</v>
      </c>
      <c r="C4" s="6" t="str">
        <f t="array" ref="C4">IF(IFNA(MATCH(INDEX($A$18:$A$31, MATCH(LARGE($D$18:$D$31, (ROW(C4) - 2)), $D$18:$D$31, 0)), $C$3:C3, 0), FALSE()), INDEX($A$18:$A$31, SMALL(IF($D$18:$D$31 = D4, ROW($D$18:$D$31) - MIN(ROW($D$18:$D$31)) + 1), (ROW(C4) -1) -MATCH(INDEX($A$18:$A$31, MATCH(LARGE($D$18:$D$31, (ROW(C4) - 2)), $D$18:$D$31, 0)), $C$3:C3, 0))), INDEX($A$18:$A$31, MATCH(LARGE($D$18:$D$31, (ROW(C4) - 2)), $D$18:$D$31, 0)))</f>
        <v>Rainbow</v>
      </c>
      <c r="D4" s="48">
        <f>LARGE($D$18:$D$31, 2)</f>
        <v>3.480392157</v>
      </c>
      <c r="E4" s="6" t="str">
        <f t="array" ref="E4">IF(IFNA(MATCH(INDEX($A$18:$A$31, MATCH(LARGE($E$18:$E$31, (ROW(E4) - 2)), $E$18:$E$31, 0)), $E$3:E3, 0), FALSE()), INDEX($A$18:$A$31, SMALL(IF($E$18:$E$31 = F4, ROW($E$18:$E$31) - MIN(ROW($E$18:$E$31)) + 1), (ROW(E4) -1) -MATCH(INDEX($A$18:$A$31, MATCH(LARGE($E$18:$E$31, (ROW(E4) - 2)), $E$18:$E$31, 0)), $E$3:E3, 0))), INDEX($A$18:$A$31, MATCH(LARGE($E$18:$E$31, (ROW(E4) - 2)), $E$18:$E$31, 0)))</f>
        <v>Cyber</v>
      </c>
      <c r="F4" s="48">
        <f>LARGE($E$18:$E$31, 2)</f>
        <v>12.85614525</v>
      </c>
      <c r="G4" s="6" t="str">
        <f t="array" ref="G4">IF(IFNA(MATCH(INDEX($A$18:$A$31, MATCH(LARGE($F$18:$F$31, (ROW(G4) - 2)), $F$18:$F$31, 0)), $G$3:G3, 0), FALSE()), INDEX($A$18:$A$31, SMALL(IF($F$18:$F$31 = H4, ROW($F$18:$F$31) - MIN(ROW($F$18:$F$31)) + 1), (ROW(G4) -1) -MATCH(INDEX($A$18:$A$31, MATCH(LARGE($F$18:$F$31, (ROW(G4) - 2)), $F$18:$F$31, 0)), $G$3:G3, 0))), INDEX($A$18:$A$31, MATCH(LARGE($F$18:$F$31, (ROW(G4) - 2)), $F$18:$F$31, 0)))</f>
        <v>RadPanda</v>
      </c>
      <c r="H4" s="48">
        <f>LARGE($F$18:$F$31, 2)</f>
        <v>0.8571428571</v>
      </c>
      <c r="I4" s="6" t="str">
        <f t="array" ref="I4">IF(IFNA(MATCH(INDEX($A$18:$A$31, MATCH(LARGE($G$18:$G$31, (ROW(I4) - 2)), $G$18:$G$31, 0)), $I$3:I3, 0), FALSE()), INDEX($A$18:$A$31, SMALL(IF($G$18:$G$31 = J4, ROW($G$18:$G$31) - MIN(ROW($G$18:$G$31)) + 1), (ROW(I4) -1) -MATCH(INDEX($A$18:$A$31, MATCH(LARGE($G$18:$G$31, (ROW(I4) - 2)), $G$18:$G$31, 0)), $I$3:I3, 0))), INDEX($A$18:$A$31, MATCH(LARGE($G$18:$G$31, (ROW(I4) - 2)), $G$18:$G$31, 0)))</f>
        <v>Cyber</v>
      </c>
      <c r="J4" s="48">
        <f>LARGE($G$18:$G$31, 2)</f>
        <v>3.589385475</v>
      </c>
      <c r="K4" s="6" t="str">
        <f t="array" ref="K4">IF(IFNA(MATCH(INDEX($A$18:$A$31, MATCH(LARGE($H$18:$H$31, (ROW(K4) - 2)), $H$18:$H$31, 0)), $K$3:K3, 0), FALSE()), INDEX($A$18:$A$31, SMALL(IF($H$18:$H$31 = L4, ROW($H$18:$H$31) - MIN(ROW($H$18:$H$31)) + 1), (ROW(K4) -1) -MATCH(INDEX($A$18:$A$31, MATCH(LARGE($H$18:$H$31, (ROW(K4) - 2)), $H$18:$H$31, 0)), $K$3:K3, 0))), INDEX($A$18:$A$31, MATCH(LARGE($H$18:$H$31, (ROW(K4) - 2)), $H$18:$H$31, 0)))</f>
        <v>Rainbow</v>
      </c>
      <c r="L4" s="48">
        <f>LARGE($H$18:$H$31, 2)</f>
        <v>38.9975</v>
      </c>
      <c r="M4" s="6" t="str">
        <f t="array" ref="M4">IF(IFNA(MATCH(INDEX($A$18:$A$31, MATCH(LARGE($I$18:$I$31, (ROW(M4) - 2)), $I$18:$I$31, 0)), $M$3:M3, 0), FALSE()), INDEX($A$18:$A$31, SMALL(IF($I$18:$I$31 = N4, ROW($I$18:$I$31) - MIN(ROW($I$18:$I$31)) + 1), (ROW(M4) -1) -MATCH(INDEX($A$18:$A$31, MATCH(LARGE($I$18:$I$31, (ROW(M4) - 2)), $I$18:$I$31, 0)), $M$3:M3, 0))), INDEX($A$18:$A$31, MATCH(LARGE($I$18:$I$31, (ROW(M4) - 2)), $I$18:$I$31, 0)))</f>
        <v>RadPanda</v>
      </c>
      <c r="N4" s="48">
        <f>LARGE($I$18:$I$31, 2)</f>
        <v>36.89857143</v>
      </c>
    </row>
    <row r="5">
      <c r="A5" s="6" t="str">
        <f t="array" ref="A5">IF(IFNA(MATCH(INDEX($A$18:$A$31, MATCH(LARGE($C$18:$C$31, (ROW(A5) - 2)), $C$18:$C$31, 0)), $A$3:A4, 0), FALSE()), INDEX($A$18:$A$31, SMALL(IF($C$18:$C$31 = B5, ROW($C$18:$C$31) - MIN(ROW($C$18:$C$31)) + 1), (ROW(A5) -1) -MATCH(INDEX($A$18:$A$31, MATCH(LARGE($C$18:$C$31, (ROW(A5) - 2)), $C$18:$C$31, 0)), $A$3:A4, 0))), INDEX($A$18:$A$31, MATCH(LARGE($C$18:$C$31, (ROW(A5) - 2)), $C$18:$C$31, 0)))</f>
        <v>RadPanda</v>
      </c>
      <c r="B5" s="48">
        <f>LARGE($C$18:$C$31, 3)</f>
        <v>366.1428571</v>
      </c>
      <c r="C5" s="6" t="str">
        <f t="array" ref="C5">IF(IFNA(MATCH(INDEX($A$18:$A$31, MATCH(LARGE($D$18:$D$31, (ROW(C5) - 2)), $D$18:$D$31, 0)), $C$3:C4, 0), FALSE()), INDEX($A$18:$A$31, SMALL(IF($D$18:$D$31 = D5, ROW($D$18:$D$31) - MIN(ROW($D$18:$D$31)) + 1), (ROW(C5) -1) -MATCH(INDEX($A$18:$A$31, MATCH(LARGE($D$18:$D$31, (ROW(C5) - 2)), $D$18:$D$31, 0)), $C$3:C4, 0))), INDEX($A$18:$A$31, MATCH(LARGE($D$18:$D$31, (ROW(C5) - 2)), $D$18:$D$31, 0)))</f>
        <v>Rel</v>
      </c>
      <c r="D5" s="48">
        <f>LARGE($D$18:$D$31, 3)</f>
        <v>3.468137255</v>
      </c>
      <c r="E5" s="6" t="str">
        <f t="array" ref="E5">IF(IFNA(MATCH(INDEX($A$18:$A$31, MATCH(LARGE($E$18:$E$31, (ROW(E5) - 2)), $E$18:$E$31, 0)), $E$3:E4, 0), FALSE()), INDEX($A$18:$A$31, SMALL(IF($E$18:$E$31 = F5, ROW($E$18:$E$31) - MIN(ROW($E$18:$E$31)) + 1), (ROW(E5) -1) -MATCH(INDEX($A$18:$A$31, MATCH(LARGE($E$18:$E$31, (ROW(E5) - 2)), $E$18:$E$31, 0)), $E$3:E4, 0))), INDEX($A$18:$A$31, MATCH(LARGE($E$18:$E$31, (ROW(E5) - 2)), $E$18:$E$31, 0)))</f>
        <v>Whale</v>
      </c>
      <c r="F5" s="48">
        <f>LARGE($E$18:$E$31, 3)</f>
        <v>12.19966159</v>
      </c>
      <c r="G5" s="6" t="str">
        <f t="array" ref="G5">IF(IFNA(MATCH(INDEX($A$18:$A$31, MATCH(LARGE($F$18:$F$31, (ROW(G5) - 2)), $F$18:$F$31, 0)), $G$3:G4, 0), FALSE()), INDEX($A$18:$A$31, SMALL(IF($F$18:$F$31 = H5, ROW($F$18:$F$31) - MIN(ROW($F$18:$F$31)) + 1), (ROW(G5) -1) -MATCH(INDEX($A$18:$A$31, MATCH(LARGE($F$18:$F$31, (ROW(G5) - 2)), $F$18:$F$31, 0)), $G$3:G4, 0))), INDEX($A$18:$A$31, MATCH(LARGE($F$18:$F$31, (ROW(G5) - 2)), $F$18:$F$31, 0)))</f>
        <v>Jdub</v>
      </c>
      <c r="H5" s="48">
        <f>LARGE($F$18:$F$31, 3)</f>
        <v>0.8537771534</v>
      </c>
      <c r="I5" s="6" t="str">
        <f t="array" ref="I5">IF(IFNA(MATCH(INDEX($A$18:$A$31, MATCH(LARGE($G$18:$G$31, (ROW(I5) - 2)), $G$18:$G$31, 0)), $I$3:I4, 0), FALSE()), INDEX($A$18:$A$31, SMALL(IF($G$18:$G$31 = J5, ROW($G$18:$G$31) - MIN(ROW($G$18:$G$31)) + 1), (ROW(I5) -1) -MATCH(INDEX($A$18:$A$31, MATCH(LARGE($G$18:$G$31, (ROW(I5) - 2)), $G$18:$G$31, 0)), $I$3:I4, 0))), INDEX($A$18:$A$31, MATCH(LARGE($G$18:$G$31, (ROW(I5) - 2)), $G$18:$G$31, 0)))</f>
        <v>Jdub</v>
      </c>
      <c r="J5" s="48">
        <f>LARGE($G$18:$G$31, 3)</f>
        <v>3.317842862</v>
      </c>
      <c r="K5" s="6" t="str">
        <f t="array" ref="K5">IF(IFNA(MATCH(INDEX($A$18:$A$31, MATCH(LARGE($H$18:$H$31, (ROW(K5) - 2)), $H$18:$H$31, 0)), $K$3:K4, 0), FALSE()), INDEX($A$18:$A$31, SMALL(IF($H$18:$H$31 = L5, ROW($H$18:$H$31) - MIN(ROW($H$18:$H$31)) + 1), (ROW(K5) -1) -MATCH(INDEX($A$18:$A$31, MATCH(LARGE($H$18:$H$31, (ROW(K5) - 2)), $H$18:$H$31, 0)), $K$3:K4, 0))), INDEX($A$18:$A$31, MATCH(LARGE($H$18:$H$31, (ROW(K5) - 2)), $H$18:$H$31, 0)))</f>
        <v>Whale</v>
      </c>
      <c r="L5" s="48">
        <f>LARGE($H$18:$H$31, 3)</f>
        <v>37.06090909</v>
      </c>
      <c r="M5" s="6" t="str">
        <f t="array" ref="M5">IF(IFNA(MATCH(INDEX($A$18:$A$31, MATCH(LARGE($I$18:$I$31, (ROW(M5) - 2)), $I$18:$I$31, 0)), $M$3:M4, 0), FALSE()), INDEX($A$18:$A$31, SMALL(IF($I$18:$I$31 = N5, ROW($I$18:$I$31) - MIN(ROW($I$18:$I$31)) + 1), (ROW(M5) -1) -MATCH(INDEX($A$18:$A$31, MATCH(LARGE($I$18:$I$31, (ROW(M5) - 2)), $I$18:$I$31, 0)), $M$3:M4, 0))), INDEX($A$18:$A$31, MATCH(LARGE($I$18:$I$31, (ROW(M5) - 2)), $I$18:$I$31, 0)))</f>
        <v>Cole</v>
      </c>
      <c r="N5" s="48">
        <f>LARGE($I$18:$I$31, 3)</f>
        <v>35.96375</v>
      </c>
    </row>
    <row r="6">
      <c r="A6" s="6" t="str">
        <f t="array" ref="A6">IF(IFNA(MATCH(INDEX($A$18:$A$31, MATCH(LARGE($C$18:$C$31, (ROW(A6) - 2)), $C$18:$C$31, 0)), $A$3:A5, 0), FALSE()), INDEX($A$18:$A$31, SMALL(IF($C$18:$C$31 = B6, ROW($C$18:$C$31) - MIN(ROW($C$18:$C$31)) + 1), (ROW(A6) -1) -MATCH(INDEX($A$18:$A$31, MATCH(LARGE($C$18:$C$31, (ROW(A6) - 2)), $C$18:$C$31, 0)), $A$3:A5, 0))), INDEX($A$18:$A$31, MATCH(LARGE($C$18:$C$31, (ROW(A6) - 2)), $C$18:$C$31, 0)))</f>
        <v>Jdub</v>
      </c>
      <c r="B6" s="48">
        <f>LARGE($C$18:$C$31, 4)</f>
        <v>352.7222222</v>
      </c>
      <c r="C6" s="6" t="str">
        <f t="array" ref="C6">IF(IFNA(MATCH(INDEX($A$18:$A$31, MATCH(LARGE($D$18:$D$31, (ROW(C6) - 2)), $D$18:$D$31, 0)), $C$3:C5, 0), FALSE()), INDEX($A$18:$A$31, SMALL(IF($D$18:$D$31 = D6, ROW($D$18:$D$31) - MIN(ROW($D$18:$D$31)) + 1), (ROW(C6) -1) -MATCH(INDEX($A$18:$A$31, MATCH(LARGE($D$18:$D$31, (ROW(C6) - 2)), $D$18:$D$31, 0)), $C$3:C5, 0))), INDEX($A$18:$A$31, MATCH(LARGE($D$18:$D$31, (ROW(C6) - 2)), $D$18:$D$31, 0)))</f>
        <v>BS</v>
      </c>
      <c r="D6" s="48">
        <f>LARGE($D$18:$D$31, 4)</f>
        <v>3.38835212</v>
      </c>
      <c r="E6" s="6" t="str">
        <f t="array" ref="E6">IF(IFNA(MATCH(INDEX($A$18:$A$31, MATCH(LARGE($E$18:$E$31, (ROW(E6) - 2)), $E$18:$E$31, 0)), $E$3:E5, 0), FALSE()), INDEX($A$18:$A$31, SMALL(IF($E$18:$E$31 = F6, ROW($E$18:$E$31) - MIN(ROW($E$18:$E$31)) + 1), (ROW(E6) -1) -MATCH(INDEX($A$18:$A$31, MATCH(LARGE($E$18:$E$31, (ROW(E6) - 2)), $E$18:$E$31, 0)), $E$3:E5, 0))), INDEX($A$18:$A$31, MATCH(LARGE($E$18:$E$31, (ROW(E6) - 2)), $E$18:$E$31, 0)))</f>
        <v>Yoshi</v>
      </c>
      <c r="F6" s="48">
        <f>LARGE($E$18:$E$31, 4)</f>
        <v>11.80713482</v>
      </c>
      <c r="G6" s="6" t="str">
        <f t="array" ref="G6">IF(IFNA(MATCH(INDEX($A$18:$A$31, MATCH(LARGE($F$18:$F$31, (ROW(G6) - 2)), $F$18:$F$31, 0)), $G$3:G5, 0), FALSE()), INDEX($A$18:$A$31, SMALL(IF($F$18:$F$31 = H6, ROW($F$18:$F$31) - MIN(ROW($F$18:$F$31)) + 1), (ROW(G6) -1) -MATCH(INDEX($A$18:$A$31, MATCH(LARGE($F$18:$F$31, (ROW(G6) - 2)), $F$18:$F$31, 0)), $G$3:G5, 0))), INDEX($A$18:$A$31, MATCH(LARGE($F$18:$F$31, (ROW(G6) - 2)), $F$18:$F$31, 0)))</f>
        <v>Cole</v>
      </c>
      <c r="H6" s="48">
        <f>LARGE($F$18:$F$31, 4)</f>
        <v>0.7965686275</v>
      </c>
      <c r="I6" s="6" t="str">
        <f t="array" ref="I6">IF(IFNA(MATCH(INDEX($A$18:$A$31, MATCH(LARGE($G$18:$G$31, (ROW(I6) - 2)), $G$18:$G$31, 0)), $I$3:I5, 0), FALSE()), INDEX($A$18:$A$31, SMALL(IF($G$18:$G$31 = J6, ROW($G$18:$G$31) - MIN(ROW($G$18:$G$31)) + 1), (ROW(I6) -1) -MATCH(INDEX($A$18:$A$31, MATCH(LARGE($G$18:$G$31, (ROW(I6) - 2)), $G$18:$G$31, 0)), $I$3:I5, 0))), INDEX($A$18:$A$31, MATCH(LARGE($G$18:$G$31, (ROW(I6) - 2)), $G$18:$G$31, 0)))</f>
        <v>RadPanda</v>
      </c>
      <c r="J6" s="48">
        <f>LARGE($G$18:$G$31, 4)</f>
        <v>3.2</v>
      </c>
      <c r="K6" s="6" t="str">
        <f t="array" ref="K6">IF(IFNA(MATCH(INDEX($A$18:$A$31, MATCH(LARGE($H$18:$H$31, (ROW(K6) - 2)), $H$18:$H$31, 0)), $K$3:K5, 0), FALSE()), INDEX($A$18:$A$31, SMALL(IF($H$18:$H$31 = L6, ROW($H$18:$H$31) - MIN(ROW($H$18:$H$31)) + 1), (ROW(K6) -1) -MATCH(INDEX($A$18:$A$31, MATCH(LARGE($H$18:$H$31, (ROW(K6) - 2)), $H$18:$H$31, 0)), $K$3:K5, 0))), INDEX($A$18:$A$31, MATCH(LARGE($H$18:$H$31, (ROW(K6) - 2)), $H$18:$H$31, 0)))</f>
        <v>Hymel</v>
      </c>
      <c r="L6" s="48">
        <f>LARGE($H$18:$H$31, 4)</f>
        <v>36.69764706</v>
      </c>
      <c r="M6" s="6" t="str">
        <f t="array" ref="M6">IF(IFNA(MATCH(INDEX($A$18:$A$31, MATCH(LARGE($I$18:$I$31, (ROW(M6) - 2)), $I$18:$I$31, 0)), $M$3:M5, 0), FALSE()), INDEX($A$18:$A$31, SMALL(IF($I$18:$I$31 = N6, ROW($I$18:$I$31) - MIN(ROW($I$18:$I$31)) + 1), (ROW(M6) -1) -MATCH(INDEX($A$18:$A$31, MATCH(LARGE($I$18:$I$31, (ROW(M6) - 2)), $I$18:$I$31, 0)), $M$3:M5, 0))), INDEX($A$18:$A$31, MATCH(LARGE($I$18:$I$31, (ROW(M6) - 2)), $I$18:$I$31, 0)))</f>
        <v>Cyber</v>
      </c>
      <c r="N6" s="48">
        <f>LARGE($I$18:$I$31, 4)</f>
        <v>34.83888889</v>
      </c>
    </row>
    <row r="7">
      <c r="A7" s="54" t="str">
        <f t="array" ref="A7">IF(IFNA(MATCH(INDEX($A$18:$A$31, MATCH(LARGE($C$18:$C$31, (ROW(A7) - 2)), $C$18:$C$31, 0)), $A$3:A6, 0), FALSE()), INDEX($A$18:$A$31, SMALL(IF($C$18:$C$31 = B7, ROW($C$18:$C$31) - MIN(ROW($C$18:$C$31)) + 1), (ROW(A7) -1) -MATCH(INDEX($A$18:$A$31, MATCH(LARGE($C$18:$C$31, (ROW(A7) - 2)), $C$18:$C$31, 0)), $A$3:A6, 0))), INDEX($A$18:$A$31, MATCH(LARGE($C$18:$C$31, (ROW(A7) - 2)), $C$18:$C$31, 0)))</f>
        <v>Hymel</v>
      </c>
      <c r="B7" s="55">
        <f>LARGE($C$18:$C$31, 5)</f>
        <v>349.2941176</v>
      </c>
      <c r="C7" s="56" t="str">
        <f t="array" ref="C7">IF(IFNA(MATCH(INDEX($A$18:$A$31, MATCH(LARGE($D$18:$D$31, (ROW(C7) - 2)), $D$18:$D$31, 0)), $C$3:C6, 0), FALSE()), INDEX($A$18:$A$31, SMALL(IF($D$18:$D$31 = D7, ROW($D$18:$D$31) - MIN(ROW($D$18:$D$31)) + 1), (ROW(C7) -1) -MATCH(INDEX($A$18:$A$31, MATCH(LARGE($D$18:$D$31, (ROW(C7) - 2)), $D$18:$D$31, 0)), $C$3:C6, 0))), INDEX($A$18:$A$31, MATCH(LARGE($D$18:$D$31, (ROW(C7) - 2)), $D$18:$D$31, 0)))</f>
        <v>RadPanda</v>
      </c>
      <c r="D7" s="55">
        <f>LARGE($D$18:$D$31, 5)</f>
        <v>3.371428571</v>
      </c>
      <c r="E7" s="56" t="str">
        <f t="array" ref="E7">IF(IFNA(MATCH(INDEX($A$18:$A$31, MATCH(LARGE($E$18:$E$31, (ROW(E7) - 2)), $E$18:$E$31, 0)), $E$3:E6, 0), FALSE()), INDEX($A$18:$A$31, SMALL(IF($E$18:$E$31 = F7, ROW($E$18:$E$31) - MIN(ROW($E$18:$E$31)) + 1), (ROW(E7) -1) -MATCH(INDEX($A$18:$A$31, MATCH(LARGE($E$18:$E$31, (ROW(E7) - 2)), $E$18:$E$31, 0)), $E$3:E6, 0))), INDEX($A$18:$A$31, MATCH(LARGE($E$18:$E$31, (ROW(E7) - 2)), $E$18:$E$31, 0)))</f>
        <v>Jdub</v>
      </c>
      <c r="F7" s="55">
        <f>LARGE($E$18:$E$31, 5)</f>
        <v>10.64519615</v>
      </c>
      <c r="G7" s="56" t="str">
        <f t="array" ref="G7">IF(IFNA(MATCH(INDEX($A$18:$A$31, MATCH(LARGE($F$18:$F$31, (ROW(G7) - 2)), $F$18:$F$31, 0)), $G$3:G6, 0), FALSE()), INDEX($A$18:$A$31, SMALL(IF($F$18:$F$31 = H7, ROW($F$18:$F$31) - MIN(ROW($F$18:$F$31)) + 1), (ROW(G7) -1) -MATCH(INDEX($A$18:$A$31, MATCH(LARGE($F$18:$F$31, (ROW(G7) - 2)), $F$18:$F$31, 0)), $G$3:G6, 0))), INDEX($A$18:$A$31, MATCH(LARGE($F$18:$F$31, (ROW(G7) - 2)), $F$18:$F$31, 0)))</f>
        <v>Rel</v>
      </c>
      <c r="H7" s="55">
        <f>LARGE($F$18:$F$31, 5)</f>
        <v>0.7107843137</v>
      </c>
      <c r="I7" s="56" t="str">
        <f t="array" ref="I7">IF(IFNA(MATCH(INDEX($A$18:$A$31, MATCH(LARGE($G$18:$G$31, (ROW(I7) - 2)), $G$18:$G$31, 0)), $I$3:I6, 0), FALSE()), INDEX($A$18:$A$31, SMALL(IF($G$18:$G$31 = J7, ROW($G$18:$G$31) - MIN(ROW($G$18:$G$31)) + 1), (ROW(I7) -1) -MATCH(INDEX($A$18:$A$31, MATCH(LARGE($G$18:$G$31, (ROW(I7) - 2)), $G$18:$G$31, 0)), $I$3:I6, 0))), INDEX($A$18:$A$31, MATCH(LARGE($G$18:$G$31, (ROW(I7) - 2)), $G$18:$G$31, 0)))</f>
        <v>Whale</v>
      </c>
      <c r="J7" s="55">
        <f>LARGE($G$18:$G$31, 5)</f>
        <v>3.096446701</v>
      </c>
      <c r="K7" s="56" t="str">
        <f t="array" ref="K7">IF(IFNA(MATCH(INDEX($A$18:$A$31, MATCH(LARGE($H$18:$H$31, (ROW(K7) - 2)), $H$18:$H$31, 0)), $K$3:K6, 0), FALSE()), INDEX($A$18:$A$31, SMALL(IF($H$18:$H$31 = L7, ROW($H$18:$H$31) - MIN(ROW($H$18:$H$31)) + 1), (ROW(K7) -1) -MATCH(INDEX($A$18:$A$31, MATCH(LARGE($H$18:$H$31, (ROW(K7) - 2)), $H$18:$H$31, 0)), $K$3:K6, 0))), INDEX($A$18:$A$31, MATCH(LARGE($H$18:$H$31, (ROW(K7) - 2)), $H$18:$H$31, 0)))</f>
        <v>Jdub</v>
      </c>
      <c r="L7" s="55">
        <f>LARGE($H$18:$H$31, 5)</f>
        <v>35.41444444</v>
      </c>
      <c r="M7" s="56" t="str">
        <f t="array" ref="M7">IF(IFNA(MATCH(INDEX($A$18:$A$31, MATCH(LARGE($I$18:$I$31, (ROW(M7) - 2)), $I$18:$I$31, 0)), $M$3:M6, 0), FALSE()), INDEX($A$18:$A$31, SMALL(IF($I$18:$I$31 = N7, ROW($I$18:$I$31) - MIN(ROW($I$18:$I$31)) + 1), (ROW(M7) -1) -MATCH(INDEX($A$18:$A$31, MATCH(LARGE($I$18:$I$31, (ROW(M7) - 2)), $I$18:$I$31, 0)), $M$3:M6, 0))), INDEX($A$18:$A$31, MATCH(LARGE($I$18:$I$31, (ROW(M7) - 2)), $I$18:$I$31, 0)))</f>
        <v>Hunter</v>
      </c>
      <c r="N7" s="55">
        <f>LARGE($I$18:$I$31, 5)</f>
        <v>34.63259259</v>
      </c>
    </row>
    <row r="9">
      <c r="A9" s="43" t="s">
        <v>218</v>
      </c>
      <c r="B9" s="44" t="s">
        <v>205</v>
      </c>
      <c r="C9" s="43" t="s">
        <v>202</v>
      </c>
      <c r="D9" s="58" t="s">
        <v>207</v>
      </c>
      <c r="E9" s="43" t="s">
        <v>202</v>
      </c>
      <c r="F9" s="44" t="s">
        <v>209</v>
      </c>
      <c r="G9" s="43" t="s">
        <v>202</v>
      </c>
      <c r="H9" s="58" t="s">
        <v>211</v>
      </c>
      <c r="I9" s="43" t="s">
        <v>202</v>
      </c>
      <c r="J9" s="58" t="s">
        <v>213</v>
      </c>
      <c r="K9" s="43" t="s">
        <v>202</v>
      </c>
      <c r="L9" s="58" t="s">
        <v>215</v>
      </c>
      <c r="M9" s="43" t="s">
        <v>202</v>
      </c>
      <c r="N9" s="58" t="s">
        <v>217</v>
      </c>
    </row>
    <row r="10">
      <c r="A10" s="60" t="str">
        <f>IFERROR(__xludf.DUMMYFUNCTION("INDEX($A$18:$A$31, MATCH(SMALL(FILTER(C18:C31, C18:C31&lt;&gt;0), 1), C18:C31, 0))"),"Drihzer")</f>
        <v>Drihzer</v>
      </c>
      <c r="B10" s="61">
        <f>IFERROR(__xludf.DUMMYFUNCTION("SMALL(FILTER($C$18:$C$31, $C$18:$C$31&lt;&gt;0), (ROW(C10) -9))"),242.26666666666668)</f>
        <v>242.2666667</v>
      </c>
      <c r="C10" s="60" t="str">
        <f>IFERROR(__xludf.DUMMYFUNCTION("INDEX($A$18:$A$31, MATCH(SMALL(FILTER(D18:D31, D18:D31&lt;&gt;0), 1), D18:D31, 0))"),"Drihzer")</f>
        <v>Drihzer</v>
      </c>
      <c r="D10" s="61">
        <f>IFERROR(__xludf.DUMMYFUNCTION("SMALL(FILTER($D$18:$D$31, $D$18:$D$31&lt;&gt;0), (ROW(E10) -9))"),1.9241410533729062)</f>
        <v>1.924141053</v>
      </c>
      <c r="E10" s="60" t="str">
        <f>IFERROR(__xludf.DUMMYFUNCTION("INDEX($A$18:$A$31, MATCH(SMALL(FILTER(E18:E31, E18:E31&lt;&gt;0), 1), E18:E31, 0))"),"Rel")</f>
        <v>Rel</v>
      </c>
      <c r="F10" s="63">
        <f>IFERROR(__xludf.DUMMYFUNCTION("SMALL(FILTER($E$18:$E$31, $E$18:$E$31&lt;&gt;0), (ROW(G10) -9))"),8.223039215686276)</f>
        <v>8.223039216</v>
      </c>
      <c r="G10" s="62" t="str">
        <f>IFERROR(__xludf.DUMMYFUNCTION("INDEX($A$18:$A$31, MATCH(SMALL(FILTER(F18:F31, F18:F31&lt;&gt;0), 1), F18:F31, 0))"),"Yoshi")</f>
        <v>Yoshi</v>
      </c>
      <c r="H10" s="61">
        <f>IFERROR(__xludf.DUMMYFUNCTION("SMALL(FILTER($F$18:$F$31, $F$18:$F$31&lt;&gt;0), (ROW(I10) -9))"),0.37902281028185514)</f>
        <v>0.3790228103</v>
      </c>
      <c r="I10" s="62" t="str">
        <f>IFERROR(__xludf.DUMMYFUNCTION("INDEX($A$18:$A$31, MATCH(SMALL(FILTER(G18:G31, G18:G31&lt;&gt;0), 1), G18:G31, 0))"),"Rainbow")</f>
        <v>Rainbow</v>
      </c>
      <c r="J10" s="61">
        <f>IFERROR(__xludf.DUMMYFUNCTION("SMALL(FILTER($G$18:$G$31, $G$18:$G$31&lt;&gt;0), (ROW(K10) -9))"),1.911764705882353)</f>
        <v>1.911764706</v>
      </c>
      <c r="K10" s="60" t="str">
        <f>IFERROR(__xludf.DUMMYFUNCTION("INDEX($A$18:$A$31, MATCH(SMALL(FILTER(H18:H31, H18:H31&lt;&gt;0), 1), H18:H31, 0))"),"Cole")</f>
        <v>Cole</v>
      </c>
      <c r="L10" s="61">
        <f>IFERROR(__xludf.DUMMYFUNCTION("SMALL(FILTER($H$18:$H$31, $H$18:$H$31&lt;&gt;0), (ROW(M10) -9))"),27.586875)</f>
        <v>27.586875</v>
      </c>
      <c r="M10" s="62" t="str">
        <f>IFERROR(__xludf.DUMMYFUNCTION("INDEX($A$18:$A$31, MATCH(SMALL(FILTER(I18:I31, I18:I31&lt;&gt;0), 1), I18:I31, 0))"),"Rainbow")</f>
        <v>Rainbow</v>
      </c>
      <c r="N10" s="61">
        <f>IFERROR(__xludf.DUMMYFUNCTION("SMALL(FILTER($I$18:$I$31, $I$18:$I$31&lt;&gt;0), (ROW(K10) -9))"),29.776250000000008)</f>
        <v>29.77625</v>
      </c>
    </row>
    <row r="11">
      <c r="A11" s="47" t="str">
        <f>IFERROR(__xludf.DUMMYFUNCTION("IF(IFNA(MATCH(INDEX($A$18:$A$31, MATCH(SMALL(FILTER($C$18:$C$31, $C$18:$C$31&lt;&gt;0), (ROW(C11) -9)), $C$18:$C$31, 0)), $A$10:A10, 0), FALSE()), INDEX($A$18:$A$31, ARRAYFORMULA(SMALL(IF($C$18:$C$31 = B11, ROW($C$18:$C$31) - MIN(ROW($C$18:$C$31)) + 1), (ROW(A1"&amp;"1) -8) -MATCH(INDEX($A$18:$A$31, MATCH(SMALL(FILTER($C$18:$C$31, $C$18:$C$31&lt;&gt;0), (ROW(C11) -9)), $C$18:$C$31, 0)), $A$10:A10, 0)))), INDEX($A$18:$A$31, MATCH(SMALL(FILTER($C$18:$C$31, $C$18:$C$31&lt;&gt;0), (ROW(C11) -9)), $C$18:$C$31, 0)))"),"Yoshi")</f>
        <v>Yoshi</v>
      </c>
      <c r="B11" s="63">
        <f>IFERROR(__xludf.DUMMYFUNCTION("SMALL(FILTER($C$18:$C$31, $C$18:$C$31&lt;&gt;0), (ROW(C11) -9))"),296.7647058823529)</f>
        <v>296.7647059</v>
      </c>
      <c r="C11" s="47" t="str">
        <f>IFERROR(__xludf.DUMMYFUNCTION("IF(IFNA(MATCH(INDEX($A$18:$A$31, MATCH(SMALL(FILTER($D$18:$D$31, $D$18:$D$31&lt;&gt;0), (ROW(E11) -9)), $D$18:$D$31, 0)), $C$10:C10, 0), FALSE()), INDEX($A$18:$A$31, ARRAYFORMULA(SMALL(IF($D$18:$D$31 = D11, ROW($D$18:$D$31) - MIN(ROW($D$18:$D$31)) + 1), (ROW(C1"&amp;"1) -8) -MATCH(INDEX($A$18:$A$31, MATCH(SMALL(FILTER($D$18:$D$31, $D$18:$D$31&lt;&gt;0), (ROW(E11) -9)), $D$18:$D$31, 0)), $C$10:C10, 0)))), INDEX($A$18:$A$31, MATCH(SMALL(FILTER($D$18:$D$31, $D$18:$D$31&lt;&gt;0), (ROW(E11) -9)), $D$18:$D$31, 0)))"),"Yoshi")</f>
        <v>Yoshi</v>
      </c>
      <c r="D11" s="63">
        <f>IFERROR(__xludf.DUMMYFUNCTION("SMALL(FILTER($D$18:$D$31, $D$18:$D$31&lt;&gt;0), (ROW(E11) -9))"),2.7680150690280936)</f>
        <v>2.768015069</v>
      </c>
      <c r="E11" s="47" t="str">
        <f>IFERROR(__xludf.DUMMYFUNCTION("IF(IFNA(MATCH(INDEX($A$18:$A$31, MATCH(SMALL(FILTER($E$18:$E$31, $E$18:$E$31&lt;&gt;0), (ROW(G11) -9)), $E$18:$E$31, 0)), $E$10:E10, 0), FALSE()), INDEX($A$18:$A$31, ARRAYFORMULA(SMALL(IF($E$18:$E$31 = F11, ROW($E$18:$E$31) - MIN(ROW($E$18:$E$31)) + 1), (ROW(E1"&amp;"1) -8) -MATCH(INDEX($A$18:$A$31, MATCH(SMALL(FILTER($E$18:$E$31, $E$18:$E$31&lt;&gt;0), (ROW(G11) -9)), $E$18:$E$31, 0)), $E$10:E10, 0)))), INDEX($A$18:$A$31, MATCH(SMALL(FILTER($E$18:$E$31, $E$18:$E$31&lt;&gt;0), (ROW(G11) -9)), $E$18:$E$31, 0)))"),"Rainbow")</f>
        <v>Rainbow</v>
      </c>
      <c r="F11" s="63">
        <f>IFERROR(__xludf.DUMMYFUNCTION("SMALL(FILTER($E$18:$E$31, $E$18:$E$31&lt;&gt;0), (ROW(G11) -9))"),8.443627450980392)</f>
        <v>8.443627451</v>
      </c>
      <c r="G11" s="6" t="str">
        <f>IFERROR(__xludf.DUMMYFUNCTION("IF(IFNA(MATCH(INDEX($A$18:$A$31, MATCH(SMALL(FILTER($F$18:$F$31, $F$18:$F$31&lt;&gt;0), (ROW(I11) -9)), $F$18:$F$31, 0)), $G$10:G10, 0), FALSE()), INDEX($A$18:$A$31, ARRAYFORMULA(SMALL(IF($F$18:$F$31 = H11, ROW($F$18:$F$31) - MIN(ROW($F$18:$F$31)) + 1), (ROW(G1"&amp;"1) -8) -MATCH(INDEX($A$18:$A$31, MATCH(SMALL(FILTER($F$18:$F$31, $F$18:$F$31&lt;&gt;0), (ROW(I11) -9)), $F$18:$F$31, 0)), $G$10:G10, 0)))), INDEX($A$18:$A$31, MATCH(SMALL(FILTER($F$18:$F$31, $F$18:$F$31&lt;&gt;0), (ROW(I11) -9)), $F$18:$F$31, 0)))"),"Drihzer")</f>
        <v>Drihzer</v>
      </c>
      <c r="H11" s="63">
        <f>IFERROR(__xludf.DUMMYFUNCTION("SMALL(FILTER($F$18:$F$31, $F$18:$F$31&lt;&gt;0), (ROW(I11) -9))"),0.40243473011720915)</f>
        <v>0.4024347301</v>
      </c>
      <c r="I11" s="6" t="str">
        <f>IFERROR(__xludf.DUMMYFUNCTION("IF(IFNA(MATCH(INDEX($A$18:$A$31, MATCH(SMALL(FILTER($G$18:$G$31, $G$18:$G$31&lt;&gt;0), (ROW(K11) -9)), $G$18:$G$31, 0)), $I$10:I10, 0), FALSE()), INDEX($A$18:$A$31, ARRAYFORMULA(SMALL(IF($G$18:$G$31 = J11, ROW($G$18:$G$31) - MIN(ROW($G$18:$G$31)) + 1), (ROW(I1"&amp;"1) -8) -MATCH(INDEX($A$18:$A$31, MATCH(SMALL(FILTER($G$18:$G$31, $G$18:$G$31&lt;&gt;0), (ROW(K11) -9)), $G$18:$G$31, 0)), $I$10:I10, 0)))), INDEX($A$18:$A$31, MATCH(SMALL(FILTER($G$18:$G$31, $G$18:$G$31&lt;&gt;0), (ROW(K11) -9)), $G$18:$G$31, 0)))"),"Hymel")</f>
        <v>Hymel</v>
      </c>
      <c r="J11" s="63">
        <f>IFERROR(__xludf.DUMMYFUNCTION("SMALL(FILTER($G$18:$G$31, $G$18:$G$31&lt;&gt;0), (ROW(K11) -9))"),2.387752770478693)</f>
        <v>2.38775277</v>
      </c>
      <c r="K11" s="47" t="str">
        <f>IFERROR(__xludf.DUMMYFUNCTION("IF(IFNA(MATCH(INDEX($A$18:$A$31, MATCH(SMALL(FILTER($H$18:$H$31, $H$18:$H$31&lt;&gt;0), (ROW(M11) -9)), $H$18:$H$31, 0)), $K$10:K10, 0), FALSE()), INDEX($A$18:$A$31, ARRAYFORMULA(SMALL(IF($H$18:$H$31 = L11, ROW($H$18:$H$31) - MIN(ROW($H$18:$H$31)) + 1), (ROW(K1"&amp;"1) -8) -MATCH(INDEX($A$18:$A$31, MATCH(SMALL(FILTER($H$18:$H$31, $H$18:$H$31&lt;&gt;0), (ROW(M11) -9)), $H$18:$H$31, 0)), $K$10:K10, 0)))), INDEX($A$18:$A$31, MATCH(SMALL(FILTER($H$18:$H$31, $H$18:$H$31&lt;&gt;0), (ROW(M11) -9)), $H$18:$H$31, 0)))"),"RadPanda")</f>
        <v>RadPanda</v>
      </c>
      <c r="L11" s="63">
        <f>IFERROR(__xludf.DUMMYFUNCTION("SMALL(FILTER($H$18:$H$31, $H$18:$H$31&lt;&gt;0), (ROW(M11) -9))"),29.83142857142857)</f>
        <v>29.83142857</v>
      </c>
      <c r="M11" s="6" t="str">
        <f>IFERROR(__xludf.DUMMYFUNCTION("IF(IFNA(MATCH(INDEX($A$18:$A$31, MATCH(SMALL(FILTER($I$18:$I$31, $I$18:$I$31&lt;&gt;0), (ROW(M11) -9)), $I$18:$I$31, 0)), $M$10:M10, 0), FALSE()), INDEX($A$18:$A$31, ARRAYFORMULA(SMALL(IF($I$18:$I$31 = N11, ROW($I$18:$I$31) - MIN(ROW($I$18:$I$31)) + 1), (ROW(M1"&amp;"1) -8) -MATCH(INDEX($A$18:$A$31, MATCH(SMALL(FILTER($I$18:$I$31, $I$18:$I$31&lt;&gt;0), (ROW(M11) -9)), $I$18:$I$31, 0)), $M$10:M10, 0)))), INDEX($A$18:$A$31, MATCH(SMALL(FILTER($I$18:$I$31, $I$18:$I$31&lt;&gt;0), (ROW(M11) -9)), $I$18:$I$31, 0)))"),"Hymel")</f>
        <v>Hymel</v>
      </c>
      <c r="N11" s="63">
        <f>IFERROR(__xludf.DUMMYFUNCTION("SMALL(FILTER($I$18:$I$31, $I$18:$I$31&lt;&gt;0), (ROW(M11) -9))"),31.09411764705882)</f>
        <v>31.09411765</v>
      </c>
    </row>
    <row r="12">
      <c r="A12" s="47" t="str">
        <f>IFERROR(__xludf.DUMMYFUNCTION("IF(IFNA(MATCH(INDEX($A$18:$A$31, MATCH(SMALL(FILTER($C$18:$C$31, $C$18:$C$31&lt;&gt;0), (ROW(C12) -9)), $C$18:$C$31, 0)), $A$10:A11, 0), FALSE()), INDEX($A$18:$A$31, ARRAYFORMULA(SMALL(IF($C$18:$C$31 = B12, ROW($C$18:$C$31) - MIN(ROW($C$18:$C$31)) + 1), (ROW(A1"&amp;"2) -8) -MATCH(INDEX($A$18:$A$31, MATCH(SMALL(FILTER($C$18:$C$31, $C$18:$C$31&lt;&gt;0), (ROW(C12) -9)), $C$18:$C$31, 0)), $A$10:A11, 0)))), INDEX($A$18:$A$31, MATCH(SMALL(FILTER($C$18:$C$31, $C$18:$C$31&lt;&gt;0), (ROW(C12) -9)), $C$18:$C$31, 0)))"),"Hunter")</f>
        <v>Hunter</v>
      </c>
      <c r="B12" s="63">
        <f>IFERROR(__xludf.DUMMYFUNCTION("SMALL(FILTER($C$18:$C$31, $C$18:$C$31&lt;&gt;0), (ROW(C12) -9))"),306.22222222222223)</f>
        <v>306.2222222</v>
      </c>
      <c r="C12" s="47" t="str">
        <f>IFERROR(__xludf.DUMMYFUNCTION("IF(IFNA(MATCH(INDEX($A$18:$A$31, MATCH(SMALL(FILTER($D$18:$D$31, $D$18:$D$31&lt;&gt;0), (ROW(E12) -9)), $D$18:$D$31, 0)), $C$10:C11, 0), FALSE()), INDEX($A$18:$A$31, ARRAYFORMULA(SMALL(IF($D$18:$D$31 = D12, ROW($D$18:$D$31) - MIN(ROW($D$18:$D$31)) + 1), (ROW(C1"&amp;"2) -8) -MATCH(INDEX($A$18:$A$31, MATCH(SMALL(FILTER($D$18:$D$31, $D$18:$D$31&lt;&gt;0), (ROW(E12) -9)), $D$18:$D$31, 0)), $C$10:C11, 0)))), INDEX($A$18:$A$31, MATCH(SMALL(FILTER($D$18:$D$31, $D$18:$D$31&lt;&gt;0), (ROW(E12) -9)), $D$18:$D$31, 0)))"),"TK Moose")</f>
        <v>TK Moose</v>
      </c>
      <c r="D12" s="63">
        <f>IFERROR(__xludf.DUMMYFUNCTION("SMALL(FILTER($D$18:$D$31, $D$18:$D$31&lt;&gt;0), (ROW(E12) -9))"),2.8450505525511405)</f>
        <v>2.845050553</v>
      </c>
      <c r="E12" s="47" t="str">
        <f>IFERROR(__xludf.DUMMYFUNCTION("IF(IFNA(MATCH(INDEX($A$18:$A$31, MATCH(SMALL(FILTER($E$18:$E$31, $E$18:$E$31&lt;&gt;0), (ROW(G12) -9)), $E$18:$E$31, 0)), $E$10:E11, 0), FALSE()), INDEX($A$18:$A$31, ARRAYFORMULA(SMALL(IF($E$18:$E$31 = F12, ROW($E$18:$E$31) - MIN(ROW($E$18:$E$31)) + 1), (ROW(E1"&amp;"2) -8) -MATCH(INDEX($A$18:$A$31, MATCH(SMALL(FILTER($E$18:$E$31, $E$18:$E$31&lt;&gt;0), (ROW(G12) -9)), $E$18:$E$31, 0)), $E$10:E11, 0)))), INDEX($A$18:$A$31, MATCH(SMALL(FILTER($E$18:$E$31, $E$18:$E$31&lt;&gt;0), (ROW(G12) -9)), $E$18:$E$31, 0)))"),"BS")</f>
        <v>BS</v>
      </c>
      <c r="F12" s="63">
        <f>IFERROR(__xludf.DUMMYFUNCTION("SMALL(FILTER($E$18:$E$31, $E$18:$E$31&lt;&gt;0), (ROW(G12) -9))"),9.041196994095543)</f>
        <v>9.041196994</v>
      </c>
      <c r="G12" s="6" t="str">
        <f>IFERROR(__xludf.DUMMYFUNCTION("IF(IFNA(MATCH(INDEX($A$18:$A$31, MATCH(SMALL(FILTER($F$18:$F$31, $F$18:$F$31&lt;&gt;0), (ROW(I12) -9)), $F$18:$F$31, 0)), $G$10:G11, 0), FALSE()), INDEX($A$18:$A$31, ARRAYFORMULA(SMALL(IF($F$18:$F$31 = H12, ROW($F$18:$F$31) - MIN(ROW($F$18:$F$31)) + 1), (ROW(G1"&amp;"2) -8) -MATCH(INDEX($A$18:$A$31, MATCH(SMALL(FILTER($F$18:$F$31, $F$18:$F$31&lt;&gt;0), (ROW(I12) -9)), $F$18:$F$31, 0)), $G$10:G11, 0)))), INDEX($A$18:$A$31, MATCH(SMALL(FILTER($F$18:$F$31, $F$18:$F$31&lt;&gt;0), (ROW(I12) -9)), $F$18:$F$31, 0)))"),"Nance")</f>
        <v>Nance</v>
      </c>
      <c r="H12" s="63">
        <f>IFERROR(__xludf.DUMMYFUNCTION("SMALL(FILTER($F$18:$F$31, $F$18:$F$31&lt;&gt;0), (ROW(I12) -9))"),0.4336863338376198)</f>
        <v>0.4336863338</v>
      </c>
      <c r="I12" s="6" t="str">
        <f>IFERROR(__xludf.DUMMYFUNCTION("IF(IFNA(MATCH(INDEX($A$18:$A$31, MATCH(SMALL(FILTER($G$18:$G$31, $G$18:$G$31&lt;&gt;0), (ROW(K12) -9)), $G$18:$G$31, 0)), $I$10:I11, 0), FALSE()), INDEX($A$18:$A$31, ARRAYFORMULA(SMALL(IF($G$18:$G$31 = J12, ROW($G$18:$G$31) - MIN(ROW($G$18:$G$31)) + 1), (ROW(I1"&amp;"2) -8) -MATCH(INDEX($A$18:$A$31, MATCH(SMALL(FILTER($G$18:$G$31, $G$18:$G$31&lt;&gt;0), (ROW(K12) -9)), $G$18:$G$31, 0)), $I$10:I11, 0)))), INDEX($A$18:$A$31, MATCH(SMALL(FILTER($G$18:$G$31, $G$18:$G$31&lt;&gt;0), (ROW(K12) -9)), $G$18:$G$31, 0)))"),"Nance")</f>
        <v>Nance</v>
      </c>
      <c r="J12" s="63">
        <f>IFERROR(__xludf.DUMMYFUNCTION("SMALL(FILTER($G$18:$G$31, $G$18:$G$31&lt;&gt;0), (ROW(K12) -9))"),2.390317700453858)</f>
        <v>2.3903177</v>
      </c>
      <c r="K12" s="47" t="str">
        <f>IFERROR(__xludf.DUMMYFUNCTION("IF(IFNA(MATCH(INDEX($A$18:$A$31, MATCH(SMALL(FILTER($H$18:$H$31, $H$18:$H$31&lt;&gt;0), (ROW(M12) -9)), $H$18:$H$31, 0)), $K$10:K11, 0), FALSE()), INDEX($A$18:$A$31, ARRAYFORMULA(SMALL(IF($H$18:$H$31 = L12, ROW($H$18:$H$31) - MIN(ROW($H$18:$H$31)) + 1), (ROW(K1"&amp;"2) -8) -MATCH(INDEX($A$18:$A$31, MATCH(SMALL(FILTER($H$18:$H$31, $H$18:$H$31&lt;&gt;0), (ROW(M12) -9)), $H$18:$H$31, 0)), $K$10:K11, 0)))), INDEX($A$18:$A$31, MATCH(SMALL(FILTER($H$18:$H$31, $H$18:$H$31&lt;&gt;0), (ROW(M12) -9)), $H$18:$H$31, 0)))"),"TK Moose")</f>
        <v>TK Moose</v>
      </c>
      <c r="L12" s="63">
        <f>IFERROR(__xludf.DUMMYFUNCTION("SMALL(FILTER($H$18:$H$31, $H$18:$H$31&lt;&gt;0), (ROW(M12) -9))"),30.88125)</f>
        <v>30.88125</v>
      </c>
      <c r="M12" s="6" t="str">
        <f>IFERROR(__xludf.DUMMYFUNCTION("IF(IFNA(MATCH(INDEX($A$18:$A$31, MATCH(SMALL(FILTER($I$18:$I$31, $I$18:$I$31&lt;&gt;0), (ROW(M12) -9)), $I$18:$I$31, 0)), $M$10:M11, 0), FALSE()), INDEX($A$18:$A$31, ARRAYFORMULA(SMALL(IF($I$18:$I$31 = N12, ROW($I$18:$I$31) - MIN(ROW($I$18:$I$31)) + 1), (ROW(M1"&amp;"2) -8) -MATCH(INDEX($A$18:$A$31, MATCH(SMALL(FILTER($I$18:$I$31, $I$18:$I$31&lt;&gt;0), (ROW(M12) -9)), $I$18:$I$31, 0)), $M$10:M11, 0)))), INDEX($A$18:$A$31, MATCH(SMALL(FILTER($I$18:$I$31, $I$18:$I$31&lt;&gt;0), (ROW(M12) -9)), $I$18:$I$31, 0)))"),"Nance")</f>
        <v>Nance</v>
      </c>
      <c r="N12" s="63">
        <f>IFERROR(__xludf.DUMMYFUNCTION("SMALL(FILTER($I$18:$I$31, $I$18:$I$31&lt;&gt;0), (ROW(M12) -9))"),31.215789473684207)</f>
        <v>31.21578947</v>
      </c>
    </row>
    <row r="13">
      <c r="A13" s="47" t="str">
        <f>IFERROR(__xludf.DUMMYFUNCTION("IF(IFNA(MATCH(INDEX($A$18:$A$31, MATCH(SMALL(FILTER($C$18:$C$31, $C$18:$C$31&lt;&gt;0), (ROW(C13) -9)), $C$18:$C$31, 0)), $A$10:A12, 0), FALSE()), INDEX($A$18:$A$31, ARRAYFORMULA(SMALL(IF($C$18:$C$31 = B13, ROW($C$18:$C$31) - MIN(ROW($C$18:$C$31)) + 1), (ROW(A1"&amp;"3) -8) -MATCH(INDEX($A$18:$A$31, MATCH(SMALL(FILTER($C$18:$C$31, $C$18:$C$31&lt;&gt;0), (ROW(C13) -9)), $C$18:$C$31, 0)), $A$10:A12, 0)))), INDEX($A$18:$A$31, MATCH(SMALL(FILTER($C$18:$C$31, $C$18:$C$31&lt;&gt;0), (ROW(C13) -9)), $C$18:$C$31, 0)))"),"Rainbow")</f>
        <v>Rainbow</v>
      </c>
      <c r="B13" s="63">
        <f>IFERROR(__xludf.DUMMYFUNCTION("SMALL(FILTER($C$18:$C$31, $C$18:$C$31&lt;&gt;0), (ROW(C13) -9))"),317.5625)</f>
        <v>317.5625</v>
      </c>
      <c r="C13" s="47" t="str">
        <f>IFERROR(__xludf.DUMMYFUNCTION("IF(IFNA(MATCH(INDEX($A$18:$A$31, MATCH(SMALL(FILTER($D$18:$D$31, $D$18:$D$31&lt;&gt;0), (ROW(E13) -9)), $D$18:$D$31, 0)), $C$10:C12, 0), FALSE()), INDEX($A$18:$A$31, ARRAYFORMULA(SMALL(IF($D$18:$D$31 = D13, ROW($D$18:$D$31) - MIN(ROW($D$18:$D$31)) + 1), (ROW(C1"&amp;"3) -8) -MATCH(INDEX($A$18:$A$31, MATCH(SMALL(FILTER($D$18:$D$31, $D$18:$D$31&lt;&gt;0), (ROW(E13) -9)), $D$18:$D$31, 0)), $C$10:C12, 0)))), INDEX($A$18:$A$31, MATCH(SMALL(FILTER($D$18:$D$31, $D$18:$D$31&lt;&gt;0), (ROW(E13) -9)), $D$18:$D$31, 0)))"),"Hunter")</f>
        <v>Hunter</v>
      </c>
      <c r="D13" s="63">
        <f>IFERROR(__xludf.DUMMYFUNCTION("SMALL(FILTER($D$18:$D$31, $D$18:$D$31&lt;&gt;0), (ROW(E13) -9))"),3.0237430167597763)</f>
        <v>3.023743017</v>
      </c>
      <c r="E13" s="47" t="str">
        <f>IFERROR(__xludf.DUMMYFUNCTION("IF(IFNA(MATCH(INDEX($A$18:$A$31, MATCH(SMALL(FILTER($E$18:$E$31, $E$18:$E$31&lt;&gt;0), (ROW(G13) -9)), $E$18:$E$31, 0)), $E$10:E12, 0), FALSE()), INDEX($A$18:$A$31, ARRAYFORMULA(SMALL(IF($E$18:$E$31 = F13, ROW($E$18:$E$31) - MIN(ROW($E$18:$E$31)) + 1), (ROW(E1"&amp;"3) -8) -MATCH(INDEX($A$18:$A$31, MATCH(SMALL(FILTER($E$18:$E$31, $E$18:$E$31&lt;&gt;0), (ROW(G13) -9)), $E$18:$E$31, 0)), $E$10:E12, 0)))), INDEX($A$18:$A$31, MATCH(SMALL(FILTER($E$18:$E$31, $E$18:$E$31&lt;&gt;0), (ROW(G13) -9)), $E$18:$E$31, 0)))"),"RadPanda")</f>
        <v>RadPanda</v>
      </c>
      <c r="F13" s="63">
        <f>IFERROR(__xludf.DUMMYFUNCTION("SMALL(FILTER($E$18:$E$31, $E$18:$E$31&lt;&gt;0), (ROW(G13) -9))"),9.085714285714285)</f>
        <v>9.085714286</v>
      </c>
      <c r="G13" s="6" t="str">
        <f>IFERROR(__xludf.DUMMYFUNCTION("IF(IFNA(MATCH(INDEX($A$18:$A$31, MATCH(SMALL(FILTER($F$18:$F$31, $F$18:$F$31&lt;&gt;0), (ROW(I13) -9)), $F$18:$F$31, 0)), $G$10:G12, 0), FALSE()), INDEX($A$18:$A$31, ARRAYFORMULA(SMALL(IF($F$18:$F$31 = H13, ROW($F$18:$F$31) - MIN(ROW($F$18:$F$31)) + 1), (ROW(G1"&amp;"3) -8) -MATCH(INDEX($A$18:$A$31, MATCH(SMALL(FILTER($F$18:$F$31, $F$18:$F$31&lt;&gt;0), (ROW(I13) -9)), $F$18:$F$31, 0)), $G$10:G12, 0)))), INDEX($A$18:$A$31, MATCH(SMALL(FILTER($F$18:$F$31, $F$18:$F$31&lt;&gt;0), (ROW(I13) -9)), $F$18:$F$31, 0)))"),"Whale")</f>
        <v>Whale</v>
      </c>
      <c r="H13" s="63">
        <f>IFERROR(__xludf.DUMMYFUNCTION("SMALL(FILTER($F$18:$F$31, $F$18:$F$31&lt;&gt;0), (ROW(I13) -9))"),0.47377326565143824)</f>
        <v>0.4737732657</v>
      </c>
      <c r="I13" s="6" t="str">
        <f>IFERROR(__xludf.DUMMYFUNCTION("IF(IFNA(MATCH(INDEX($A$18:$A$31, MATCH(SMALL(FILTER($G$18:$G$31, $G$18:$G$31&lt;&gt;0), (ROW(K13) -9)), $G$18:$G$31, 0)), $I$10:I12, 0), FALSE()), INDEX($A$18:$A$31, ARRAYFORMULA(SMALL(IF($G$18:$G$31 = J13, ROW($G$18:$G$31) - MIN(ROW($G$18:$G$31)) + 1), (ROW(I1"&amp;"3) -8) -MATCH(INDEX($A$18:$A$31, MATCH(SMALL(FILTER($G$18:$G$31, $G$18:$G$31&lt;&gt;0), (ROW(K13) -9)), $G$18:$G$31, 0)), $I$10:I12, 0)))), INDEX($A$18:$A$31, MATCH(SMALL(FILTER($G$18:$G$31, $G$18:$G$31&lt;&gt;0), (ROW(K13) -9)), $G$18:$G$31, 0)))"),"Drihzer")</f>
        <v>Drihzer</v>
      </c>
      <c r="J13" s="63">
        <f>IFERROR(__xludf.DUMMYFUNCTION("SMALL(FILTER($G$18:$G$31, $G$18:$G$31&lt;&gt;0), (ROW(K13) -9))"),2.6032496604456967)</f>
        <v>2.60324966</v>
      </c>
      <c r="K13" s="47" t="str">
        <f>IFERROR(__xludf.DUMMYFUNCTION("IF(IFNA(MATCH(INDEX($A$18:$A$31, MATCH(SMALL(FILTER($H$18:$H$31, $H$18:$H$31&lt;&gt;0), (ROW(M13) -9)), $H$18:$H$31, 0)), $K$10:K12, 0), FALSE()), INDEX($A$18:$A$31, ARRAYFORMULA(SMALL(IF($H$18:$H$31 = L13, ROW($H$18:$H$31) - MIN(ROW($H$18:$H$31)) + 1), (ROW(K1"&amp;"3) -8) -MATCH(INDEX($A$18:$A$31, MATCH(SMALL(FILTER($H$18:$H$31, $H$18:$H$31&lt;&gt;0), (ROW(M13) -9)), $H$18:$H$31, 0)), $K$10:K12, 0)))), INDEX($A$18:$A$31, MATCH(SMALL(FILTER($H$18:$H$31, $H$18:$H$31&lt;&gt;0), (ROW(M13) -9)), $H$18:$H$31, 0)))"),"Hunter")</f>
        <v>Hunter</v>
      </c>
      <c r="L13" s="63">
        <f>IFERROR(__xludf.DUMMYFUNCTION("SMALL(FILTER($H$18:$H$31, $H$18:$H$31&lt;&gt;0), (ROW(M13) -9))"),30.998518518518516)</f>
        <v>30.99851852</v>
      </c>
      <c r="M13" s="6" t="str">
        <f>IFERROR(__xludf.DUMMYFUNCTION("IF(IFNA(MATCH(INDEX($A$18:$A$31, MATCH(SMALL(FILTER($I$18:$I$31, $I$18:$I$31&lt;&gt;0), (ROW(M13) -9)), $I$18:$I$31, 0)), $M$10:M12, 0), FALSE()), INDEX($A$18:$A$31, ARRAYFORMULA(SMALL(IF($I$18:$I$31 = N13, ROW($I$18:$I$31) - MIN(ROW($I$18:$I$31)) + 1), (ROW(M1"&amp;"3) -8) -MATCH(INDEX($A$18:$A$31, MATCH(SMALL(FILTER($I$18:$I$31, $I$18:$I$31&lt;&gt;0), (ROW(M13) -9)), $I$18:$I$31, 0)), $M$10:M12, 0)))), INDEX($A$18:$A$31, MATCH(SMALL(FILTER($I$18:$I$31, $I$18:$I$31&lt;&gt;0), (ROW(M13) -9)), $I$18:$I$31, 0)))"),"Whale")</f>
        <v>Whale</v>
      </c>
      <c r="N13" s="63">
        <f>IFERROR(__xludf.DUMMYFUNCTION("SMALL(FILTER($I$18:$I$31, $I$18:$I$31&lt;&gt;0), (ROW(M13) -9))"),31.358636363636364)</f>
        <v>31.35863636</v>
      </c>
    </row>
    <row r="14">
      <c r="A14" s="54" t="str">
        <f>IFERROR(__xludf.DUMMYFUNCTION("IF(IFNA(MATCH(INDEX($A$18:$A$31, MATCH(SMALL(FILTER($C$18:$C$31, $C$18:$C$31&lt;&gt;0), (ROW(C14) -9)), $C$18:$C$31, 0)), $A$10:A13, 0), FALSE()), INDEX($A$18:$A$31, ARRAYFORMULA(SMALL(IF($C$18:$C$31 = B14, ROW($C$18:$C$31) - MIN(ROW($C$18:$C$31)) + 1), (ROW(A1"&amp;"4) -8) -MATCH(INDEX($A$18:$A$31, MATCH(SMALL(FILTER($C$18:$C$31, $C$18:$C$31&lt;&gt;0), (ROW(C14) -9)), $C$18:$C$31, 0)), $A$10:A13, 0)))), INDEX($A$18:$A$31, MATCH(SMALL(FILTER($C$18:$C$31, $C$18:$C$31&lt;&gt;0), (ROW(C14) -9)), $C$18:$C$31, 0)))"),"Rel")</f>
        <v>Rel</v>
      </c>
      <c r="B14" s="68">
        <f>IFERROR(__xludf.DUMMYFUNCTION("SMALL(FILTER($C$18:$C$31, $C$18:$C$31&lt;&gt;0), (ROW(C14) -9))"),322.125)</f>
        <v>322.125</v>
      </c>
      <c r="C14" s="54" t="str">
        <f>IFERROR(__xludf.DUMMYFUNCTION("IF(IFNA(MATCH(INDEX($A$18:$A$31, MATCH(SMALL(FILTER($D$18:$D$31, $D$18:$D$31&lt;&gt;0), (ROW(E14) -9)), $D$18:$D$31, 0)), $C$10:C13, 0), FALSE()), INDEX($A$18:$A$31, ARRAYFORMULA(SMALL(IF($D$18:$D$31 = D14, ROW($D$18:$D$31) - MIN(ROW($D$18:$D$31)) + 1), (ROW(C1"&amp;"4) -8) -MATCH(INDEX($A$18:$A$31, MATCH(SMALL(FILTER($D$18:$D$31, $D$18:$D$31&lt;&gt;0), (ROW(E14) -9)), $D$18:$D$31, 0)), $C$10:C13, 0)))), INDEX($A$18:$A$31, MATCH(SMALL(FILTER($D$18:$D$31, $D$18:$D$31&lt;&gt;0), (ROW(E14) -9)), $D$18:$D$31, 0)))"),"Hymel")</f>
        <v>Hymel</v>
      </c>
      <c r="D14" s="68">
        <f>IFERROR(__xludf.DUMMYFUNCTION("SMALL(FILTER($D$18:$D$31, $D$18:$D$31&lt;&gt;0), (ROW(E14) -9))"),3.2331771963898093)</f>
        <v>3.233177196</v>
      </c>
      <c r="E14" s="54" t="str">
        <f>IFERROR(__xludf.DUMMYFUNCTION("IF(IFNA(MATCH(INDEX($A$18:$A$31, MATCH(SMALL(FILTER($E$18:$E$31, $E$18:$E$31&lt;&gt;0), (ROW(G14) -9)), $E$18:$E$31, 0)), $E$10:E13, 0), FALSE()), INDEX($A$18:$A$31, ARRAYFORMULA(SMALL(IF($E$18:$E$31 = F14, ROW($E$18:$E$31) - MIN(ROW($E$18:$E$31)) + 1), (ROW(E1"&amp;"4) -8) -MATCH(INDEX($A$18:$A$31, MATCH(SMALL(FILTER($E$18:$E$31, $E$18:$E$31&lt;&gt;0), (ROW(G14) -9)), $E$18:$E$31, 0)), $E$10:E13, 0)))), INDEX($A$18:$A$31, MATCH(SMALL(FILTER($E$18:$E$31, $E$18:$E$31&lt;&gt;0), (ROW(G14) -9)), $E$18:$E$31, 0)))"),"Hunter")</f>
        <v>Hunter</v>
      </c>
      <c r="F14" s="68">
        <f>IFERROR(__xludf.DUMMYFUNCTION("SMALL(FILTER($E$18:$E$31, $E$18:$E$31&lt;&gt;0), (ROW(G14) -9))"),9.378491620111731)</f>
        <v>9.37849162</v>
      </c>
      <c r="G14" s="56" t="str">
        <f>IFERROR(__xludf.DUMMYFUNCTION("IF(IFNA(MATCH(INDEX($A$18:$A$31, MATCH(SMALL(FILTER($F$18:$F$31, $F$18:$F$31&lt;&gt;0), (ROW(I14) -9)), $F$18:$F$31, 0)), $G$10:G13, 0), FALSE()), INDEX($A$18:$A$31, ARRAYFORMULA(SMALL(IF($F$18:$F$31 = H14, ROW($F$18:$F$31) - MIN(ROW($F$18:$F$31)) + 1), (ROW(G1"&amp;"4) -8) -MATCH(INDEX($A$18:$A$31, MATCH(SMALL(FILTER($F$18:$F$31, $F$18:$F$31&lt;&gt;0), (ROW(I14) -9)), $F$18:$F$31, 0)), $G$10:G13, 0)))), INDEX($A$18:$A$31, MATCH(SMALL(FILTER($F$18:$F$31, $F$18:$F$31&lt;&gt;0), (ROW(I14) -9)), $F$18:$F$31, 0)))"),"Rainbow")</f>
        <v>Rainbow</v>
      </c>
      <c r="H14" s="68">
        <f>IFERROR(__xludf.DUMMYFUNCTION("SMALL(FILTER($F$18:$F$31, $F$18:$F$31&lt;&gt;0), (ROW(I14) -9))"),0.5392156862745099)</f>
        <v>0.5392156863</v>
      </c>
      <c r="I14" s="56" t="str">
        <f>IFERROR(__xludf.DUMMYFUNCTION("IF(IFNA(MATCH(INDEX($A$18:$A$31, MATCH(SMALL(FILTER($G$18:$G$31, $G$18:$G$31&lt;&gt;0), (ROW(K14) -9)), $G$18:$G$31, 0)), $I$10:I13, 0), FALSE()), INDEX($A$18:$A$31, ARRAYFORMULA(SMALL(IF($G$18:$G$31 = J14, ROW($G$18:$G$31) - MIN(ROW($G$18:$G$31)) + 1), (ROW(I1"&amp;"4) -8) -MATCH(INDEX($A$18:$A$31, MATCH(SMALL(FILTER($G$18:$G$31, $G$18:$G$31&lt;&gt;0), (ROW(K14) -9)), $G$18:$G$31, 0)), $I$10:I13, 0)))), INDEX($A$18:$A$31, MATCH(SMALL(FILTER($G$18:$G$31, $G$18:$G$31&lt;&gt;0), (ROW(K14) -9)), $G$18:$G$31, 0)))"),"Rel")</f>
        <v>Rel</v>
      </c>
      <c r="J14" s="68">
        <f>IFERROR(__xludf.DUMMYFUNCTION("SMALL(FILTER($G$18:$G$31, $G$18:$G$31&lt;&gt;0), (ROW(K14) -9))"),2.7573529411764706)</f>
        <v>2.757352941</v>
      </c>
      <c r="K14" s="54" t="str">
        <f>IFERROR(__xludf.DUMMYFUNCTION("IF(IFNA(MATCH(INDEX($A$18:$A$31, MATCH(SMALL(FILTER($H$18:$H$31, $H$18:$H$31&lt;&gt;0), (ROW(M14) -9)), $H$18:$H$31, 0)), $K$10:K13, 0), FALSE()), INDEX($A$18:$A$31, ARRAYFORMULA(SMALL(IF($H$18:$H$31 = L14, ROW($H$18:$H$31) - MIN(ROW($H$18:$H$31)) + 1), (ROW(K1"&amp;"4) -8) -MATCH(INDEX($A$18:$A$31, MATCH(SMALL(FILTER($H$18:$H$31, $H$18:$H$31&lt;&gt;0), (ROW(M14) -9)), $H$18:$H$31, 0)), $K$10:K13, 0)))), INDEX($A$18:$A$31, MATCH(SMALL(FILTER($H$18:$H$31, $H$18:$H$31&lt;&gt;0), (ROW(M14) -9)), $H$18:$H$31, 0)))"),"Yoshi")</f>
        <v>Yoshi</v>
      </c>
      <c r="L14" s="68">
        <f>IFERROR(__xludf.DUMMYFUNCTION("SMALL(FILTER($H$18:$H$31, $H$18:$H$31&lt;&gt;0), (ROW(M14) -9))"),31.96058823529412)</f>
        <v>31.96058824</v>
      </c>
      <c r="M14" s="56" t="str">
        <f>IFERROR(__xludf.DUMMYFUNCTION("IF(IFNA(MATCH(INDEX($A$18:$A$31, MATCH(SMALL(FILTER($I$18:$I$31, $I$18:$I$31&lt;&gt;0), (ROW(M14) -9)), $I$18:$I$31, 0)), $M$10:M13, 0), FALSE()), INDEX($A$18:$A$31, ARRAYFORMULA(SMALL(IF($I$18:$I$31 = N14, ROW($I$18:$I$31) - MIN(ROW($I$18:$I$31)) + 1), (ROW(M1"&amp;"4) -8) -MATCH(INDEX($A$18:$A$31, MATCH(SMALL(FILTER($I$18:$I$31, $I$18:$I$31&lt;&gt;0), (ROW(M14) -9)), $I$18:$I$31, 0)), $M$10:M13, 0)))), INDEX($A$18:$A$31, MATCH(SMALL(FILTER($I$18:$I$31, $I$18:$I$31&lt;&gt;0), (ROW(M14) -9)), $I$18:$I$31, 0)))"),"Jdub")</f>
        <v>Jdub</v>
      </c>
      <c r="N14" s="68">
        <f>IFERROR(__xludf.DUMMYFUNCTION("SMALL(FILTER($I$18:$I$31, $I$18:$I$31&lt;&gt;0), (ROW(M14) -9))"),32.18222222222223)</f>
        <v>32.18222222</v>
      </c>
    </row>
    <row r="17">
      <c r="B17" s="7" t="s">
        <v>3</v>
      </c>
      <c r="C17" s="7" t="s">
        <v>205</v>
      </c>
      <c r="D17" s="7" t="s">
        <v>219</v>
      </c>
      <c r="E17" s="7" t="s">
        <v>220</v>
      </c>
      <c r="F17" s="7" t="s">
        <v>221</v>
      </c>
      <c r="G17" s="7" t="s">
        <v>222</v>
      </c>
      <c r="H17" s="7" t="s">
        <v>215</v>
      </c>
      <c r="I17" s="7" t="s">
        <v>217</v>
      </c>
    </row>
    <row r="18">
      <c r="A18" s="24" t="str">
        <f>OAFT!C2</f>
        <v>Rel</v>
      </c>
      <c r="B18" s="25">
        <f>OAFT!D2</f>
        <v>19</v>
      </c>
      <c r="C18" s="76">
        <f>BPM!C33</f>
        <v>322.125</v>
      </c>
      <c r="D18" s="76">
        <f>'Boost Pad Collection'!$C$35</f>
        <v>3.468137255</v>
      </c>
      <c r="E18" s="76">
        <f>'Boost Pad Collection'!$T$35</f>
        <v>8.223039216</v>
      </c>
      <c r="F18" s="76">
        <f>'Stolen Boost Pads'!$C$35</f>
        <v>0.7107843137</v>
      </c>
      <c r="G18" s="76">
        <f>'Stolen Boost Pads'!$T$35</f>
        <v>2.757352941</v>
      </c>
      <c r="H18" s="76">
        <f>'Most Back Players'!$C$33</f>
        <v>33.884375</v>
      </c>
      <c r="I18" s="76">
        <f>'Most Forward Players'!$C$33</f>
        <v>33.490625</v>
      </c>
      <c r="K18" s="22" t="s">
        <v>205</v>
      </c>
      <c r="L18" s="22" t="s">
        <v>223</v>
      </c>
    </row>
    <row r="19">
      <c r="A19" s="24" t="str">
        <f>OAFT!C3</f>
        <v>Rainbow</v>
      </c>
      <c r="B19" s="25">
        <f>OAFT!D3</f>
        <v>19</v>
      </c>
      <c r="C19" s="76">
        <f>BPM!B33</f>
        <v>317.5625</v>
      </c>
      <c r="D19" s="76">
        <f>'Boost Pad Collection'!$B$35</f>
        <v>3.480392157</v>
      </c>
      <c r="E19" s="76">
        <f>'Boost Pad Collection'!$S$35</f>
        <v>8.443627451</v>
      </c>
      <c r="F19" s="76">
        <f>'Stolen Boost Pads'!$B$35</f>
        <v>0.5392156863</v>
      </c>
      <c r="G19" s="76">
        <f>'Stolen Boost Pads'!$S$35</f>
        <v>1.911764706</v>
      </c>
      <c r="H19" s="76">
        <f>'Most Back Players'!$B$33</f>
        <v>38.9975</v>
      </c>
      <c r="I19" s="76">
        <f>'Most Forward Players'!$B$33</f>
        <v>29.77625</v>
      </c>
      <c r="K19" s="22" t="s">
        <v>224</v>
      </c>
      <c r="L19" s="22" t="s">
        <v>225</v>
      </c>
    </row>
    <row r="20">
      <c r="A20" s="24" t="str">
        <f>OAFT!C4</f>
        <v>Cole</v>
      </c>
      <c r="B20" s="25">
        <f>OAFT!D4</f>
        <v>19</v>
      </c>
      <c r="C20" s="76">
        <f>BPM!D33</f>
        <v>337.625</v>
      </c>
      <c r="D20" s="76">
        <f>'Boost Pad Collection'!$D$35</f>
        <v>3.345588235</v>
      </c>
      <c r="E20" s="76">
        <f>'Boost Pad Collection'!$U$35</f>
        <v>9.963235294</v>
      </c>
      <c r="F20" s="76">
        <f>'Stolen Boost Pads'!$D$35</f>
        <v>0.7965686275</v>
      </c>
      <c r="G20" s="76">
        <f>'Stolen Boost Pads'!$U$35</f>
        <v>2.879901961</v>
      </c>
      <c r="H20" s="76">
        <f>'Most Back Players'!$D$33</f>
        <v>27.586875</v>
      </c>
      <c r="I20" s="76">
        <f>'Most Forward Players'!$D$33</f>
        <v>35.96375</v>
      </c>
      <c r="K20" s="22" t="s">
        <v>226</v>
      </c>
      <c r="L20" s="22" t="s">
        <v>227</v>
      </c>
    </row>
    <row r="21">
      <c r="A21" s="26" t="str">
        <f>'990'!C2</f>
        <v>Yoshi</v>
      </c>
      <c r="B21" s="27">
        <f>'990'!D2</f>
        <v>17</v>
      </c>
      <c r="C21" s="76">
        <f>BPM!F33</f>
        <v>296.7647059</v>
      </c>
      <c r="D21" s="76">
        <f>'Boost Pad Collection'!$F$35</f>
        <v>2.768015069</v>
      </c>
      <c r="E21" s="76">
        <f>'Boost Pad Collection'!$W$35</f>
        <v>11.80713482</v>
      </c>
      <c r="F21" s="76">
        <f>'Stolen Boost Pads'!$F$35</f>
        <v>0.3790228103</v>
      </c>
      <c r="G21" s="76">
        <f>'Stolen Boost Pads'!$W$35</f>
        <v>2.940298165</v>
      </c>
      <c r="H21" s="76">
        <f>'Most Back Players'!$F$33</f>
        <v>31.96058824</v>
      </c>
      <c r="I21" s="76">
        <f>'Most Forward Players'!$F$33</f>
        <v>33.10647059</v>
      </c>
      <c r="K21" s="22" t="s">
        <v>228</v>
      </c>
      <c r="L21" s="22" t="s">
        <v>229</v>
      </c>
    </row>
    <row r="22">
      <c r="A22" s="26" t="str">
        <f>'990'!C4</f>
        <v>Nance</v>
      </c>
      <c r="B22" s="27">
        <f>'990'!D4</f>
        <v>19</v>
      </c>
      <c r="C22" s="76">
        <f>BPM!E33</f>
        <v>334.3157895</v>
      </c>
      <c r="D22" s="76">
        <f>'Boost Pad Collection'!$E$35</f>
        <v>3.257690368</v>
      </c>
      <c r="E22" s="76">
        <f>'Boost Pad Collection'!$V$35</f>
        <v>10.10590015</v>
      </c>
      <c r="F22" s="76">
        <f>'Stolen Boost Pads'!$E$35</f>
        <v>0.4336863338</v>
      </c>
      <c r="G22" s="76">
        <f>'Stolen Boost Pads'!$V$35</f>
        <v>2.3903177</v>
      </c>
      <c r="H22" s="76">
        <f>'Most Back Players'!$E$33</f>
        <v>39.32210526</v>
      </c>
      <c r="I22" s="76">
        <f>'Most Forward Players'!$E$33</f>
        <v>31.21578947</v>
      </c>
      <c r="K22" s="22" t="s">
        <v>230</v>
      </c>
      <c r="L22" s="22" t="s">
        <v>231</v>
      </c>
    </row>
    <row r="23">
      <c r="A23" s="26" t="str">
        <f>'990'!C5</f>
        <v>Drihzer</v>
      </c>
      <c r="B23" s="27">
        <f>'990'!D5</f>
        <v>15</v>
      </c>
      <c r="C23" s="76">
        <f>BPM!H33</f>
        <v>242.2666667</v>
      </c>
      <c r="D23" s="76">
        <f>'Boost Pad Collection'!$H$35</f>
        <v>1.924141053</v>
      </c>
      <c r="E23" s="76">
        <f>'Boost Pad Collection'!$Y$35</f>
        <v>9.922531314</v>
      </c>
      <c r="F23" s="76">
        <f>'Stolen Boost Pads'!$H$35</f>
        <v>0.4024347301</v>
      </c>
      <c r="G23" s="76">
        <f>'Stolen Boost Pads'!$Y$35</f>
        <v>2.60324966</v>
      </c>
      <c r="H23" s="76">
        <f>'Most Back Players'!$H$33</f>
        <v>33.56066667</v>
      </c>
      <c r="I23" s="76">
        <f>'Most Forward Players'!$H$33</f>
        <v>34.304</v>
      </c>
      <c r="K23" s="22" t="s">
        <v>215</v>
      </c>
      <c r="L23" s="22" t="s">
        <v>232</v>
      </c>
    </row>
    <row r="24">
      <c r="A24" s="26" t="str">
        <f>'990'!C6</f>
        <v>BS</v>
      </c>
      <c r="B24" s="27">
        <f>'990'!D6</f>
        <v>11</v>
      </c>
      <c r="C24" s="76">
        <f>BPM!I33</f>
        <v>324.3636364</v>
      </c>
      <c r="D24" s="76">
        <f>'Boost Pad Collection'!$I$35</f>
        <v>3.38835212</v>
      </c>
      <c r="E24" s="76">
        <f>'Boost Pad Collection'!$Z$35</f>
        <v>9.041196994</v>
      </c>
      <c r="F24" s="76">
        <f>'Stolen Boost Pads'!$I$35</f>
        <v>1.039989265</v>
      </c>
      <c r="G24" s="76">
        <f>'Stolen Boost Pads'!$Z$35</f>
        <v>3.069645733</v>
      </c>
      <c r="H24" s="76">
        <f>'Most Back Players'!$I$33</f>
        <v>32.06272727</v>
      </c>
      <c r="I24" s="76">
        <f>'Most Forward Players'!$I$33</f>
        <v>37.75909091</v>
      </c>
      <c r="K24" s="22" t="s">
        <v>217</v>
      </c>
      <c r="L24" s="22" t="s">
        <v>233</v>
      </c>
    </row>
    <row r="25">
      <c r="A25" s="75" t="str">
        <f>PKRK!C2</f>
        <v>Whale</v>
      </c>
      <c r="B25" s="5">
        <f>PKRK!D2</f>
        <v>22</v>
      </c>
      <c r="C25" s="76">
        <f>BPM!K33</f>
        <v>382.3181818</v>
      </c>
      <c r="D25" s="76">
        <f>'Boost Pad Collection'!$K$35</f>
        <v>3.34179357</v>
      </c>
      <c r="E25" s="76">
        <f>'Boost Pad Collection'!$AB$35</f>
        <v>12.19966159</v>
      </c>
      <c r="F25" s="76">
        <f>'Stolen Boost Pads'!$K$35</f>
        <v>0.4737732657</v>
      </c>
      <c r="G25" s="76">
        <f>'Stolen Boost Pads'!$AB$35</f>
        <v>3.096446701</v>
      </c>
      <c r="H25" s="76">
        <f>'Most Back Players'!$K$33</f>
        <v>37.06090909</v>
      </c>
      <c r="I25" s="76">
        <f>'Most Forward Players'!$K$33</f>
        <v>31.35863636</v>
      </c>
    </row>
    <row r="26">
      <c r="A26" s="75" t="str">
        <f>PKRK!C3</f>
        <v>Hunter</v>
      </c>
      <c r="B26" s="5">
        <f>PKRK!D3</f>
        <v>27</v>
      </c>
      <c r="C26" s="76">
        <f>BPM!M33</f>
        <v>306.2222222</v>
      </c>
      <c r="D26" s="76">
        <f>'Boost Pad Collection'!$M$35</f>
        <v>3.023743017</v>
      </c>
      <c r="E26" s="76">
        <f>'Boost Pad Collection'!$AD$35</f>
        <v>9.37849162</v>
      </c>
      <c r="F26" s="76">
        <f>'Stolen Boost Pads'!$M$35</f>
        <v>0.5796089385</v>
      </c>
      <c r="G26" s="76">
        <f>'Stolen Boost Pads'!$AD$35</f>
        <v>2.80726257</v>
      </c>
      <c r="H26" s="76">
        <f>'Most Back Players'!$M$33</f>
        <v>30.99851852</v>
      </c>
      <c r="I26" s="76">
        <f>'Most Forward Players'!$M$33</f>
        <v>34.63259259</v>
      </c>
    </row>
    <row r="27">
      <c r="A27" s="75" t="str">
        <f>PKRK!C4</f>
        <v>Cyber</v>
      </c>
      <c r="B27" s="5">
        <f>PKRK!D4</f>
        <v>27</v>
      </c>
      <c r="C27" s="76">
        <f>BPM!L33</f>
        <v>368.7037037</v>
      </c>
      <c r="D27" s="76">
        <f>'Boost Pad Collection'!$L$35</f>
        <v>3.254189944</v>
      </c>
      <c r="E27" s="76">
        <f>'Boost Pad Collection'!$AC$35</f>
        <v>12.85614525</v>
      </c>
      <c r="F27" s="76">
        <f>'Stolen Boost Pads'!$L$35</f>
        <v>0.6913407821</v>
      </c>
      <c r="G27" s="76">
        <f>'Stolen Boost Pads'!$AC$35</f>
        <v>3.589385475</v>
      </c>
      <c r="H27" s="76">
        <f>'Most Back Players'!$L$33</f>
        <v>34.76407407</v>
      </c>
      <c r="I27" s="76">
        <f>'Most Forward Players'!$L$33</f>
        <v>34.83888889</v>
      </c>
    </row>
    <row r="28">
      <c r="A28" s="89" t="str">
        <f>Cute!C2</f>
        <v>Jdub</v>
      </c>
      <c r="B28" s="90">
        <f>Cute!D2</f>
        <v>18</v>
      </c>
      <c r="C28" s="76">
        <f>BPM!N33</f>
        <v>352.7222222</v>
      </c>
      <c r="D28" s="76">
        <f>'Boost Pad Collection'!$N$35</f>
        <v>3.696098563</v>
      </c>
      <c r="E28" s="76">
        <f>'Boost Pad Collection'!$AE$35</f>
        <v>10.64519615</v>
      </c>
      <c r="F28" s="76">
        <f>'Stolen Boost Pads'!$N$35</f>
        <v>0.8537771534</v>
      </c>
      <c r="G28" s="76">
        <f>'Stolen Boost Pads'!$AE$35</f>
        <v>3.317842862</v>
      </c>
      <c r="H28" s="76">
        <f>'Most Back Players'!$N$33</f>
        <v>35.41444444</v>
      </c>
      <c r="I28" s="76">
        <f>'Most Forward Players'!$N$33</f>
        <v>32.18222222</v>
      </c>
    </row>
    <row r="29">
      <c r="A29" s="89" t="str">
        <f>Cute!C3</f>
        <v>Hymel</v>
      </c>
      <c r="B29" s="90">
        <f>Cute!D3</f>
        <v>17</v>
      </c>
      <c r="C29" s="76">
        <f>BPM!P33</f>
        <v>349.2941176</v>
      </c>
      <c r="D29" s="76">
        <f>'Boost Pad Collection'!$P$35</f>
        <v>3.233177196</v>
      </c>
      <c r="E29" s="76">
        <f>'Boost Pad Collection'!$AG$35</f>
        <v>9.448189192</v>
      </c>
      <c r="F29" s="76">
        <f>'Stolen Boost Pads'!$P$35</f>
        <v>0.5483834114</v>
      </c>
      <c r="G29" s="76">
        <f>'Stolen Boost Pads'!$AG$35</f>
        <v>2.38775277</v>
      </c>
      <c r="H29" s="76">
        <f>'Most Back Players'!$P$33</f>
        <v>36.69764706</v>
      </c>
      <c r="I29" s="76">
        <f>'Most Forward Players'!$P$33</f>
        <v>31.09411765</v>
      </c>
    </row>
    <row r="30">
      <c r="A30" s="89" t="str">
        <f>Cute!C4</f>
        <v>RadPanda</v>
      </c>
      <c r="B30" s="90">
        <f>Cute!D4</f>
        <v>7</v>
      </c>
      <c r="C30" s="76">
        <f>BPM!O33</f>
        <v>366.1428571</v>
      </c>
      <c r="D30" s="76">
        <f>'Boost Pad Collection'!$O$35</f>
        <v>3.371428571</v>
      </c>
      <c r="E30" s="76">
        <f>'Boost Pad Collection'!$AF$35</f>
        <v>9.085714286</v>
      </c>
      <c r="F30" s="76">
        <f>'Stolen Boost Pads'!$O$35</f>
        <v>0.8571428571</v>
      </c>
      <c r="G30" s="76">
        <f>'Stolen Boost Pads'!$AF$35</f>
        <v>3.2</v>
      </c>
      <c r="H30" s="76">
        <f>'Most Back Players'!$O$33</f>
        <v>29.83142857</v>
      </c>
      <c r="I30" s="76">
        <f>'Most Forward Players'!$O$33</f>
        <v>36.89857143</v>
      </c>
    </row>
    <row r="31">
      <c r="A31" s="89" t="str">
        <f>Cute!C6</f>
        <v>TK Moose</v>
      </c>
      <c r="B31" s="90">
        <f>Cute!D6</f>
        <v>8</v>
      </c>
      <c r="C31" s="76">
        <f>BPM!Q33</f>
        <v>343.375</v>
      </c>
      <c r="D31" s="76">
        <f>'Boost Pad Collection'!$Q$35</f>
        <v>2.845050553</v>
      </c>
      <c r="E31" s="76">
        <f>'Boost Pad Collection'!$AH$35</f>
        <v>16.08276511</v>
      </c>
      <c r="F31" s="76">
        <f>'Stolen Boost Pads'!$Q$35</f>
        <v>0.6583588055</v>
      </c>
      <c r="G31" s="76">
        <f>'Stolen Boost Pads'!$AH$35</f>
        <v>4.584998824</v>
      </c>
      <c r="H31" s="76">
        <f>'Most Back Players'!$Q$33</f>
        <v>30.88125</v>
      </c>
      <c r="I31" s="76">
        <f>'Most Forward Players'!$Q$33</f>
        <v>34.55625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2" t="s">
        <v>205</v>
      </c>
    </row>
    <row r="2">
      <c r="A2" s="22" t="s">
        <v>2</v>
      </c>
      <c r="B2" s="22" t="s">
        <v>20</v>
      </c>
      <c r="C2" s="22" t="s">
        <v>234</v>
      </c>
      <c r="D2" s="22" t="s">
        <v>21</v>
      </c>
      <c r="E2" s="22" t="s">
        <v>84</v>
      </c>
      <c r="F2" s="22" t="s">
        <v>82</v>
      </c>
      <c r="G2" s="22" t="s">
        <v>83</v>
      </c>
      <c r="H2" s="22" t="s">
        <v>85</v>
      </c>
      <c r="I2" s="22" t="s">
        <v>86</v>
      </c>
      <c r="J2" s="22" t="s">
        <v>124</v>
      </c>
      <c r="K2" s="22" t="s">
        <v>121</v>
      </c>
      <c r="L2" s="22" t="s">
        <v>123</v>
      </c>
      <c r="M2" s="22" t="s">
        <v>122</v>
      </c>
      <c r="N2" s="22" t="s">
        <v>164</v>
      </c>
      <c r="O2" s="22" t="s">
        <v>166</v>
      </c>
      <c r="P2" s="22" t="s">
        <v>165</v>
      </c>
      <c r="Q2" s="22" t="s">
        <v>168</v>
      </c>
      <c r="R2" s="22" t="s">
        <v>167</v>
      </c>
    </row>
    <row r="3">
      <c r="A3" s="102">
        <v>1.0</v>
      </c>
      <c r="B3" s="102">
        <v>307.0</v>
      </c>
      <c r="C3" s="102">
        <v>284.0</v>
      </c>
      <c r="D3" s="102">
        <v>307.0</v>
      </c>
      <c r="E3" s="102">
        <v>362.0</v>
      </c>
      <c r="F3" s="102">
        <v>255.0</v>
      </c>
      <c r="G3" s="102">
        <v>254.0</v>
      </c>
      <c r="H3" s="103"/>
      <c r="I3" s="103"/>
      <c r="J3" s="103"/>
      <c r="K3" s="102">
        <v>442.0</v>
      </c>
      <c r="L3" s="102">
        <v>404.0</v>
      </c>
      <c r="M3" s="102">
        <v>323.0</v>
      </c>
      <c r="N3" s="102">
        <v>343.0</v>
      </c>
      <c r="O3" s="102">
        <v>342.0</v>
      </c>
      <c r="P3" s="102">
        <v>433.0</v>
      </c>
      <c r="Q3" s="103"/>
      <c r="R3" s="103"/>
    </row>
    <row r="4">
      <c r="A4" s="22">
        <v>2.0</v>
      </c>
      <c r="B4" s="22">
        <v>338.0</v>
      </c>
      <c r="C4" s="22">
        <v>270.0</v>
      </c>
      <c r="D4" s="22">
        <v>327.0</v>
      </c>
      <c r="E4" s="22">
        <v>280.0</v>
      </c>
      <c r="F4" s="22">
        <v>228.0</v>
      </c>
      <c r="G4" s="22">
        <v>220.0</v>
      </c>
      <c r="K4" s="22">
        <v>379.0</v>
      </c>
      <c r="L4" s="22">
        <v>355.0</v>
      </c>
      <c r="M4" s="22">
        <v>277.0</v>
      </c>
      <c r="N4" s="22">
        <v>333.0</v>
      </c>
      <c r="O4" s="22">
        <v>325.0</v>
      </c>
      <c r="P4" s="22">
        <v>375.0</v>
      </c>
    </row>
    <row r="5">
      <c r="A5" s="22">
        <v>3.0</v>
      </c>
      <c r="B5" s="22">
        <v>315.0</v>
      </c>
      <c r="C5" s="22">
        <v>276.0</v>
      </c>
      <c r="D5" s="22">
        <v>321.0</v>
      </c>
      <c r="E5" s="22">
        <v>321.0</v>
      </c>
      <c r="F5" s="22">
        <v>260.0</v>
      </c>
      <c r="G5" s="22">
        <v>254.0</v>
      </c>
      <c r="K5" s="22">
        <v>393.0</v>
      </c>
      <c r="L5" s="22">
        <v>373.0</v>
      </c>
      <c r="M5" s="22">
        <v>305.0</v>
      </c>
      <c r="N5" s="22">
        <v>314.0</v>
      </c>
      <c r="O5" s="22">
        <v>390.0</v>
      </c>
      <c r="P5" s="22">
        <v>333.0</v>
      </c>
    </row>
    <row r="6">
      <c r="A6" s="22">
        <v>4.0</v>
      </c>
      <c r="B6" s="22">
        <v>319.0</v>
      </c>
      <c r="C6" s="22">
        <v>315.0</v>
      </c>
      <c r="D6" s="22">
        <v>350.0</v>
      </c>
      <c r="E6" s="22">
        <v>312.0</v>
      </c>
      <c r="F6" s="22">
        <v>271.0</v>
      </c>
      <c r="G6" s="22">
        <v>254.0</v>
      </c>
      <c r="N6" s="22">
        <v>288.0</v>
      </c>
      <c r="O6" s="22">
        <v>391.0</v>
      </c>
      <c r="Q6" s="22">
        <v>370.0</v>
      </c>
    </row>
    <row r="7">
      <c r="A7" s="104">
        <v>5.0</v>
      </c>
      <c r="B7" s="104">
        <v>286.0</v>
      </c>
      <c r="C7" s="104">
        <v>345.0</v>
      </c>
      <c r="D7" s="104">
        <v>342.0</v>
      </c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</row>
    <row r="8">
      <c r="A8" s="22">
        <v>1.0</v>
      </c>
      <c r="B8" s="22">
        <v>302.0</v>
      </c>
      <c r="C8" s="22">
        <v>247.0</v>
      </c>
      <c r="D8" s="22">
        <v>381.0</v>
      </c>
      <c r="E8" s="22">
        <v>311.0</v>
      </c>
      <c r="F8" s="22">
        <v>257.0</v>
      </c>
      <c r="H8" s="22">
        <v>228.0</v>
      </c>
      <c r="K8" s="22">
        <v>402.0</v>
      </c>
      <c r="L8" s="22">
        <v>347.0</v>
      </c>
      <c r="M8" s="22">
        <v>327.0</v>
      </c>
      <c r="N8" s="22">
        <v>333.0</v>
      </c>
      <c r="P8" s="22">
        <v>350.0</v>
      </c>
      <c r="Q8" s="22">
        <v>314.0</v>
      </c>
    </row>
    <row r="9">
      <c r="A9" s="22">
        <v>2.0</v>
      </c>
      <c r="B9" s="22">
        <v>332.0</v>
      </c>
      <c r="C9" s="22">
        <v>323.0</v>
      </c>
      <c r="D9" s="22">
        <v>311.0</v>
      </c>
      <c r="E9" s="22">
        <v>319.0</v>
      </c>
      <c r="F9" s="22">
        <v>298.0</v>
      </c>
      <c r="H9" s="22">
        <v>241.0</v>
      </c>
      <c r="K9" s="22">
        <v>422.0</v>
      </c>
      <c r="L9" s="22">
        <v>401.0</v>
      </c>
      <c r="M9" s="22">
        <v>295.0</v>
      </c>
      <c r="N9" s="22">
        <v>399.0</v>
      </c>
      <c r="P9" s="22">
        <v>341.0</v>
      </c>
      <c r="Q9" s="22">
        <v>325.0</v>
      </c>
    </row>
    <row r="10">
      <c r="A10" s="22">
        <v>3.0</v>
      </c>
      <c r="B10" s="22">
        <v>327.0</v>
      </c>
      <c r="C10" s="22">
        <v>326.0</v>
      </c>
      <c r="D10" s="22">
        <v>352.0</v>
      </c>
      <c r="E10" s="22">
        <v>317.0</v>
      </c>
      <c r="F10" s="22">
        <v>336.0</v>
      </c>
      <c r="H10" s="22">
        <v>213.0</v>
      </c>
      <c r="K10" s="22">
        <v>420.0</v>
      </c>
      <c r="L10" s="22">
        <v>395.0</v>
      </c>
      <c r="M10" s="22">
        <v>271.0</v>
      </c>
      <c r="N10" s="22">
        <v>401.0</v>
      </c>
      <c r="P10" s="22">
        <v>335.0</v>
      </c>
      <c r="Q10" s="22">
        <v>396.0</v>
      </c>
    </row>
    <row r="11">
      <c r="A11" s="22">
        <v>4.0</v>
      </c>
      <c r="B11" s="22">
        <v>368.0</v>
      </c>
      <c r="C11" s="22">
        <v>334.0</v>
      </c>
      <c r="D11" s="22">
        <v>359.0</v>
      </c>
      <c r="E11" s="22">
        <v>309.0</v>
      </c>
      <c r="F11" s="22">
        <v>294.0</v>
      </c>
      <c r="H11" s="22">
        <v>244.0</v>
      </c>
      <c r="K11" s="22">
        <v>391.0</v>
      </c>
      <c r="L11" s="22">
        <v>377.0</v>
      </c>
      <c r="M11" s="22">
        <v>301.0</v>
      </c>
    </row>
    <row r="12">
      <c r="A12" s="104">
        <v>5.0</v>
      </c>
      <c r="B12" s="105"/>
      <c r="C12" s="105"/>
      <c r="D12" s="105"/>
      <c r="E12" s="105"/>
      <c r="F12" s="105"/>
      <c r="G12" s="105"/>
      <c r="H12" s="105"/>
      <c r="I12" s="105"/>
      <c r="J12" s="105"/>
      <c r="K12" s="104">
        <v>387.0</v>
      </c>
      <c r="L12" s="104">
        <v>371.0</v>
      </c>
      <c r="M12" s="104">
        <v>327.0</v>
      </c>
      <c r="N12" s="105"/>
      <c r="O12" s="105"/>
      <c r="P12" s="105"/>
      <c r="Q12" s="105"/>
      <c r="R12" s="105"/>
    </row>
    <row r="13">
      <c r="A13" s="22">
        <v>1.0</v>
      </c>
      <c r="B13" s="22">
        <v>302.0</v>
      </c>
      <c r="C13" s="22">
        <v>359.0</v>
      </c>
      <c r="D13" s="22">
        <v>363.0</v>
      </c>
      <c r="E13" s="22">
        <v>335.0</v>
      </c>
      <c r="H13" s="22">
        <v>260.0</v>
      </c>
      <c r="I13" s="22">
        <v>317.0</v>
      </c>
      <c r="J13" s="22">
        <v>409.0</v>
      </c>
      <c r="L13" s="22">
        <v>344.0</v>
      </c>
      <c r="M13" s="22">
        <v>322.0</v>
      </c>
      <c r="N13" s="22">
        <v>411.0</v>
      </c>
      <c r="P13" s="22">
        <v>325.0</v>
      </c>
      <c r="Q13" s="22">
        <v>328.0</v>
      </c>
    </row>
    <row r="14">
      <c r="A14" s="22">
        <v>2.0</v>
      </c>
      <c r="B14" s="22">
        <v>337.0</v>
      </c>
      <c r="C14" s="22">
        <v>341.0</v>
      </c>
      <c r="D14" s="22">
        <v>360.0</v>
      </c>
      <c r="E14" s="22">
        <v>298.0</v>
      </c>
      <c r="H14" s="22">
        <v>264.0</v>
      </c>
      <c r="I14" s="22">
        <v>271.0</v>
      </c>
      <c r="J14" s="22">
        <v>419.0</v>
      </c>
      <c r="L14" s="22">
        <v>353.0</v>
      </c>
      <c r="M14" s="22">
        <v>309.0</v>
      </c>
      <c r="N14" s="22">
        <v>370.0</v>
      </c>
      <c r="P14" s="22">
        <v>360.0</v>
      </c>
      <c r="Q14" s="22">
        <v>305.0</v>
      </c>
    </row>
    <row r="15">
      <c r="A15" s="22">
        <v>3.0</v>
      </c>
      <c r="B15" s="22">
        <v>314.0</v>
      </c>
      <c r="C15" s="22">
        <v>330.0</v>
      </c>
      <c r="D15" s="22">
        <v>300.0</v>
      </c>
      <c r="E15" s="22">
        <v>369.0</v>
      </c>
      <c r="H15" s="22">
        <v>243.0</v>
      </c>
      <c r="I15" s="22">
        <v>317.0</v>
      </c>
      <c r="J15" s="22">
        <v>424.0</v>
      </c>
      <c r="L15" s="22">
        <v>356.0</v>
      </c>
      <c r="M15" s="22">
        <v>298.0</v>
      </c>
      <c r="N15" s="22">
        <v>389.0</v>
      </c>
      <c r="P15" s="22">
        <v>291.0</v>
      </c>
      <c r="Q15" s="22">
        <v>358.0</v>
      </c>
    </row>
    <row r="16">
      <c r="A16" s="22">
        <v>4.0</v>
      </c>
      <c r="B16" s="22">
        <v>345.0</v>
      </c>
      <c r="C16" s="22">
        <v>377.0</v>
      </c>
      <c r="D16" s="22">
        <v>387.0</v>
      </c>
      <c r="E16" s="22">
        <v>387.0</v>
      </c>
      <c r="H16" s="22">
        <v>243.0</v>
      </c>
      <c r="I16" s="22">
        <v>295.0</v>
      </c>
      <c r="J16" s="22">
        <v>394.0</v>
      </c>
      <c r="L16" s="22">
        <v>304.0</v>
      </c>
      <c r="M16" s="22">
        <v>325.0</v>
      </c>
      <c r="N16" s="22">
        <v>343.0</v>
      </c>
      <c r="P16" s="22">
        <v>340.0</v>
      </c>
      <c r="Q16" s="22">
        <v>351.0</v>
      </c>
    </row>
    <row r="17">
      <c r="A17" s="104">
        <v>5.0</v>
      </c>
      <c r="B17" s="105"/>
      <c r="C17" s="105"/>
      <c r="D17" s="105"/>
      <c r="E17" s="104">
        <v>399.0</v>
      </c>
      <c r="F17" s="105"/>
      <c r="G17" s="105"/>
      <c r="H17" s="104">
        <v>231.0</v>
      </c>
      <c r="I17" s="104">
        <v>339.0</v>
      </c>
      <c r="J17" s="104">
        <v>375.0</v>
      </c>
      <c r="K17" s="105"/>
      <c r="L17" s="104">
        <v>397.0</v>
      </c>
      <c r="M17" s="104">
        <v>356.0</v>
      </c>
      <c r="N17" s="105"/>
      <c r="O17" s="105"/>
      <c r="P17" s="105"/>
      <c r="Q17" s="105"/>
      <c r="R17" s="105"/>
    </row>
    <row r="18">
      <c r="A18" s="22">
        <v>1.0</v>
      </c>
      <c r="B18" s="22">
        <v>293.0</v>
      </c>
      <c r="C18" s="22">
        <v>344.0</v>
      </c>
      <c r="D18" s="22">
        <v>340.0</v>
      </c>
      <c r="F18" s="22">
        <v>315.0</v>
      </c>
      <c r="H18" s="22">
        <v>256.0</v>
      </c>
      <c r="I18" s="22">
        <v>330.0</v>
      </c>
      <c r="K18" s="22">
        <v>379.0</v>
      </c>
      <c r="L18" s="22">
        <v>346.0</v>
      </c>
      <c r="M18" s="22">
        <v>304.0</v>
      </c>
    </row>
    <row r="19">
      <c r="A19" s="22">
        <v>2.0</v>
      </c>
      <c r="B19" s="22">
        <v>294.0</v>
      </c>
      <c r="C19" s="22">
        <v>319.0</v>
      </c>
      <c r="D19" s="22">
        <v>323.0</v>
      </c>
      <c r="F19" s="22">
        <v>325.0</v>
      </c>
      <c r="H19" s="22">
        <v>241.0</v>
      </c>
      <c r="I19" s="22">
        <v>377.0</v>
      </c>
      <c r="K19" s="22">
        <v>366.0</v>
      </c>
      <c r="L19" s="22">
        <v>369.0</v>
      </c>
      <c r="M19" s="22">
        <v>299.0</v>
      </c>
    </row>
    <row r="20">
      <c r="A20" s="22">
        <v>3.0</v>
      </c>
      <c r="B20" s="22">
        <v>302.0</v>
      </c>
      <c r="C20" s="22">
        <v>364.0</v>
      </c>
      <c r="D20" s="22">
        <v>279.0</v>
      </c>
      <c r="F20" s="22">
        <v>298.0</v>
      </c>
      <c r="H20" s="22">
        <v>249.0</v>
      </c>
      <c r="I20" s="22">
        <v>363.0</v>
      </c>
      <c r="K20" s="22">
        <v>406.0</v>
      </c>
      <c r="L20" s="22">
        <v>324.0</v>
      </c>
      <c r="M20" s="22">
        <v>271.0</v>
      </c>
    </row>
    <row r="21">
      <c r="A21" s="22">
        <v>4.0</v>
      </c>
      <c r="K21" s="22">
        <v>337.0</v>
      </c>
      <c r="L21" s="22">
        <v>304.0</v>
      </c>
      <c r="M21" s="22">
        <v>292.0</v>
      </c>
    </row>
    <row r="22">
      <c r="A22" s="104">
        <v>5.0</v>
      </c>
      <c r="B22" s="105"/>
      <c r="C22" s="105"/>
      <c r="D22" s="105"/>
      <c r="E22" s="104"/>
      <c r="F22" s="105"/>
      <c r="G22" s="105"/>
      <c r="H22" s="104"/>
      <c r="I22" s="104"/>
      <c r="J22" s="105"/>
      <c r="K22" s="105"/>
      <c r="L22" s="105"/>
      <c r="M22" s="105"/>
      <c r="N22" s="105"/>
      <c r="O22" s="105"/>
      <c r="P22" s="105"/>
      <c r="Q22" s="105"/>
      <c r="R22" s="105"/>
    </row>
    <row r="23">
      <c r="A23" s="22">
        <v>1.0</v>
      </c>
      <c r="E23" s="22">
        <v>333.0</v>
      </c>
      <c r="F23" s="22">
        <v>343.0</v>
      </c>
      <c r="H23" s="22">
        <v>199.0</v>
      </c>
      <c r="K23" s="22">
        <v>386.0</v>
      </c>
      <c r="L23" s="22">
        <v>351.0</v>
      </c>
      <c r="M23" s="22">
        <v>353.0</v>
      </c>
      <c r="N23" s="22">
        <v>385.0</v>
      </c>
      <c r="O23" s="22">
        <v>364.0</v>
      </c>
      <c r="P23" s="22">
        <v>367.0</v>
      </c>
    </row>
    <row r="24">
      <c r="A24" s="22">
        <v>2.0</v>
      </c>
      <c r="E24" s="22">
        <v>355.0</v>
      </c>
      <c r="F24" s="22">
        <v>287.0</v>
      </c>
      <c r="H24" s="22">
        <v>280.0</v>
      </c>
      <c r="K24" s="22">
        <v>356.0</v>
      </c>
      <c r="L24" s="22">
        <v>377.0</v>
      </c>
      <c r="M24" s="22">
        <v>281.0</v>
      </c>
      <c r="N24" s="22">
        <v>329.0</v>
      </c>
      <c r="O24" s="22">
        <v>393.0</v>
      </c>
      <c r="P24" s="22">
        <v>279.0</v>
      </c>
    </row>
    <row r="25">
      <c r="A25" s="22">
        <v>3.0</v>
      </c>
      <c r="E25" s="22">
        <v>320.0</v>
      </c>
      <c r="F25" s="22">
        <v>321.0</v>
      </c>
      <c r="H25" s="22">
        <v>242.0</v>
      </c>
      <c r="K25" s="22">
        <v>361.0</v>
      </c>
      <c r="L25" s="22">
        <v>412.0</v>
      </c>
      <c r="M25" s="22">
        <v>241.0</v>
      </c>
      <c r="N25" s="22">
        <v>365.0</v>
      </c>
      <c r="O25" s="22">
        <v>358.0</v>
      </c>
      <c r="P25" s="22">
        <v>391.0</v>
      </c>
    </row>
    <row r="26">
      <c r="A26" s="22">
        <v>4.0</v>
      </c>
      <c r="K26" s="22">
        <v>408.0</v>
      </c>
      <c r="L26" s="22">
        <v>366.0</v>
      </c>
      <c r="M26" s="22">
        <v>373.0</v>
      </c>
    </row>
    <row r="27">
      <c r="A27" s="104">
        <v>5.0</v>
      </c>
      <c r="B27" s="105"/>
      <c r="C27" s="105"/>
      <c r="D27" s="105"/>
      <c r="E27" s="104"/>
      <c r="F27" s="105"/>
      <c r="G27" s="105"/>
      <c r="H27" s="104"/>
      <c r="I27" s="104"/>
      <c r="J27" s="105"/>
      <c r="K27" s="104">
        <v>389.0</v>
      </c>
      <c r="L27" s="104">
        <v>412.0</v>
      </c>
      <c r="M27" s="104">
        <v>331.0</v>
      </c>
      <c r="N27" s="105"/>
      <c r="O27" s="105"/>
      <c r="P27" s="105"/>
      <c r="Q27" s="105"/>
      <c r="R27" s="105"/>
    </row>
    <row r="28">
      <c r="A28" s="22">
        <v>1.0</v>
      </c>
      <c r="E28" s="22">
        <v>354.0</v>
      </c>
      <c r="F28" s="22">
        <v>293.0</v>
      </c>
      <c r="I28" s="22">
        <v>334.0</v>
      </c>
      <c r="K28" s="22">
        <v>388.0</v>
      </c>
      <c r="L28" s="22">
        <v>352.0</v>
      </c>
      <c r="M28" s="22">
        <v>284.0</v>
      </c>
      <c r="N28" s="22">
        <v>324.0</v>
      </c>
      <c r="P28" s="22">
        <v>354.0</v>
      </c>
      <c r="R28" s="22">
        <v>314.0</v>
      </c>
    </row>
    <row r="29">
      <c r="A29" s="22">
        <v>2.0</v>
      </c>
      <c r="E29" s="22">
        <v>316.0</v>
      </c>
      <c r="F29" s="22">
        <v>323.0</v>
      </c>
      <c r="I29" s="22">
        <v>328.0</v>
      </c>
      <c r="K29" s="22">
        <v>354.0</v>
      </c>
      <c r="L29" s="22">
        <v>365.0</v>
      </c>
      <c r="M29" s="22">
        <v>308.0</v>
      </c>
      <c r="N29" s="22">
        <v>369.0</v>
      </c>
      <c r="P29" s="22">
        <v>326.0</v>
      </c>
      <c r="R29" s="22">
        <v>391.0</v>
      </c>
    </row>
    <row r="30">
      <c r="A30" s="22">
        <v>3.0</v>
      </c>
      <c r="E30" s="22">
        <v>355.0</v>
      </c>
      <c r="F30" s="22">
        <v>341.0</v>
      </c>
      <c r="I30" s="22">
        <v>297.0</v>
      </c>
      <c r="K30" s="22">
        <v>357.0</v>
      </c>
      <c r="L30" s="22">
        <v>407.0</v>
      </c>
      <c r="M30" s="22">
        <v>308.0</v>
      </c>
      <c r="N30" s="22">
        <v>348.0</v>
      </c>
      <c r="P30" s="22">
        <v>352.0</v>
      </c>
      <c r="R30" s="22">
        <v>345.0</v>
      </c>
    </row>
    <row r="31">
      <c r="A31" s="22">
        <v>4.0</v>
      </c>
      <c r="K31" s="22">
        <v>346.0</v>
      </c>
      <c r="L31" s="22">
        <v>414.0</v>
      </c>
      <c r="M31" s="22">
        <v>322.0</v>
      </c>
      <c r="N31" s="22">
        <v>305.0</v>
      </c>
      <c r="P31" s="22">
        <v>386.0</v>
      </c>
      <c r="R31" s="22">
        <v>314.0</v>
      </c>
    </row>
    <row r="32">
      <c r="A32" s="104">
        <v>5.0</v>
      </c>
      <c r="B32" s="105"/>
      <c r="C32" s="105"/>
      <c r="D32" s="105"/>
      <c r="E32" s="104"/>
      <c r="F32" s="105"/>
      <c r="G32" s="105"/>
      <c r="H32" s="104"/>
      <c r="I32" s="104"/>
      <c r="J32" s="105"/>
      <c r="K32" s="104">
        <v>342.0</v>
      </c>
      <c r="L32" s="104">
        <v>379.0</v>
      </c>
      <c r="M32" s="104">
        <v>265.0</v>
      </c>
      <c r="N32" s="105"/>
      <c r="O32" s="105"/>
      <c r="P32" s="105"/>
      <c r="Q32" s="105"/>
      <c r="R32" s="105"/>
    </row>
    <row r="33">
      <c r="A33" s="22" t="s">
        <v>235</v>
      </c>
      <c r="B33" s="106">
        <f t="shared" ref="B33:R33" si="1">IFERROR(AVERAGEIF(B3:B32, "&lt;&gt;"), 0)</f>
        <v>317.5625</v>
      </c>
      <c r="C33" s="106">
        <f t="shared" si="1"/>
        <v>322.125</v>
      </c>
      <c r="D33" s="106">
        <f t="shared" si="1"/>
        <v>337.625</v>
      </c>
      <c r="E33" s="106">
        <f t="shared" si="1"/>
        <v>334.3157895</v>
      </c>
      <c r="F33" s="106">
        <f t="shared" si="1"/>
        <v>296.7647059</v>
      </c>
      <c r="G33" s="106">
        <f t="shared" si="1"/>
        <v>245.5</v>
      </c>
      <c r="H33" s="106">
        <f t="shared" si="1"/>
        <v>242.2666667</v>
      </c>
      <c r="I33" s="106">
        <f t="shared" si="1"/>
        <v>324.3636364</v>
      </c>
      <c r="J33" s="106">
        <f t="shared" si="1"/>
        <v>404.2</v>
      </c>
      <c r="K33" s="106">
        <f t="shared" si="1"/>
        <v>382.3181818</v>
      </c>
      <c r="L33" s="106">
        <f t="shared" si="1"/>
        <v>368.7037037</v>
      </c>
      <c r="M33" s="106">
        <f t="shared" si="1"/>
        <v>306.2222222</v>
      </c>
      <c r="N33" s="106">
        <f t="shared" si="1"/>
        <v>352.7222222</v>
      </c>
      <c r="O33" s="106">
        <f t="shared" si="1"/>
        <v>366.1428571</v>
      </c>
      <c r="P33" s="106">
        <f t="shared" si="1"/>
        <v>349.2941176</v>
      </c>
      <c r="Q33" s="106">
        <f t="shared" si="1"/>
        <v>343.375</v>
      </c>
      <c r="R33" s="106">
        <f t="shared" si="1"/>
        <v>341</v>
      </c>
    </row>
    <row r="37">
      <c r="A37" s="22">
        <f>IFERROR(AVERAGEIF(H3:H32, "&lt;&gt;"), 0)</f>
        <v>242.2666667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2" t="s">
        <v>225</v>
      </c>
      <c r="R1" s="22"/>
      <c r="S1" s="22" t="s">
        <v>227</v>
      </c>
    </row>
    <row r="2">
      <c r="A2" s="22" t="s">
        <v>2</v>
      </c>
      <c r="B2" s="22" t="s">
        <v>20</v>
      </c>
      <c r="C2" s="22" t="s">
        <v>234</v>
      </c>
      <c r="D2" s="22" t="s">
        <v>21</v>
      </c>
      <c r="E2" s="22" t="s">
        <v>84</v>
      </c>
      <c r="F2" s="22" t="s">
        <v>82</v>
      </c>
      <c r="G2" s="22" t="s">
        <v>83</v>
      </c>
      <c r="H2" s="22" t="s">
        <v>85</v>
      </c>
      <c r="I2" s="22" t="s">
        <v>86</v>
      </c>
      <c r="J2" s="22" t="s">
        <v>124</v>
      </c>
      <c r="K2" s="22" t="s">
        <v>121</v>
      </c>
      <c r="L2" s="22" t="s">
        <v>123</v>
      </c>
      <c r="M2" s="22" t="s">
        <v>122</v>
      </c>
      <c r="N2" s="22" t="s">
        <v>164</v>
      </c>
      <c r="O2" s="22" t="s">
        <v>166</v>
      </c>
      <c r="P2" s="22" t="s">
        <v>165</v>
      </c>
      <c r="Q2" s="22" t="s">
        <v>168</v>
      </c>
      <c r="R2" s="22" t="s">
        <v>167</v>
      </c>
      <c r="S2" s="22" t="s">
        <v>20</v>
      </c>
      <c r="T2" s="22" t="s">
        <v>234</v>
      </c>
      <c r="U2" s="22" t="s">
        <v>21</v>
      </c>
      <c r="V2" s="22" t="s">
        <v>84</v>
      </c>
      <c r="W2" s="22" t="s">
        <v>82</v>
      </c>
      <c r="X2" s="22" t="s">
        <v>83</v>
      </c>
      <c r="Y2" s="22" t="s">
        <v>85</v>
      </c>
      <c r="Z2" s="22" t="s">
        <v>86</v>
      </c>
      <c r="AA2" s="22" t="s">
        <v>124</v>
      </c>
      <c r="AB2" s="22" t="s">
        <v>121</v>
      </c>
      <c r="AC2" s="22" t="s">
        <v>123</v>
      </c>
      <c r="AD2" s="22" t="s">
        <v>122</v>
      </c>
      <c r="AE2" s="22" t="s">
        <v>164</v>
      </c>
      <c r="AF2" s="22" t="s">
        <v>166</v>
      </c>
      <c r="AG2" s="22" t="s">
        <v>165</v>
      </c>
      <c r="AH2" s="22" t="s">
        <v>168</v>
      </c>
      <c r="AI2" s="22" t="s">
        <v>167</v>
      </c>
    </row>
    <row r="3">
      <c r="A3" s="22">
        <v>1.0</v>
      </c>
      <c r="B3" s="22">
        <v>20.0</v>
      </c>
      <c r="C3" s="22">
        <v>16.0</v>
      </c>
      <c r="D3" s="22">
        <v>18.0</v>
      </c>
      <c r="E3" s="22">
        <v>22.0</v>
      </c>
      <c r="F3" s="22">
        <v>10.0</v>
      </c>
      <c r="G3" s="22">
        <v>16.0</v>
      </c>
      <c r="K3" s="22">
        <v>19.0</v>
      </c>
      <c r="L3" s="22">
        <v>18.0</v>
      </c>
      <c r="M3" s="22">
        <v>16.0</v>
      </c>
      <c r="N3" s="22">
        <v>17.0</v>
      </c>
      <c r="O3" s="22">
        <v>13.0</v>
      </c>
      <c r="P3" s="22">
        <v>21.0</v>
      </c>
      <c r="R3" s="22"/>
      <c r="S3" s="22">
        <v>40.0</v>
      </c>
      <c r="T3" s="22">
        <v>43.0</v>
      </c>
      <c r="U3" s="22">
        <v>67.0</v>
      </c>
      <c r="V3" s="22">
        <v>35.0</v>
      </c>
      <c r="W3" s="22">
        <v>65.0</v>
      </c>
      <c r="X3" s="22">
        <v>45.0</v>
      </c>
      <c r="AB3" s="22">
        <v>60.0</v>
      </c>
      <c r="AC3" s="22">
        <v>62.0</v>
      </c>
      <c r="AD3" s="22">
        <v>46.0</v>
      </c>
      <c r="AE3" s="22">
        <v>46.0</v>
      </c>
      <c r="AF3" s="22">
        <v>49.0</v>
      </c>
      <c r="AG3" s="22">
        <v>40.0</v>
      </c>
    </row>
    <row r="4">
      <c r="A4" s="22">
        <v>2.0</v>
      </c>
      <c r="B4" s="22">
        <v>20.0</v>
      </c>
      <c r="C4" s="22">
        <v>14.0</v>
      </c>
      <c r="D4" s="22">
        <v>14.0</v>
      </c>
      <c r="E4" s="22">
        <v>13.0</v>
      </c>
      <c r="F4" s="22">
        <v>7.0</v>
      </c>
      <c r="G4" s="22">
        <v>14.0</v>
      </c>
      <c r="K4" s="22">
        <v>17.0</v>
      </c>
      <c r="L4" s="22">
        <v>18.0</v>
      </c>
      <c r="M4" s="22">
        <v>13.0</v>
      </c>
      <c r="N4" s="22">
        <v>20.0</v>
      </c>
      <c r="O4" s="22">
        <v>14.0</v>
      </c>
      <c r="P4" s="22">
        <v>19.0</v>
      </c>
      <c r="R4" s="22"/>
      <c r="S4" s="22">
        <v>31.0</v>
      </c>
      <c r="T4" s="22">
        <v>32.0</v>
      </c>
      <c r="U4" s="22">
        <v>44.0</v>
      </c>
      <c r="V4" s="22">
        <v>45.0</v>
      </c>
      <c r="W4" s="22">
        <v>62.0</v>
      </c>
      <c r="X4" s="22">
        <v>31.0</v>
      </c>
      <c r="AB4" s="22">
        <v>59.0</v>
      </c>
      <c r="AC4" s="22">
        <v>55.0</v>
      </c>
      <c r="AD4" s="22">
        <v>51.0</v>
      </c>
      <c r="AE4" s="22">
        <v>42.0</v>
      </c>
      <c r="AF4" s="22">
        <v>48.0</v>
      </c>
      <c r="AG4" s="22">
        <v>46.0</v>
      </c>
    </row>
    <row r="5">
      <c r="A5" s="22">
        <v>3.0</v>
      </c>
      <c r="B5" s="22">
        <v>17.0</v>
      </c>
      <c r="C5" s="22">
        <v>14.0</v>
      </c>
      <c r="D5" s="22">
        <v>15.0</v>
      </c>
      <c r="E5" s="22">
        <v>18.0</v>
      </c>
      <c r="F5" s="22">
        <v>15.0</v>
      </c>
      <c r="G5" s="22">
        <v>19.0</v>
      </c>
      <c r="K5" s="22">
        <v>17.0</v>
      </c>
      <c r="L5" s="22">
        <v>15.0</v>
      </c>
      <c r="M5" s="22">
        <v>14.0</v>
      </c>
      <c r="N5" s="22">
        <v>13.0</v>
      </c>
      <c r="O5" s="22">
        <v>20.0</v>
      </c>
      <c r="P5" s="22">
        <v>16.0</v>
      </c>
      <c r="R5" s="22"/>
      <c r="S5" s="22">
        <v>47.0</v>
      </c>
      <c r="T5" s="22">
        <v>39.0</v>
      </c>
      <c r="U5" s="22">
        <v>54.0</v>
      </c>
      <c r="V5" s="22">
        <v>53.0</v>
      </c>
      <c r="W5" s="22">
        <v>69.0</v>
      </c>
      <c r="X5" s="22">
        <v>41.0</v>
      </c>
      <c r="AB5" s="22">
        <v>66.0</v>
      </c>
      <c r="AC5" s="22">
        <v>73.0</v>
      </c>
      <c r="AD5" s="22">
        <v>44.0</v>
      </c>
      <c r="AE5" s="22">
        <v>61.0</v>
      </c>
      <c r="AF5" s="22">
        <v>36.0</v>
      </c>
      <c r="AG5" s="22">
        <v>44.0</v>
      </c>
    </row>
    <row r="6">
      <c r="A6" s="22">
        <v>4.0</v>
      </c>
      <c r="B6" s="22">
        <v>18.0</v>
      </c>
      <c r="C6" s="22">
        <v>16.0</v>
      </c>
      <c r="D6" s="22">
        <v>19.0</v>
      </c>
      <c r="E6" s="22">
        <v>16.0</v>
      </c>
      <c r="F6" s="22">
        <v>11.0</v>
      </c>
      <c r="G6" s="22">
        <v>14.0</v>
      </c>
      <c r="N6" s="22">
        <v>13.0</v>
      </c>
      <c r="O6" s="22">
        <v>19.0</v>
      </c>
      <c r="Q6" s="22">
        <v>15.0</v>
      </c>
      <c r="R6" s="22"/>
      <c r="S6" s="22">
        <v>49.0</v>
      </c>
      <c r="T6" s="22">
        <v>39.0</v>
      </c>
      <c r="U6" s="22">
        <v>37.0</v>
      </c>
      <c r="V6" s="22">
        <v>34.0</v>
      </c>
      <c r="W6" s="22">
        <v>66.0</v>
      </c>
      <c r="X6" s="22">
        <v>41.0</v>
      </c>
      <c r="AE6" s="22">
        <v>63.0</v>
      </c>
      <c r="AF6" s="22">
        <v>42.0</v>
      </c>
      <c r="AH6" s="22">
        <v>77.0</v>
      </c>
      <c r="AI6" s="22"/>
    </row>
    <row r="7">
      <c r="A7" s="104">
        <v>5.0</v>
      </c>
      <c r="B7" s="104">
        <v>15.0</v>
      </c>
      <c r="C7" s="104">
        <v>19.0</v>
      </c>
      <c r="D7" s="104">
        <v>13.0</v>
      </c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4"/>
      <c r="S7" s="104">
        <v>38.0</v>
      </c>
      <c r="T7" s="104">
        <v>46.0</v>
      </c>
      <c r="U7" s="104">
        <v>57.0</v>
      </c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</row>
    <row r="8">
      <c r="A8" s="22">
        <v>1.0</v>
      </c>
      <c r="B8" s="22">
        <v>18.0</v>
      </c>
      <c r="C8" s="22">
        <v>12.0</v>
      </c>
      <c r="D8" s="22">
        <v>17.0</v>
      </c>
      <c r="E8" s="22">
        <v>13.0</v>
      </c>
      <c r="F8" s="22">
        <v>10.0</v>
      </c>
      <c r="H8" s="22">
        <v>13.0</v>
      </c>
      <c r="K8" s="22">
        <v>19.0</v>
      </c>
      <c r="L8" s="22">
        <v>16.0</v>
      </c>
      <c r="M8" s="22">
        <v>16.0</v>
      </c>
      <c r="N8" s="22">
        <v>18.0</v>
      </c>
      <c r="P8" s="22">
        <v>17.0</v>
      </c>
      <c r="Q8" s="22">
        <v>16.0</v>
      </c>
      <c r="R8" s="22"/>
      <c r="S8" s="22">
        <v>33.0</v>
      </c>
      <c r="T8" s="22">
        <v>43.0</v>
      </c>
      <c r="U8" s="22">
        <v>38.0</v>
      </c>
      <c r="V8" s="22">
        <v>57.0</v>
      </c>
      <c r="W8" s="22">
        <v>60.0</v>
      </c>
      <c r="Y8" s="22">
        <v>44.0</v>
      </c>
      <c r="AB8" s="22">
        <v>57.0</v>
      </c>
      <c r="AC8" s="22">
        <v>70.0</v>
      </c>
      <c r="AD8" s="22">
        <v>57.0</v>
      </c>
      <c r="AE8" s="22">
        <v>66.0</v>
      </c>
      <c r="AG8" s="22">
        <v>46.0</v>
      </c>
      <c r="AH8" s="22">
        <v>80.0</v>
      </c>
      <c r="AI8" s="22"/>
    </row>
    <row r="9">
      <c r="A9" s="22">
        <v>2.0</v>
      </c>
      <c r="B9" s="22">
        <v>19.0</v>
      </c>
      <c r="C9" s="22">
        <v>16.0</v>
      </c>
      <c r="D9" s="22">
        <v>15.0</v>
      </c>
      <c r="E9" s="22">
        <v>15.0</v>
      </c>
      <c r="F9" s="22">
        <v>16.0</v>
      </c>
      <c r="H9" s="22">
        <v>12.0</v>
      </c>
      <c r="K9" s="22">
        <v>22.0</v>
      </c>
      <c r="L9" s="22">
        <v>20.0</v>
      </c>
      <c r="M9" s="22">
        <v>14.0</v>
      </c>
      <c r="N9" s="22">
        <v>20.0</v>
      </c>
      <c r="P9" s="22">
        <v>18.0</v>
      </c>
      <c r="Q9" s="22">
        <v>10.0</v>
      </c>
      <c r="R9" s="22"/>
      <c r="S9" s="22">
        <v>43.0</v>
      </c>
      <c r="T9" s="22">
        <v>36.0</v>
      </c>
      <c r="U9" s="22">
        <v>52.0</v>
      </c>
      <c r="V9" s="22">
        <v>59.0</v>
      </c>
      <c r="W9" s="22">
        <v>57.0</v>
      </c>
      <c r="Y9" s="22">
        <v>51.0</v>
      </c>
      <c r="AB9" s="22">
        <v>64.0</v>
      </c>
      <c r="AC9" s="22">
        <v>53.0</v>
      </c>
      <c r="AD9" s="22">
        <v>60.0</v>
      </c>
      <c r="AE9" s="22">
        <v>57.0</v>
      </c>
      <c r="AG9" s="22">
        <v>38.0</v>
      </c>
      <c r="AH9" s="22">
        <v>74.0</v>
      </c>
      <c r="AI9" s="22"/>
    </row>
    <row r="10">
      <c r="A10" s="22">
        <v>3.0</v>
      </c>
      <c r="B10" s="22">
        <v>22.0</v>
      </c>
      <c r="C10" s="22">
        <v>22.0</v>
      </c>
      <c r="D10" s="22">
        <v>25.0</v>
      </c>
      <c r="E10" s="22">
        <v>14.0</v>
      </c>
      <c r="F10" s="22">
        <v>18.0</v>
      </c>
      <c r="H10" s="22">
        <v>9.0</v>
      </c>
      <c r="K10" s="22">
        <v>31.0</v>
      </c>
      <c r="L10" s="22">
        <v>33.0</v>
      </c>
      <c r="M10" s="22">
        <v>20.0</v>
      </c>
      <c r="N10" s="22">
        <v>21.0</v>
      </c>
      <c r="P10" s="22">
        <v>13.0</v>
      </c>
      <c r="Q10" s="22">
        <v>15.0</v>
      </c>
      <c r="R10" s="22"/>
      <c r="S10" s="22">
        <v>43.0</v>
      </c>
      <c r="T10" s="22">
        <v>40.0</v>
      </c>
      <c r="U10" s="22">
        <v>62.0</v>
      </c>
      <c r="V10" s="22">
        <v>44.0</v>
      </c>
      <c r="W10" s="22">
        <v>51.0</v>
      </c>
      <c r="Y10" s="22">
        <v>45.0</v>
      </c>
      <c r="AB10" s="22">
        <v>93.0</v>
      </c>
      <c r="AC10" s="22">
        <v>94.0</v>
      </c>
      <c r="AD10" s="22">
        <v>83.0</v>
      </c>
      <c r="AE10" s="22">
        <v>45.0</v>
      </c>
      <c r="AG10" s="22">
        <v>49.0</v>
      </c>
      <c r="AH10" s="22">
        <v>83.0</v>
      </c>
      <c r="AI10" s="22"/>
    </row>
    <row r="11">
      <c r="A11" s="22">
        <v>4.0</v>
      </c>
      <c r="B11" s="22">
        <v>19.0</v>
      </c>
      <c r="C11" s="22">
        <v>18.0</v>
      </c>
      <c r="D11" s="22">
        <v>18.0</v>
      </c>
      <c r="E11" s="22">
        <v>12.0</v>
      </c>
      <c r="F11" s="22">
        <v>11.0</v>
      </c>
      <c r="H11" s="22">
        <v>10.0</v>
      </c>
      <c r="K11" s="22">
        <v>20.0</v>
      </c>
      <c r="L11" s="22">
        <v>19.0</v>
      </c>
      <c r="M11" s="22">
        <v>16.0</v>
      </c>
      <c r="R11" s="22"/>
      <c r="S11" s="22">
        <v>32.0</v>
      </c>
      <c r="T11" s="22">
        <v>53.0</v>
      </c>
      <c r="U11" s="22">
        <v>47.0</v>
      </c>
      <c r="V11" s="22">
        <v>54.0</v>
      </c>
      <c r="W11" s="22">
        <v>67.0</v>
      </c>
      <c r="Y11" s="22">
        <v>33.0</v>
      </c>
      <c r="AB11" s="22">
        <v>53.0</v>
      </c>
      <c r="AC11" s="22">
        <v>58.0</v>
      </c>
      <c r="AD11" s="22">
        <v>52.0</v>
      </c>
    </row>
    <row r="12">
      <c r="A12" s="104">
        <v>5.0</v>
      </c>
      <c r="B12" s="104"/>
      <c r="C12" s="104"/>
      <c r="D12" s="104"/>
      <c r="E12" s="105"/>
      <c r="F12" s="105"/>
      <c r="G12" s="105"/>
      <c r="H12" s="105"/>
      <c r="I12" s="105"/>
      <c r="J12" s="105"/>
      <c r="K12" s="105">
        <v>19.0</v>
      </c>
      <c r="L12" s="105">
        <v>13.0</v>
      </c>
      <c r="M12" s="105">
        <v>16.0</v>
      </c>
      <c r="N12" s="105"/>
      <c r="O12" s="105"/>
      <c r="P12" s="105"/>
      <c r="Q12" s="105"/>
      <c r="R12" s="104"/>
      <c r="S12" s="104"/>
      <c r="T12" s="104"/>
      <c r="U12" s="104"/>
      <c r="V12" s="105"/>
      <c r="W12" s="105"/>
      <c r="X12" s="105"/>
      <c r="Y12" s="105"/>
      <c r="Z12" s="105"/>
      <c r="AA12" s="105"/>
      <c r="AB12" s="105">
        <v>48.0</v>
      </c>
      <c r="AC12" s="105">
        <v>73.0</v>
      </c>
      <c r="AD12" s="105">
        <v>50.0</v>
      </c>
      <c r="AE12" s="105"/>
      <c r="AF12" s="105"/>
      <c r="AG12" s="105"/>
      <c r="AH12" s="105"/>
      <c r="AI12" s="105"/>
    </row>
    <row r="13">
      <c r="A13" s="22">
        <v>1.0</v>
      </c>
      <c r="B13" s="22">
        <v>18.0</v>
      </c>
      <c r="C13" s="22">
        <v>18.0</v>
      </c>
      <c r="D13" s="22">
        <v>17.0</v>
      </c>
      <c r="E13" s="22">
        <v>17.0</v>
      </c>
      <c r="F13" s="22"/>
      <c r="H13" s="22">
        <v>10.0</v>
      </c>
      <c r="I13" s="106">
        <v>14.0</v>
      </c>
      <c r="J13" s="22">
        <v>24.0</v>
      </c>
      <c r="K13" s="22"/>
      <c r="L13" s="22">
        <v>14.0</v>
      </c>
      <c r="M13" s="22">
        <v>16.0</v>
      </c>
      <c r="N13" s="22">
        <v>19.0</v>
      </c>
      <c r="P13" s="22">
        <v>16.0</v>
      </c>
      <c r="Q13" s="22">
        <v>13.0</v>
      </c>
      <c r="R13" s="22"/>
      <c r="S13" s="22">
        <v>38.0</v>
      </c>
      <c r="T13" s="22">
        <v>37.0</v>
      </c>
      <c r="U13" s="22">
        <v>55.0</v>
      </c>
      <c r="V13" s="22">
        <v>48.0</v>
      </c>
      <c r="W13" s="22"/>
      <c r="Y13" s="22">
        <v>50.0</v>
      </c>
      <c r="Z13" s="106">
        <v>58.0</v>
      </c>
      <c r="AA13" s="22">
        <v>36.0</v>
      </c>
      <c r="AB13" s="22"/>
      <c r="AC13" s="22">
        <v>63.0</v>
      </c>
      <c r="AD13" s="22">
        <v>59.0</v>
      </c>
      <c r="AE13" s="22">
        <v>63.0</v>
      </c>
      <c r="AG13" s="22">
        <v>43.0</v>
      </c>
      <c r="AH13" s="22">
        <v>94.0</v>
      </c>
      <c r="AI13" s="22"/>
    </row>
    <row r="14">
      <c r="A14" s="22">
        <v>2.0</v>
      </c>
      <c r="B14" s="22">
        <v>18.0</v>
      </c>
      <c r="C14" s="22">
        <v>16.0</v>
      </c>
      <c r="D14" s="22">
        <v>15.0</v>
      </c>
      <c r="E14" s="22">
        <v>16.0</v>
      </c>
      <c r="H14" s="22">
        <v>14.0</v>
      </c>
      <c r="I14" s="22">
        <v>14.0</v>
      </c>
      <c r="J14" s="22">
        <v>21.0</v>
      </c>
      <c r="L14" s="22">
        <v>16.0</v>
      </c>
      <c r="M14" s="22">
        <v>13.0</v>
      </c>
      <c r="N14" s="22">
        <v>30.0</v>
      </c>
      <c r="P14" s="22">
        <v>25.0</v>
      </c>
      <c r="Q14" s="22">
        <v>24.0</v>
      </c>
      <c r="S14" s="22">
        <v>37.0</v>
      </c>
      <c r="T14" s="22">
        <v>49.0</v>
      </c>
      <c r="U14" s="22">
        <v>60.0</v>
      </c>
      <c r="V14" s="22">
        <v>58.0</v>
      </c>
      <c r="Y14" s="22">
        <v>58.0</v>
      </c>
      <c r="Z14" s="22">
        <v>62.0</v>
      </c>
      <c r="AA14" s="22">
        <v>39.0</v>
      </c>
      <c r="AC14" s="22">
        <v>67.0</v>
      </c>
      <c r="AD14" s="22">
        <v>58.0</v>
      </c>
      <c r="AE14" s="22">
        <v>93.0</v>
      </c>
      <c r="AG14" s="22">
        <v>65.0</v>
      </c>
      <c r="AH14" s="22">
        <v>124.0</v>
      </c>
    </row>
    <row r="15">
      <c r="A15" s="22">
        <v>3.0</v>
      </c>
      <c r="B15" s="22">
        <v>18.0</v>
      </c>
      <c r="C15" s="22">
        <v>23.0</v>
      </c>
      <c r="D15" s="22">
        <v>14.0</v>
      </c>
      <c r="E15" s="22">
        <v>22.0</v>
      </c>
      <c r="H15" s="22">
        <v>10.0</v>
      </c>
      <c r="I15" s="22">
        <v>21.0</v>
      </c>
      <c r="J15" s="22">
        <v>22.0</v>
      </c>
      <c r="L15" s="22">
        <v>15.0</v>
      </c>
      <c r="M15" s="22">
        <v>15.0</v>
      </c>
      <c r="N15" s="22">
        <v>23.0</v>
      </c>
      <c r="P15" s="22">
        <v>9.0</v>
      </c>
      <c r="Q15" s="22">
        <v>14.0</v>
      </c>
      <c r="S15" s="22">
        <v>49.0</v>
      </c>
      <c r="T15" s="22">
        <v>43.0</v>
      </c>
      <c r="U15" s="22">
        <v>60.0</v>
      </c>
      <c r="V15" s="22">
        <v>51.0</v>
      </c>
      <c r="Y15" s="22">
        <v>49.0</v>
      </c>
      <c r="Z15" s="22">
        <v>36.0</v>
      </c>
      <c r="AA15" s="22">
        <v>37.0</v>
      </c>
      <c r="AC15" s="22">
        <v>76.0</v>
      </c>
      <c r="AD15" s="22">
        <v>31.0</v>
      </c>
      <c r="AE15" s="22">
        <v>51.0</v>
      </c>
      <c r="AG15" s="22">
        <v>66.0</v>
      </c>
      <c r="AH15" s="22">
        <v>76.0</v>
      </c>
    </row>
    <row r="16">
      <c r="A16" s="22">
        <v>4.0</v>
      </c>
      <c r="B16" s="22">
        <v>18.0</v>
      </c>
      <c r="C16" s="22">
        <v>21.0</v>
      </c>
      <c r="D16" s="22">
        <v>18.0</v>
      </c>
      <c r="E16" s="22">
        <v>21.0</v>
      </c>
      <c r="H16" s="22">
        <v>7.0</v>
      </c>
      <c r="I16" s="22">
        <v>18.0</v>
      </c>
      <c r="J16" s="22">
        <v>22.0</v>
      </c>
      <c r="L16" s="22">
        <v>9.0</v>
      </c>
      <c r="M16" s="22">
        <v>17.0</v>
      </c>
      <c r="N16" s="22">
        <v>16.0</v>
      </c>
      <c r="P16" s="22">
        <v>15.0</v>
      </c>
      <c r="Q16" s="22">
        <v>14.0</v>
      </c>
      <c r="S16" s="22">
        <v>52.0</v>
      </c>
      <c r="T16" s="22">
        <v>35.0</v>
      </c>
      <c r="U16" s="22">
        <v>53.0</v>
      </c>
      <c r="V16" s="22">
        <v>54.0</v>
      </c>
      <c r="Y16" s="22">
        <v>59.0</v>
      </c>
      <c r="Z16" s="22">
        <v>47.0</v>
      </c>
      <c r="AA16" s="22">
        <v>43.0</v>
      </c>
      <c r="AC16" s="22">
        <v>87.0</v>
      </c>
      <c r="AD16" s="22">
        <v>41.0</v>
      </c>
      <c r="AE16" s="22">
        <v>49.0</v>
      </c>
      <c r="AG16" s="22">
        <v>48.0</v>
      </c>
      <c r="AH16" s="22">
        <v>76.0</v>
      </c>
    </row>
    <row r="17">
      <c r="A17" s="104">
        <v>5.0</v>
      </c>
      <c r="B17" s="104"/>
      <c r="C17" s="104"/>
      <c r="D17" s="104"/>
      <c r="E17" s="105">
        <v>25.0</v>
      </c>
      <c r="F17" s="105"/>
      <c r="G17" s="105"/>
      <c r="H17" s="105">
        <v>13.0</v>
      </c>
      <c r="I17" s="105">
        <v>22.0</v>
      </c>
      <c r="J17" s="104">
        <v>18.0</v>
      </c>
      <c r="K17" s="105"/>
      <c r="L17" s="104">
        <v>17.0</v>
      </c>
      <c r="M17" s="104">
        <v>19.0</v>
      </c>
      <c r="N17" s="105"/>
      <c r="O17" s="105"/>
      <c r="P17" s="105"/>
      <c r="Q17" s="105"/>
      <c r="R17" s="104"/>
      <c r="S17" s="104"/>
      <c r="T17" s="104"/>
      <c r="U17" s="104"/>
      <c r="V17" s="105">
        <v>74.0</v>
      </c>
      <c r="W17" s="105"/>
      <c r="X17" s="105"/>
      <c r="Y17" s="105">
        <v>79.0</v>
      </c>
      <c r="Z17" s="105">
        <v>64.0</v>
      </c>
      <c r="AA17" s="104">
        <v>42.0</v>
      </c>
      <c r="AB17" s="105"/>
      <c r="AC17" s="104">
        <v>62.0</v>
      </c>
      <c r="AD17" s="104">
        <v>33.0</v>
      </c>
      <c r="AE17" s="105"/>
      <c r="AF17" s="105"/>
      <c r="AG17" s="105"/>
      <c r="AH17" s="105"/>
      <c r="AI17" s="105"/>
    </row>
    <row r="18">
      <c r="A18" s="22">
        <v>1.0</v>
      </c>
      <c r="B18" s="22">
        <v>13.0</v>
      </c>
      <c r="C18" s="22">
        <v>18.0</v>
      </c>
      <c r="D18" s="22">
        <v>19.0</v>
      </c>
      <c r="E18" s="22"/>
      <c r="F18" s="22">
        <v>15.0</v>
      </c>
      <c r="H18" s="22">
        <v>11.0</v>
      </c>
      <c r="I18" s="22">
        <v>19.0</v>
      </c>
      <c r="K18" s="22">
        <v>14.0</v>
      </c>
      <c r="L18" s="22">
        <v>13.0</v>
      </c>
      <c r="M18" s="22">
        <v>15.0</v>
      </c>
      <c r="N18" s="22"/>
      <c r="P18" s="22"/>
      <c r="Q18" s="22"/>
      <c r="R18" s="22"/>
      <c r="S18" s="22">
        <v>57.0</v>
      </c>
      <c r="T18" s="22">
        <v>42.0</v>
      </c>
      <c r="U18" s="22">
        <v>54.0</v>
      </c>
      <c r="V18" s="22"/>
      <c r="W18" s="22">
        <v>67.0</v>
      </c>
      <c r="Y18" s="22">
        <v>49.0</v>
      </c>
      <c r="Z18" s="22">
        <v>37.0</v>
      </c>
      <c r="AB18" s="22">
        <v>65.0</v>
      </c>
      <c r="AC18" s="22">
        <v>69.0</v>
      </c>
      <c r="AD18" s="22">
        <v>34.0</v>
      </c>
      <c r="AE18" s="22"/>
      <c r="AG18" s="22"/>
      <c r="AH18" s="22"/>
      <c r="AI18" s="22"/>
    </row>
    <row r="19">
      <c r="A19" s="22">
        <v>2.0</v>
      </c>
      <c r="B19" s="22">
        <v>16.0</v>
      </c>
      <c r="C19" s="22">
        <v>19.0</v>
      </c>
      <c r="D19" s="22">
        <v>17.0</v>
      </c>
      <c r="F19" s="22">
        <v>25.0</v>
      </c>
      <c r="H19" s="22">
        <v>11.0</v>
      </c>
      <c r="I19" s="22">
        <v>26.0</v>
      </c>
      <c r="K19" s="22">
        <v>18.0</v>
      </c>
      <c r="L19" s="22">
        <v>18.0</v>
      </c>
      <c r="M19" s="22">
        <v>15.0</v>
      </c>
      <c r="S19" s="22">
        <v>48.0</v>
      </c>
      <c r="T19" s="22">
        <v>50.0</v>
      </c>
      <c r="U19" s="22">
        <v>33.0</v>
      </c>
      <c r="W19" s="22">
        <v>56.0</v>
      </c>
      <c r="Y19" s="22">
        <v>54.0</v>
      </c>
      <c r="Z19" s="22">
        <v>47.0</v>
      </c>
      <c r="AB19" s="22">
        <v>55.0</v>
      </c>
      <c r="AC19" s="22">
        <v>58.0</v>
      </c>
      <c r="AD19" s="22">
        <v>54.0</v>
      </c>
    </row>
    <row r="20">
      <c r="A20" s="22">
        <v>3.0</v>
      </c>
      <c r="B20" s="22">
        <v>15.0</v>
      </c>
      <c r="C20" s="22">
        <v>21.0</v>
      </c>
      <c r="D20" s="22">
        <v>19.0</v>
      </c>
      <c r="F20" s="22">
        <v>14.0</v>
      </c>
      <c r="H20" s="22">
        <v>9.0</v>
      </c>
      <c r="I20" s="22">
        <v>20.0</v>
      </c>
      <c r="K20" s="22">
        <v>23.0</v>
      </c>
      <c r="L20" s="22">
        <v>16.0</v>
      </c>
      <c r="M20" s="22">
        <v>20.0</v>
      </c>
      <c r="S20" s="22">
        <v>52.0</v>
      </c>
      <c r="T20" s="22">
        <v>44.0</v>
      </c>
      <c r="U20" s="22">
        <v>40.0</v>
      </c>
      <c r="W20" s="22">
        <v>72.0</v>
      </c>
      <c r="Y20" s="22">
        <v>49.0</v>
      </c>
      <c r="Z20" s="22">
        <v>52.0</v>
      </c>
      <c r="AB20" s="22">
        <v>84.0</v>
      </c>
      <c r="AC20" s="22">
        <v>82.0</v>
      </c>
      <c r="AD20" s="22">
        <v>60.0</v>
      </c>
    </row>
    <row r="21">
      <c r="A21" s="22">
        <v>4.0</v>
      </c>
      <c r="K21" s="22">
        <v>18.0</v>
      </c>
      <c r="L21" s="22">
        <v>13.0</v>
      </c>
      <c r="M21" s="22">
        <v>23.0</v>
      </c>
      <c r="AB21" s="22">
        <v>85.0</v>
      </c>
      <c r="AC21" s="22">
        <v>90.0</v>
      </c>
      <c r="AD21" s="22">
        <v>48.0</v>
      </c>
    </row>
    <row r="22">
      <c r="A22" s="104">
        <v>5.0</v>
      </c>
      <c r="B22" s="104"/>
      <c r="C22" s="104"/>
      <c r="D22" s="104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4"/>
      <c r="S22" s="104"/>
      <c r="T22" s="104"/>
      <c r="U22" s="104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</row>
    <row r="23">
      <c r="A23" s="22">
        <v>1.0</v>
      </c>
      <c r="B23" s="22"/>
      <c r="C23" s="22"/>
      <c r="D23" s="22"/>
      <c r="E23" s="22">
        <v>14.0</v>
      </c>
      <c r="F23" s="22">
        <v>16.0</v>
      </c>
      <c r="H23" s="22">
        <v>6.0</v>
      </c>
      <c r="K23" s="22">
        <v>18.0</v>
      </c>
      <c r="L23" s="22">
        <v>16.0</v>
      </c>
      <c r="M23" s="22">
        <v>21.0</v>
      </c>
      <c r="N23" s="22">
        <v>18.0</v>
      </c>
      <c r="O23" s="22">
        <v>18.0</v>
      </c>
      <c r="P23" s="22">
        <v>15.0</v>
      </c>
      <c r="Q23" s="22"/>
      <c r="R23" s="22"/>
      <c r="S23" s="22"/>
      <c r="T23" s="22"/>
      <c r="U23" s="22"/>
      <c r="V23" s="22">
        <v>65.0</v>
      </c>
      <c r="W23" s="22">
        <v>48.0</v>
      </c>
      <c r="Y23" s="22">
        <v>56.0</v>
      </c>
      <c r="AB23" s="22">
        <v>54.0</v>
      </c>
      <c r="AC23" s="22">
        <v>67.0</v>
      </c>
      <c r="AD23" s="22">
        <v>46.0</v>
      </c>
      <c r="AE23" s="22">
        <v>45.0</v>
      </c>
      <c r="AF23" s="22">
        <v>37.0</v>
      </c>
      <c r="AG23" s="22">
        <v>48.0</v>
      </c>
      <c r="AH23" s="22"/>
      <c r="AI23" s="22"/>
    </row>
    <row r="24">
      <c r="A24" s="22">
        <v>2.0</v>
      </c>
      <c r="E24" s="22">
        <v>15.0</v>
      </c>
      <c r="F24" s="22">
        <v>15.0</v>
      </c>
      <c r="H24" s="22">
        <v>11.0</v>
      </c>
      <c r="K24" s="22">
        <v>17.0</v>
      </c>
      <c r="L24" s="22">
        <v>17.0</v>
      </c>
      <c r="M24" s="22">
        <v>15.0</v>
      </c>
      <c r="N24" s="22">
        <v>17.0</v>
      </c>
      <c r="O24" s="22">
        <v>19.0</v>
      </c>
      <c r="P24" s="22">
        <v>13.0</v>
      </c>
      <c r="V24" s="22">
        <v>64.0</v>
      </c>
      <c r="W24" s="22">
        <v>54.0</v>
      </c>
      <c r="Y24" s="22">
        <v>58.0</v>
      </c>
      <c r="AB24" s="22">
        <v>67.0</v>
      </c>
      <c r="AC24" s="22">
        <v>51.0</v>
      </c>
      <c r="AD24" s="22">
        <v>47.0</v>
      </c>
      <c r="AE24" s="22">
        <v>49.0</v>
      </c>
      <c r="AF24" s="22">
        <v>54.0</v>
      </c>
      <c r="AG24" s="22">
        <v>62.0</v>
      </c>
    </row>
    <row r="25">
      <c r="A25" s="22">
        <v>3.0</v>
      </c>
      <c r="E25" s="22">
        <v>15.0</v>
      </c>
      <c r="F25" s="22">
        <v>15.0</v>
      </c>
      <c r="H25" s="22">
        <v>7.0</v>
      </c>
      <c r="K25" s="22">
        <v>13.0</v>
      </c>
      <c r="L25" s="22">
        <v>22.0</v>
      </c>
      <c r="M25" s="22">
        <v>10.0</v>
      </c>
      <c r="N25" s="22">
        <v>22.0</v>
      </c>
      <c r="O25" s="22">
        <v>15.0</v>
      </c>
      <c r="P25" s="22">
        <v>22.0</v>
      </c>
      <c r="V25" s="22">
        <v>59.0</v>
      </c>
      <c r="W25" s="22">
        <v>55.0</v>
      </c>
      <c r="Y25" s="22">
        <v>55.0</v>
      </c>
      <c r="AB25" s="22">
        <v>72.0</v>
      </c>
      <c r="AC25" s="22">
        <v>57.0</v>
      </c>
      <c r="AD25" s="22">
        <v>52.0</v>
      </c>
      <c r="AE25" s="22">
        <v>33.0</v>
      </c>
      <c r="AF25" s="22">
        <v>52.0</v>
      </c>
      <c r="AG25" s="22">
        <v>50.0</v>
      </c>
    </row>
    <row r="26">
      <c r="A26" s="22">
        <v>4.0</v>
      </c>
      <c r="K26" s="22">
        <v>20.0</v>
      </c>
      <c r="L26" s="22">
        <v>17.0</v>
      </c>
      <c r="M26" s="22">
        <v>19.0</v>
      </c>
      <c r="AB26" s="22">
        <v>63.0</v>
      </c>
      <c r="AC26" s="22">
        <v>71.0</v>
      </c>
      <c r="AD26" s="22">
        <v>45.0</v>
      </c>
    </row>
    <row r="27">
      <c r="A27" s="104">
        <v>5.0</v>
      </c>
      <c r="B27" s="104"/>
      <c r="C27" s="104"/>
      <c r="D27" s="104"/>
      <c r="E27" s="105"/>
      <c r="F27" s="105"/>
      <c r="G27" s="105"/>
      <c r="H27" s="105"/>
      <c r="I27" s="105"/>
      <c r="J27" s="105"/>
      <c r="K27" s="104">
        <v>20.0</v>
      </c>
      <c r="L27" s="104">
        <v>19.0</v>
      </c>
      <c r="M27" s="104">
        <v>16.0</v>
      </c>
      <c r="N27" s="105"/>
      <c r="O27" s="105"/>
      <c r="P27" s="105"/>
      <c r="Q27" s="105"/>
      <c r="R27" s="104"/>
      <c r="S27" s="104"/>
      <c r="T27" s="104"/>
      <c r="U27" s="104"/>
      <c r="V27" s="105"/>
      <c r="W27" s="105"/>
      <c r="X27" s="105"/>
      <c r="Y27" s="105"/>
      <c r="Z27" s="105"/>
      <c r="AA27" s="105"/>
      <c r="AB27" s="104">
        <v>55.0</v>
      </c>
      <c r="AC27" s="104">
        <v>72.0</v>
      </c>
      <c r="AD27" s="104">
        <v>50.0</v>
      </c>
      <c r="AE27" s="105"/>
      <c r="AF27" s="105"/>
      <c r="AG27" s="105"/>
      <c r="AH27" s="105"/>
      <c r="AI27" s="105"/>
    </row>
    <row r="28">
      <c r="A28" s="22">
        <v>1.0</v>
      </c>
      <c r="B28" s="22"/>
      <c r="C28" s="22"/>
      <c r="D28" s="22"/>
      <c r="E28" s="22">
        <v>19.0</v>
      </c>
      <c r="F28" s="22">
        <v>14.0</v>
      </c>
      <c r="H28" s="22"/>
      <c r="I28" s="22">
        <v>18.0</v>
      </c>
      <c r="K28" s="22">
        <v>17.0</v>
      </c>
      <c r="L28" s="22">
        <v>21.0</v>
      </c>
      <c r="M28" s="22">
        <v>18.0</v>
      </c>
      <c r="N28" s="22">
        <v>19.0</v>
      </c>
      <c r="P28" s="22">
        <v>18.0</v>
      </c>
      <c r="Q28" s="22"/>
      <c r="R28" s="22">
        <v>14.0</v>
      </c>
      <c r="S28" s="22"/>
      <c r="T28" s="22"/>
      <c r="U28" s="22"/>
      <c r="V28" s="22">
        <v>46.0</v>
      </c>
      <c r="W28" s="22">
        <v>47.0</v>
      </c>
      <c r="Y28" s="22"/>
      <c r="Z28" s="22">
        <v>51.0</v>
      </c>
      <c r="AB28" s="22">
        <v>75.0</v>
      </c>
      <c r="AC28" s="22">
        <v>61.0</v>
      </c>
      <c r="AD28" s="22">
        <v>51.0</v>
      </c>
      <c r="AE28" s="22">
        <v>58.0</v>
      </c>
      <c r="AG28" s="22">
        <v>39.0</v>
      </c>
      <c r="AH28" s="22"/>
      <c r="AI28" s="22">
        <v>56.0</v>
      </c>
    </row>
    <row r="29">
      <c r="A29" s="22">
        <v>2.0</v>
      </c>
      <c r="E29" s="22">
        <v>16.0</v>
      </c>
      <c r="F29" s="22">
        <v>12.0</v>
      </c>
      <c r="I29" s="22">
        <v>15.0</v>
      </c>
      <c r="K29" s="22">
        <v>16.0</v>
      </c>
      <c r="L29" s="22">
        <v>16.0</v>
      </c>
      <c r="M29" s="22">
        <v>14.0</v>
      </c>
      <c r="N29" s="22">
        <v>18.0</v>
      </c>
      <c r="P29" s="22">
        <v>14.0</v>
      </c>
      <c r="R29" s="22">
        <v>18.0</v>
      </c>
      <c r="V29" s="22">
        <v>45.0</v>
      </c>
      <c r="W29" s="22">
        <v>67.0</v>
      </c>
      <c r="Z29" s="22">
        <v>39.0</v>
      </c>
      <c r="AB29" s="22">
        <v>65.0</v>
      </c>
      <c r="AC29" s="22">
        <v>77.0</v>
      </c>
      <c r="AD29" s="22">
        <v>60.0</v>
      </c>
      <c r="AE29" s="22">
        <v>53.0</v>
      </c>
      <c r="AG29" s="22">
        <v>42.0</v>
      </c>
      <c r="AI29" s="22">
        <v>50.0</v>
      </c>
    </row>
    <row r="30">
      <c r="A30" s="22">
        <v>3.0</v>
      </c>
      <c r="E30" s="22">
        <v>20.0</v>
      </c>
      <c r="F30" s="22">
        <v>17.0</v>
      </c>
      <c r="I30" s="22">
        <v>15.0</v>
      </c>
      <c r="K30" s="22">
        <v>13.0</v>
      </c>
      <c r="L30" s="22">
        <v>21.0</v>
      </c>
      <c r="M30" s="22">
        <v>14.0</v>
      </c>
      <c r="N30" s="22">
        <v>18.0</v>
      </c>
      <c r="P30" s="22">
        <v>16.0</v>
      </c>
      <c r="R30" s="22">
        <v>14.0</v>
      </c>
      <c r="V30" s="22">
        <v>57.0</v>
      </c>
      <c r="W30" s="22">
        <v>65.0</v>
      </c>
      <c r="Z30" s="22">
        <v>46.0</v>
      </c>
      <c r="AB30" s="22">
        <v>67.0</v>
      </c>
      <c r="AC30" s="22">
        <v>55.0</v>
      </c>
      <c r="AD30" s="22">
        <v>51.0</v>
      </c>
      <c r="AE30" s="22">
        <v>55.0</v>
      </c>
      <c r="AG30" s="22">
        <v>43.0</v>
      </c>
      <c r="AI30" s="22">
        <v>56.0</v>
      </c>
    </row>
    <row r="31">
      <c r="A31" s="22">
        <v>4.0</v>
      </c>
      <c r="K31" s="22">
        <v>13.0</v>
      </c>
      <c r="L31" s="22">
        <v>19.0</v>
      </c>
      <c r="M31" s="22">
        <v>18.0</v>
      </c>
      <c r="N31" s="22">
        <v>20.0</v>
      </c>
      <c r="P31" s="22">
        <v>16.0</v>
      </c>
      <c r="R31" s="22">
        <v>14.0</v>
      </c>
      <c r="AB31" s="22">
        <v>73.0</v>
      </c>
      <c r="AC31" s="22">
        <v>70.0</v>
      </c>
      <c r="AD31" s="22">
        <v>37.0</v>
      </c>
      <c r="AE31" s="22">
        <v>56.0</v>
      </c>
      <c r="AG31" s="22">
        <v>58.0</v>
      </c>
      <c r="AI31" s="22">
        <v>54.0</v>
      </c>
    </row>
    <row r="32">
      <c r="A32" s="104">
        <v>5.0</v>
      </c>
      <c r="B32" s="104"/>
      <c r="C32" s="104"/>
      <c r="D32" s="104"/>
      <c r="E32" s="105"/>
      <c r="F32" s="105"/>
      <c r="G32" s="105"/>
      <c r="H32" s="105"/>
      <c r="I32" s="105"/>
      <c r="J32" s="105"/>
      <c r="K32" s="104">
        <v>11.0</v>
      </c>
      <c r="L32" s="104">
        <v>15.0</v>
      </c>
      <c r="M32" s="104">
        <v>10.0</v>
      </c>
      <c r="N32" s="105"/>
      <c r="O32" s="105"/>
      <c r="P32" s="105"/>
      <c r="Q32" s="105"/>
      <c r="R32" s="104"/>
      <c r="S32" s="104"/>
      <c r="T32" s="104"/>
      <c r="U32" s="104"/>
      <c r="V32" s="105"/>
      <c r="W32" s="105"/>
      <c r="X32" s="105"/>
      <c r="Y32" s="105"/>
      <c r="Z32" s="105"/>
      <c r="AA32" s="105"/>
      <c r="AB32" s="104">
        <v>62.0</v>
      </c>
      <c r="AC32" s="104">
        <v>68.0</v>
      </c>
      <c r="AD32" s="104">
        <v>43.0</v>
      </c>
      <c r="AE32" s="105"/>
      <c r="AF32" s="105"/>
      <c r="AG32" s="105"/>
      <c r="AH32" s="105"/>
      <c r="AI32" s="105"/>
    </row>
    <row r="33">
      <c r="A33" s="42" t="s">
        <v>236</v>
      </c>
      <c r="B33" s="22">
        <f t="shared" ref="B33:AI33" si="1">SUM(B3:B32)</f>
        <v>284</v>
      </c>
      <c r="C33" s="22">
        <f t="shared" si="1"/>
        <v>283</v>
      </c>
      <c r="D33" s="22">
        <f t="shared" si="1"/>
        <v>273</v>
      </c>
      <c r="E33" s="22">
        <f t="shared" si="1"/>
        <v>323</v>
      </c>
      <c r="F33" s="22">
        <f t="shared" si="1"/>
        <v>241</v>
      </c>
      <c r="G33" s="106">
        <f t="shared" si="1"/>
        <v>63</v>
      </c>
      <c r="H33" s="22">
        <f t="shared" si="1"/>
        <v>153</v>
      </c>
      <c r="I33" s="106">
        <f t="shared" si="1"/>
        <v>202</v>
      </c>
      <c r="J33" s="106">
        <f t="shared" si="1"/>
        <v>107</v>
      </c>
      <c r="K33" s="22">
        <f t="shared" si="1"/>
        <v>395</v>
      </c>
      <c r="L33" s="22">
        <f t="shared" si="1"/>
        <v>466</v>
      </c>
      <c r="M33" s="22">
        <f t="shared" si="1"/>
        <v>433</v>
      </c>
      <c r="N33" s="22">
        <f t="shared" si="1"/>
        <v>342</v>
      </c>
      <c r="O33" s="106">
        <f t="shared" si="1"/>
        <v>118</v>
      </c>
      <c r="P33" s="22">
        <f t="shared" si="1"/>
        <v>283</v>
      </c>
      <c r="Q33" s="22">
        <f t="shared" si="1"/>
        <v>121</v>
      </c>
      <c r="R33" s="22">
        <f t="shared" si="1"/>
        <v>60</v>
      </c>
      <c r="S33" s="22">
        <f t="shared" si="1"/>
        <v>689</v>
      </c>
      <c r="T33" s="22">
        <f t="shared" si="1"/>
        <v>671</v>
      </c>
      <c r="U33" s="22">
        <f t="shared" si="1"/>
        <v>813</v>
      </c>
      <c r="V33" s="22">
        <f t="shared" si="1"/>
        <v>1002</v>
      </c>
      <c r="W33" s="22">
        <f t="shared" si="1"/>
        <v>1028</v>
      </c>
      <c r="X33" s="106">
        <f t="shared" si="1"/>
        <v>158</v>
      </c>
      <c r="Y33" s="22">
        <f t="shared" si="1"/>
        <v>789</v>
      </c>
      <c r="Z33" s="106">
        <f t="shared" si="1"/>
        <v>539</v>
      </c>
      <c r="AA33" s="106">
        <f t="shared" si="1"/>
        <v>197</v>
      </c>
      <c r="AB33" s="22">
        <f t="shared" si="1"/>
        <v>1442</v>
      </c>
      <c r="AC33" s="22">
        <f t="shared" si="1"/>
        <v>1841</v>
      </c>
      <c r="AD33" s="22">
        <f t="shared" si="1"/>
        <v>1343</v>
      </c>
      <c r="AE33" s="22">
        <f t="shared" si="1"/>
        <v>985</v>
      </c>
      <c r="AF33" s="106">
        <f t="shared" si="1"/>
        <v>318</v>
      </c>
      <c r="AG33" s="22">
        <f t="shared" si="1"/>
        <v>827</v>
      </c>
      <c r="AH33" s="22">
        <f t="shared" si="1"/>
        <v>684</v>
      </c>
      <c r="AI33" s="22">
        <f t="shared" si="1"/>
        <v>216</v>
      </c>
    </row>
    <row r="34">
      <c r="A34" s="42" t="s">
        <v>237</v>
      </c>
      <c r="B34" s="107">
        <f>OAFT!$J$3</f>
        <v>81.6</v>
      </c>
      <c r="C34" s="107">
        <f>OAFT!$J$2</f>
        <v>81.6</v>
      </c>
      <c r="D34" s="107">
        <f>OAFT!$J$4</f>
        <v>81.6</v>
      </c>
      <c r="E34" s="107">
        <f>'990'!$J$4</f>
        <v>99.15</v>
      </c>
      <c r="F34" s="107">
        <f>'990'!$J$2</f>
        <v>87.066</v>
      </c>
      <c r="G34" s="107">
        <f>'990'!$J$3</f>
        <v>20.75</v>
      </c>
      <c r="H34" s="107">
        <f>'990'!$J$5</f>
        <v>79.516</v>
      </c>
      <c r="I34" s="107">
        <f>'990'!$J$6</f>
        <v>59.616</v>
      </c>
      <c r="J34" s="107">
        <f>PKRK!$J$5</f>
        <v>25</v>
      </c>
      <c r="K34" s="107">
        <f>PKRK!$J$2</f>
        <v>118.2</v>
      </c>
      <c r="L34" s="107">
        <f>PKRK!$J$4</f>
        <v>143.2</v>
      </c>
      <c r="M34" s="107">
        <f>PKRK!$J$3</f>
        <v>143.2</v>
      </c>
      <c r="N34" s="107">
        <f>Cute!$J$2</f>
        <v>92.53</v>
      </c>
      <c r="O34" s="107">
        <f>Cute!$J$4</f>
        <v>35</v>
      </c>
      <c r="P34" s="107">
        <f>Cute!$J$3</f>
        <v>87.53</v>
      </c>
      <c r="Q34" s="107">
        <f>Cute!$J$6</f>
        <v>42.53</v>
      </c>
      <c r="R34" s="107">
        <f>Cute!$J$5</f>
        <v>20</v>
      </c>
      <c r="S34" s="107">
        <f>OAFT!$J$3</f>
        <v>81.6</v>
      </c>
      <c r="T34" s="107">
        <f>OAFT!$J$2</f>
        <v>81.6</v>
      </c>
      <c r="U34" s="107">
        <f>OAFT!$J$4</f>
        <v>81.6</v>
      </c>
      <c r="V34" s="107">
        <f>'990'!$J$4</f>
        <v>99.15</v>
      </c>
      <c r="W34" s="107">
        <f>'990'!$J$2</f>
        <v>87.066</v>
      </c>
      <c r="X34" s="107">
        <f>'990'!$J$3</f>
        <v>20.75</v>
      </c>
      <c r="Y34" s="107">
        <f>'990'!$J$5</f>
        <v>79.516</v>
      </c>
      <c r="Z34" s="107">
        <f>'990'!$J$6</f>
        <v>59.616</v>
      </c>
      <c r="AA34" s="107">
        <f>PKRK!$J$5</f>
        <v>25</v>
      </c>
      <c r="AB34" s="107">
        <f>PKRK!$J$2</f>
        <v>118.2</v>
      </c>
      <c r="AC34" s="107">
        <f>PKRK!$J$4</f>
        <v>143.2</v>
      </c>
      <c r="AD34" s="107">
        <f>PKRK!$J$3</f>
        <v>143.2</v>
      </c>
      <c r="AE34" s="107">
        <f>Cute!$J$2</f>
        <v>92.53</v>
      </c>
      <c r="AF34" s="107">
        <f>Cute!$J$4</f>
        <v>35</v>
      </c>
      <c r="AG34" s="107">
        <f>Cute!$J$3</f>
        <v>87.53</v>
      </c>
      <c r="AH34" s="107">
        <f>Cute!$J$6</f>
        <v>42.53</v>
      </c>
      <c r="AI34" s="107">
        <f>Cute!$J$5</f>
        <v>20</v>
      </c>
    </row>
    <row r="35">
      <c r="A35" s="42" t="s">
        <v>238</v>
      </c>
      <c r="B35" s="22">
        <f t="shared" ref="B35:AI35" si="2">IFERROR(B33/B34, "Hasn't played")</f>
        <v>3.480392157</v>
      </c>
      <c r="C35" s="22">
        <f t="shared" si="2"/>
        <v>3.468137255</v>
      </c>
      <c r="D35" s="22">
        <f t="shared" si="2"/>
        <v>3.345588235</v>
      </c>
      <c r="E35" s="22">
        <f t="shared" si="2"/>
        <v>3.257690368</v>
      </c>
      <c r="F35" s="22">
        <f t="shared" si="2"/>
        <v>2.768015069</v>
      </c>
      <c r="G35" s="22">
        <f t="shared" si="2"/>
        <v>3.036144578</v>
      </c>
      <c r="H35" s="22">
        <f t="shared" si="2"/>
        <v>1.924141053</v>
      </c>
      <c r="I35" s="22">
        <f t="shared" si="2"/>
        <v>3.38835212</v>
      </c>
      <c r="J35" s="22">
        <f t="shared" si="2"/>
        <v>4.28</v>
      </c>
      <c r="K35" s="22">
        <f t="shared" si="2"/>
        <v>3.34179357</v>
      </c>
      <c r="L35" s="22">
        <f t="shared" si="2"/>
        <v>3.254189944</v>
      </c>
      <c r="M35" s="22">
        <f t="shared" si="2"/>
        <v>3.023743017</v>
      </c>
      <c r="N35" s="22">
        <f t="shared" si="2"/>
        <v>3.696098563</v>
      </c>
      <c r="O35" s="22">
        <f t="shared" si="2"/>
        <v>3.371428571</v>
      </c>
      <c r="P35" s="22">
        <f t="shared" si="2"/>
        <v>3.233177196</v>
      </c>
      <c r="Q35" s="22">
        <f t="shared" si="2"/>
        <v>2.845050553</v>
      </c>
      <c r="R35" s="22">
        <f t="shared" si="2"/>
        <v>3</v>
      </c>
      <c r="S35" s="22">
        <f t="shared" si="2"/>
        <v>8.443627451</v>
      </c>
      <c r="T35" s="22">
        <f t="shared" si="2"/>
        <v>8.223039216</v>
      </c>
      <c r="U35" s="22">
        <f t="shared" si="2"/>
        <v>9.963235294</v>
      </c>
      <c r="V35" s="22">
        <f t="shared" si="2"/>
        <v>10.10590015</v>
      </c>
      <c r="W35" s="22">
        <f t="shared" si="2"/>
        <v>11.80713482</v>
      </c>
      <c r="X35" s="22">
        <f t="shared" si="2"/>
        <v>7.614457831</v>
      </c>
      <c r="Y35" s="22">
        <f t="shared" si="2"/>
        <v>9.922531314</v>
      </c>
      <c r="Z35" s="22">
        <f t="shared" si="2"/>
        <v>9.041196994</v>
      </c>
      <c r="AA35" s="22">
        <f t="shared" si="2"/>
        <v>7.88</v>
      </c>
      <c r="AB35" s="22">
        <f t="shared" si="2"/>
        <v>12.19966159</v>
      </c>
      <c r="AC35" s="22">
        <f t="shared" si="2"/>
        <v>12.85614525</v>
      </c>
      <c r="AD35" s="22">
        <f t="shared" si="2"/>
        <v>9.37849162</v>
      </c>
      <c r="AE35" s="22">
        <f t="shared" si="2"/>
        <v>10.64519615</v>
      </c>
      <c r="AF35" s="22">
        <f t="shared" si="2"/>
        <v>9.085714286</v>
      </c>
      <c r="AG35" s="22">
        <f t="shared" si="2"/>
        <v>9.448189192</v>
      </c>
      <c r="AH35" s="22">
        <f t="shared" si="2"/>
        <v>16.08276511</v>
      </c>
      <c r="AI35" s="22">
        <f t="shared" si="2"/>
        <v>10.8</v>
      </c>
    </row>
    <row r="36">
      <c r="A36" s="22" t="s">
        <v>239</v>
      </c>
      <c r="B36" s="22">
        <f t="shared" ref="B36:AI36" si="3">IFERROR(AVERAGEIF(B3:B32, "&lt;&gt;"), 0)</f>
        <v>17.75</v>
      </c>
      <c r="C36" s="22">
        <f t="shared" si="3"/>
        <v>17.6875</v>
      </c>
      <c r="D36" s="22">
        <f t="shared" si="3"/>
        <v>17.0625</v>
      </c>
      <c r="E36" s="22">
        <f t="shared" si="3"/>
        <v>17</v>
      </c>
      <c r="F36" s="22">
        <f t="shared" si="3"/>
        <v>14.17647059</v>
      </c>
      <c r="G36" s="22">
        <f t="shared" si="3"/>
        <v>15.75</v>
      </c>
      <c r="H36" s="22">
        <f t="shared" si="3"/>
        <v>10.2</v>
      </c>
      <c r="I36" s="22">
        <f t="shared" si="3"/>
        <v>18.36363636</v>
      </c>
      <c r="J36" s="22">
        <f t="shared" si="3"/>
        <v>21.4</v>
      </c>
      <c r="K36" s="22">
        <f t="shared" si="3"/>
        <v>17.95454545</v>
      </c>
      <c r="L36" s="22">
        <f t="shared" si="3"/>
        <v>17.25925926</v>
      </c>
      <c r="M36" s="22">
        <f t="shared" si="3"/>
        <v>16.03703704</v>
      </c>
      <c r="N36" s="22">
        <f t="shared" si="3"/>
        <v>19</v>
      </c>
      <c r="O36" s="22">
        <f t="shared" si="3"/>
        <v>16.85714286</v>
      </c>
      <c r="P36" s="22">
        <f t="shared" si="3"/>
        <v>16.64705882</v>
      </c>
      <c r="Q36" s="22">
        <f t="shared" si="3"/>
        <v>15.125</v>
      </c>
      <c r="R36" s="22">
        <f t="shared" si="3"/>
        <v>15</v>
      </c>
      <c r="S36" s="22">
        <f t="shared" si="3"/>
        <v>43.0625</v>
      </c>
      <c r="T36" s="22">
        <f t="shared" si="3"/>
        <v>41.9375</v>
      </c>
      <c r="U36" s="22">
        <f t="shared" si="3"/>
        <v>50.8125</v>
      </c>
      <c r="V36" s="22">
        <f t="shared" si="3"/>
        <v>52.73684211</v>
      </c>
      <c r="W36" s="22">
        <f t="shared" si="3"/>
        <v>60.47058824</v>
      </c>
      <c r="X36" s="22">
        <f t="shared" si="3"/>
        <v>39.5</v>
      </c>
      <c r="Y36" s="22">
        <f t="shared" si="3"/>
        <v>52.6</v>
      </c>
      <c r="Z36" s="22">
        <f t="shared" si="3"/>
        <v>49</v>
      </c>
      <c r="AA36" s="22">
        <f t="shared" si="3"/>
        <v>39.4</v>
      </c>
      <c r="AB36" s="22">
        <f t="shared" si="3"/>
        <v>65.54545455</v>
      </c>
      <c r="AC36" s="22">
        <f t="shared" si="3"/>
        <v>68.18518519</v>
      </c>
      <c r="AD36" s="22">
        <f t="shared" si="3"/>
        <v>49.74074074</v>
      </c>
      <c r="AE36" s="22">
        <f t="shared" si="3"/>
        <v>54.72222222</v>
      </c>
      <c r="AF36" s="22">
        <f t="shared" si="3"/>
        <v>45.42857143</v>
      </c>
      <c r="AG36" s="22">
        <f t="shared" si="3"/>
        <v>48.64705882</v>
      </c>
      <c r="AH36" s="22">
        <f t="shared" si="3"/>
        <v>85.5</v>
      </c>
      <c r="AI36" s="22">
        <f t="shared" si="3"/>
        <v>54</v>
      </c>
    </row>
    <row r="37">
      <c r="A37" s="22" t="s">
        <v>240</v>
      </c>
      <c r="B37" s="22" t="s">
        <v>225</v>
      </c>
      <c r="R37" s="22"/>
      <c r="S37" s="22" t="s">
        <v>227</v>
      </c>
    </row>
    <row r="38">
      <c r="A38" s="22" t="s">
        <v>2</v>
      </c>
      <c r="B38" s="22" t="s">
        <v>20</v>
      </c>
      <c r="C38" s="22" t="s">
        <v>234</v>
      </c>
      <c r="D38" s="22" t="s">
        <v>21</v>
      </c>
      <c r="E38" s="22" t="s">
        <v>84</v>
      </c>
      <c r="F38" s="22" t="s">
        <v>82</v>
      </c>
      <c r="G38" s="22" t="s">
        <v>83</v>
      </c>
      <c r="H38" s="22" t="s">
        <v>85</v>
      </c>
      <c r="I38" s="22" t="s">
        <v>86</v>
      </c>
      <c r="J38" s="22" t="s">
        <v>124</v>
      </c>
      <c r="K38" s="22" t="s">
        <v>121</v>
      </c>
      <c r="L38" s="22" t="s">
        <v>123</v>
      </c>
      <c r="M38" s="22" t="s">
        <v>122</v>
      </c>
      <c r="N38" s="22" t="s">
        <v>164</v>
      </c>
      <c r="O38" s="22" t="s">
        <v>166</v>
      </c>
      <c r="P38" s="22" t="s">
        <v>165</v>
      </c>
      <c r="Q38" s="22" t="s">
        <v>168</v>
      </c>
      <c r="R38" s="22" t="s">
        <v>167</v>
      </c>
      <c r="S38" s="22" t="s">
        <v>20</v>
      </c>
      <c r="T38" s="22" t="s">
        <v>234</v>
      </c>
      <c r="U38" s="22" t="s">
        <v>21</v>
      </c>
      <c r="V38" s="22" t="s">
        <v>84</v>
      </c>
      <c r="W38" s="22" t="s">
        <v>82</v>
      </c>
      <c r="X38" s="22" t="s">
        <v>83</v>
      </c>
      <c r="Y38" s="22" t="s">
        <v>85</v>
      </c>
      <c r="Z38" s="22" t="s">
        <v>86</v>
      </c>
      <c r="AA38" s="22" t="s">
        <v>124</v>
      </c>
      <c r="AB38" s="22" t="s">
        <v>121</v>
      </c>
      <c r="AC38" s="22" t="s">
        <v>123</v>
      </c>
      <c r="AD38" s="22" t="s">
        <v>122</v>
      </c>
      <c r="AE38" s="22" t="s">
        <v>164</v>
      </c>
      <c r="AF38" s="22" t="s">
        <v>166</v>
      </c>
      <c r="AG38" s="22" t="s">
        <v>165</v>
      </c>
      <c r="AH38" s="22" t="s">
        <v>168</v>
      </c>
      <c r="AI38" s="22" t="s">
        <v>167</v>
      </c>
    </row>
    <row r="39">
      <c r="R39" s="22"/>
      <c r="S39" s="22" t="s">
        <v>225</v>
      </c>
    </row>
    <row r="40">
      <c r="R40" s="22"/>
      <c r="S40" s="22" t="s">
        <v>20</v>
      </c>
      <c r="T40" s="22" t="s">
        <v>234</v>
      </c>
      <c r="U40" s="22" t="s">
        <v>21</v>
      </c>
      <c r="V40" s="22" t="s">
        <v>84</v>
      </c>
      <c r="W40" s="22" t="s">
        <v>82</v>
      </c>
      <c r="X40" s="22" t="s">
        <v>83</v>
      </c>
      <c r="Y40" s="22" t="s">
        <v>85</v>
      </c>
      <c r="Z40" s="22" t="s">
        <v>86</v>
      </c>
      <c r="AA40" s="22" t="s">
        <v>124</v>
      </c>
      <c r="AB40" s="22" t="s">
        <v>121</v>
      </c>
      <c r="AC40" s="22" t="s">
        <v>123</v>
      </c>
      <c r="AD40" s="22" t="s">
        <v>122</v>
      </c>
      <c r="AE40" s="22" t="s">
        <v>164</v>
      </c>
      <c r="AF40" s="22" t="s">
        <v>166</v>
      </c>
      <c r="AG40" s="22" t="s">
        <v>165</v>
      </c>
      <c r="AH40" s="22" t="s">
        <v>168</v>
      </c>
      <c r="AI40" s="22" t="s">
        <v>167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2" t="s">
        <v>241</v>
      </c>
      <c r="R1" s="22"/>
      <c r="S1" s="22" t="s">
        <v>231</v>
      </c>
    </row>
    <row r="2">
      <c r="A2" s="22" t="s">
        <v>2</v>
      </c>
      <c r="B2" s="108" t="s">
        <v>20</v>
      </c>
      <c r="C2" s="108" t="s">
        <v>234</v>
      </c>
      <c r="D2" s="108" t="s">
        <v>21</v>
      </c>
      <c r="E2" s="22" t="s">
        <v>84</v>
      </c>
      <c r="F2" s="22" t="s">
        <v>82</v>
      </c>
      <c r="G2" s="22" t="s">
        <v>83</v>
      </c>
      <c r="H2" s="22" t="s">
        <v>85</v>
      </c>
      <c r="I2" s="22" t="s">
        <v>86</v>
      </c>
      <c r="J2" s="22" t="s">
        <v>124</v>
      </c>
      <c r="K2" s="22" t="s">
        <v>121</v>
      </c>
      <c r="L2" s="22" t="s">
        <v>123</v>
      </c>
      <c r="M2" s="22" t="s">
        <v>122</v>
      </c>
      <c r="N2" s="22" t="s">
        <v>164</v>
      </c>
      <c r="O2" s="22" t="s">
        <v>166</v>
      </c>
      <c r="P2" s="22" t="s">
        <v>165</v>
      </c>
      <c r="Q2" s="22" t="s">
        <v>168</v>
      </c>
      <c r="R2" s="22" t="s">
        <v>167</v>
      </c>
      <c r="S2" s="22" t="s">
        <v>20</v>
      </c>
      <c r="T2" s="22" t="s">
        <v>234</v>
      </c>
      <c r="U2" s="22" t="s">
        <v>21</v>
      </c>
      <c r="V2" s="22" t="s">
        <v>84</v>
      </c>
      <c r="W2" s="22" t="s">
        <v>82</v>
      </c>
      <c r="X2" s="22" t="s">
        <v>83</v>
      </c>
      <c r="Y2" s="22" t="s">
        <v>85</v>
      </c>
      <c r="Z2" s="22" t="s">
        <v>86</v>
      </c>
      <c r="AA2" s="22" t="s">
        <v>124</v>
      </c>
      <c r="AB2" s="22" t="s">
        <v>121</v>
      </c>
      <c r="AC2" s="22" t="s">
        <v>123</v>
      </c>
      <c r="AD2" s="22" t="s">
        <v>122</v>
      </c>
      <c r="AE2" s="22" t="s">
        <v>164</v>
      </c>
      <c r="AF2" s="22" t="s">
        <v>166</v>
      </c>
      <c r="AG2" s="22" t="s">
        <v>165</v>
      </c>
      <c r="AH2" s="22" t="s">
        <v>168</v>
      </c>
      <c r="AI2" s="22" t="s">
        <v>167</v>
      </c>
    </row>
    <row r="3">
      <c r="A3" s="22">
        <v>1.0</v>
      </c>
      <c r="B3" s="22">
        <v>3.0</v>
      </c>
      <c r="C3" s="22">
        <v>2.0</v>
      </c>
      <c r="D3" s="22">
        <v>2.0</v>
      </c>
      <c r="E3" s="22">
        <v>4.0</v>
      </c>
      <c r="F3" s="22">
        <v>1.0</v>
      </c>
      <c r="G3" s="22">
        <v>5.0</v>
      </c>
      <c r="K3" s="22">
        <v>3.0</v>
      </c>
      <c r="L3" s="22">
        <v>8.0</v>
      </c>
      <c r="M3" s="22">
        <v>2.0</v>
      </c>
      <c r="N3" s="22">
        <v>4.0</v>
      </c>
      <c r="O3" s="22">
        <v>4.0</v>
      </c>
      <c r="P3" s="22">
        <v>7.0</v>
      </c>
      <c r="R3" s="22"/>
      <c r="S3" s="22">
        <v>10.0</v>
      </c>
      <c r="T3" s="22">
        <v>11.0</v>
      </c>
      <c r="U3" s="22">
        <v>20.0</v>
      </c>
      <c r="V3" s="22">
        <v>8.0</v>
      </c>
      <c r="W3" s="22">
        <v>18.0</v>
      </c>
      <c r="X3" s="22">
        <v>18.0</v>
      </c>
      <c r="AB3" s="22">
        <v>25.0</v>
      </c>
      <c r="AC3" s="22">
        <v>27.0</v>
      </c>
      <c r="AD3" s="22">
        <v>13.0</v>
      </c>
      <c r="AE3" s="22">
        <v>18.0</v>
      </c>
      <c r="AF3" s="22">
        <v>15.0</v>
      </c>
      <c r="AG3" s="22">
        <v>19.0</v>
      </c>
    </row>
    <row r="4">
      <c r="A4" s="22">
        <v>2.0</v>
      </c>
      <c r="B4" s="22">
        <v>2.0</v>
      </c>
      <c r="C4" s="22">
        <v>2.0</v>
      </c>
      <c r="D4" s="22">
        <v>3.0</v>
      </c>
      <c r="E4" s="22">
        <v>1.0</v>
      </c>
      <c r="F4" s="22">
        <v>1.0</v>
      </c>
      <c r="G4" s="22">
        <v>1.0</v>
      </c>
      <c r="K4" s="22">
        <v>8.0</v>
      </c>
      <c r="L4" s="22">
        <v>3.0</v>
      </c>
      <c r="M4" s="22">
        <v>3.0</v>
      </c>
      <c r="N4" s="22">
        <v>5.0</v>
      </c>
      <c r="O4" s="22">
        <v>4.0</v>
      </c>
      <c r="P4" s="22">
        <v>3.0</v>
      </c>
      <c r="R4" s="22"/>
      <c r="S4" s="22">
        <v>8.0</v>
      </c>
      <c r="T4" s="22">
        <v>8.0</v>
      </c>
      <c r="U4" s="22">
        <v>10.0</v>
      </c>
      <c r="V4" s="22">
        <v>7.0</v>
      </c>
      <c r="W4" s="22">
        <v>11.0</v>
      </c>
      <c r="X4" s="22">
        <v>6.0</v>
      </c>
      <c r="AB4" s="22">
        <v>15.0</v>
      </c>
      <c r="AC4" s="22">
        <v>16.0</v>
      </c>
      <c r="AD4" s="22">
        <v>16.0</v>
      </c>
      <c r="AE4" s="22">
        <v>8.0</v>
      </c>
      <c r="AF4" s="22">
        <v>14.0</v>
      </c>
      <c r="AG4" s="22">
        <v>11.0</v>
      </c>
    </row>
    <row r="5">
      <c r="A5" s="22">
        <v>3.0</v>
      </c>
      <c r="B5" s="22">
        <v>4.0</v>
      </c>
      <c r="C5" s="22">
        <v>3.0</v>
      </c>
      <c r="D5" s="22">
        <v>4.0</v>
      </c>
      <c r="E5" s="22">
        <v>4.0</v>
      </c>
      <c r="F5" s="22">
        <v>1.0</v>
      </c>
      <c r="G5" s="22">
        <v>3.0</v>
      </c>
      <c r="K5" s="22">
        <v>1.0</v>
      </c>
      <c r="L5" s="22">
        <v>3.0</v>
      </c>
      <c r="M5" s="22">
        <v>2.0</v>
      </c>
      <c r="N5" s="22">
        <v>3.0</v>
      </c>
      <c r="O5" s="22">
        <v>3.0</v>
      </c>
      <c r="P5" s="22">
        <v>1.0</v>
      </c>
      <c r="R5" s="22"/>
      <c r="S5" s="22">
        <v>19.0</v>
      </c>
      <c r="T5" s="22">
        <v>10.0</v>
      </c>
      <c r="U5" s="22">
        <v>19.0</v>
      </c>
      <c r="V5" s="22">
        <v>13.0</v>
      </c>
      <c r="W5" s="22">
        <v>13.0</v>
      </c>
      <c r="X5" s="22">
        <v>12.0</v>
      </c>
      <c r="AB5" s="22">
        <v>18.0</v>
      </c>
      <c r="AC5" s="22">
        <v>21.0</v>
      </c>
      <c r="AD5" s="22">
        <v>16.0</v>
      </c>
      <c r="AE5" s="22">
        <v>16.0</v>
      </c>
      <c r="AF5" s="22">
        <v>13.0</v>
      </c>
      <c r="AG5" s="22">
        <v>6.0</v>
      </c>
    </row>
    <row r="6">
      <c r="A6" s="22">
        <v>4.0</v>
      </c>
      <c r="B6" s="22">
        <v>3.0</v>
      </c>
      <c r="C6" s="22">
        <v>0.0</v>
      </c>
      <c r="D6" s="22">
        <v>3.0</v>
      </c>
      <c r="E6" s="22">
        <v>2.0</v>
      </c>
      <c r="F6" s="22">
        <v>0.0</v>
      </c>
      <c r="G6" s="22">
        <v>3.0</v>
      </c>
      <c r="N6" s="22">
        <v>3.0</v>
      </c>
      <c r="O6" s="22">
        <v>4.0</v>
      </c>
      <c r="Q6" s="22">
        <v>6.0</v>
      </c>
      <c r="R6" s="22"/>
      <c r="S6" s="22">
        <v>8.0</v>
      </c>
      <c r="T6" s="22">
        <v>9.0</v>
      </c>
      <c r="U6" s="22">
        <v>12.0</v>
      </c>
      <c r="V6" s="22">
        <v>6.0</v>
      </c>
      <c r="W6" s="22">
        <v>13.0</v>
      </c>
      <c r="X6" s="22">
        <v>9.0</v>
      </c>
      <c r="AE6" s="22">
        <v>17.0</v>
      </c>
      <c r="AF6" s="22">
        <v>13.0</v>
      </c>
      <c r="AH6" s="22">
        <v>19.0</v>
      </c>
      <c r="AI6" s="22"/>
    </row>
    <row r="7">
      <c r="A7" s="104">
        <v>5.0</v>
      </c>
      <c r="B7" s="104">
        <v>1.0</v>
      </c>
      <c r="C7" s="104">
        <v>7.0</v>
      </c>
      <c r="D7" s="104">
        <v>3.0</v>
      </c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4"/>
      <c r="S7" s="104">
        <v>6.0</v>
      </c>
      <c r="T7" s="104">
        <v>17.0</v>
      </c>
      <c r="U7" s="104">
        <v>18.0</v>
      </c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</row>
    <row r="8">
      <c r="A8" s="22">
        <v>1.0</v>
      </c>
      <c r="B8" s="22">
        <v>4.0</v>
      </c>
      <c r="C8" s="22">
        <v>1.0</v>
      </c>
      <c r="D8" s="22">
        <v>8.0</v>
      </c>
      <c r="E8" s="22">
        <v>3.0</v>
      </c>
      <c r="F8" s="22">
        <v>1.0</v>
      </c>
      <c r="H8" s="22">
        <v>2.0</v>
      </c>
      <c r="K8" s="22">
        <v>1.0</v>
      </c>
      <c r="L8" s="22">
        <v>2.0</v>
      </c>
      <c r="M8" s="22">
        <v>3.0</v>
      </c>
      <c r="N8" s="22">
        <v>5.0</v>
      </c>
      <c r="P8" s="22">
        <v>2.0</v>
      </c>
      <c r="Q8" s="22">
        <v>2.0</v>
      </c>
      <c r="R8" s="22"/>
      <c r="S8" s="22">
        <v>5.0</v>
      </c>
      <c r="T8" s="22">
        <v>12.0</v>
      </c>
      <c r="U8" s="22">
        <v>11.0</v>
      </c>
      <c r="V8" s="22">
        <v>11.0</v>
      </c>
      <c r="W8" s="22">
        <v>9.0</v>
      </c>
      <c r="Y8" s="22">
        <v>4.0</v>
      </c>
      <c r="AB8" s="22">
        <v>9.0</v>
      </c>
      <c r="AC8" s="22">
        <v>20.0</v>
      </c>
      <c r="AD8" s="22">
        <v>17.0</v>
      </c>
      <c r="AE8" s="22">
        <v>25.0</v>
      </c>
      <c r="AG8" s="22">
        <v>10.0</v>
      </c>
      <c r="AH8" s="22">
        <v>16.0</v>
      </c>
      <c r="AI8" s="22"/>
    </row>
    <row r="9">
      <c r="A9" s="22">
        <v>2.0</v>
      </c>
      <c r="B9" s="22">
        <v>4.0</v>
      </c>
      <c r="C9" s="22">
        <v>3.0</v>
      </c>
      <c r="D9" s="22">
        <v>2.0</v>
      </c>
      <c r="E9" s="22">
        <v>5.0</v>
      </c>
      <c r="F9" s="22">
        <v>2.0</v>
      </c>
      <c r="H9" s="22">
        <v>1.0</v>
      </c>
      <c r="K9" s="22">
        <v>3.0</v>
      </c>
      <c r="L9" s="22">
        <v>2.0</v>
      </c>
      <c r="M9" s="22">
        <v>4.0</v>
      </c>
      <c r="N9" s="22">
        <v>4.0</v>
      </c>
      <c r="P9" s="22">
        <v>1.0</v>
      </c>
      <c r="Q9" s="22">
        <v>3.0</v>
      </c>
      <c r="R9" s="22"/>
      <c r="S9" s="22">
        <v>9.0</v>
      </c>
      <c r="T9" s="22">
        <v>10.0</v>
      </c>
      <c r="U9" s="22">
        <v>11.0</v>
      </c>
      <c r="V9" s="22">
        <v>10.0</v>
      </c>
      <c r="W9" s="22">
        <v>18.0</v>
      </c>
      <c r="Y9" s="22">
        <v>13.0</v>
      </c>
      <c r="AB9" s="22">
        <v>19.0</v>
      </c>
      <c r="AC9" s="22">
        <v>19.0</v>
      </c>
      <c r="AD9" s="22">
        <v>25.0</v>
      </c>
      <c r="AE9" s="22">
        <v>23.0</v>
      </c>
      <c r="AG9" s="22">
        <v>9.0</v>
      </c>
      <c r="AH9" s="22">
        <v>14.0</v>
      </c>
      <c r="AI9" s="22"/>
    </row>
    <row r="10">
      <c r="A10" s="22">
        <v>3.0</v>
      </c>
      <c r="B10" s="22">
        <v>3.0</v>
      </c>
      <c r="C10" s="22">
        <v>6.0</v>
      </c>
      <c r="D10" s="22">
        <v>8.0</v>
      </c>
      <c r="E10" s="22">
        <v>1.0</v>
      </c>
      <c r="F10" s="22">
        <v>3.0</v>
      </c>
      <c r="H10" s="22">
        <v>3.0</v>
      </c>
      <c r="K10" s="22">
        <v>5.0</v>
      </c>
      <c r="L10" s="22">
        <v>8.0</v>
      </c>
      <c r="M10" s="22">
        <v>5.0</v>
      </c>
      <c r="N10" s="22">
        <v>5.0</v>
      </c>
      <c r="P10" s="22">
        <v>1.0</v>
      </c>
      <c r="Q10" s="22">
        <v>4.0</v>
      </c>
      <c r="R10" s="22"/>
      <c r="S10" s="22">
        <v>13.0</v>
      </c>
      <c r="T10" s="22">
        <v>17.0</v>
      </c>
      <c r="U10" s="22">
        <v>24.0</v>
      </c>
      <c r="V10" s="22">
        <v>10.0</v>
      </c>
      <c r="W10" s="22">
        <v>12.0</v>
      </c>
      <c r="Y10" s="22">
        <v>10.0</v>
      </c>
      <c r="AB10" s="22">
        <v>14.0</v>
      </c>
      <c r="AC10" s="22">
        <v>32.0</v>
      </c>
      <c r="AD10" s="22">
        <v>19.0</v>
      </c>
      <c r="AE10" s="22">
        <v>14.0</v>
      </c>
      <c r="AG10" s="22">
        <v>10.0</v>
      </c>
      <c r="AH10" s="22">
        <v>23.0</v>
      </c>
      <c r="AI10" s="22"/>
    </row>
    <row r="11">
      <c r="A11" s="22">
        <v>4.0</v>
      </c>
      <c r="B11" s="22">
        <v>2.0</v>
      </c>
      <c r="C11" s="22">
        <v>4.0</v>
      </c>
      <c r="D11" s="22">
        <v>7.0</v>
      </c>
      <c r="E11" s="22">
        <v>1.0</v>
      </c>
      <c r="F11" s="22">
        <v>2.0</v>
      </c>
      <c r="H11" s="22">
        <v>2.0</v>
      </c>
      <c r="K11" s="22">
        <v>2.0</v>
      </c>
      <c r="L11" s="22">
        <v>3.0</v>
      </c>
      <c r="M11" s="22">
        <v>4.0</v>
      </c>
      <c r="R11" s="22"/>
      <c r="S11" s="22">
        <v>6.0</v>
      </c>
      <c r="T11" s="22">
        <v>22.0</v>
      </c>
      <c r="U11" s="22">
        <v>15.0</v>
      </c>
      <c r="V11" s="22">
        <v>9.0</v>
      </c>
      <c r="W11" s="22">
        <v>20.0</v>
      </c>
      <c r="Y11" s="22">
        <v>7.0</v>
      </c>
      <c r="AB11" s="22">
        <v>12.0</v>
      </c>
      <c r="AC11" s="22">
        <v>12.0</v>
      </c>
      <c r="AD11" s="22">
        <v>16.0</v>
      </c>
    </row>
    <row r="12">
      <c r="A12" s="104">
        <v>5.0</v>
      </c>
      <c r="B12" s="104"/>
      <c r="C12" s="104"/>
      <c r="D12" s="104"/>
      <c r="E12" s="105"/>
      <c r="F12" s="105"/>
      <c r="G12" s="105"/>
      <c r="H12" s="105"/>
      <c r="I12" s="105"/>
      <c r="J12" s="105"/>
      <c r="K12" s="105">
        <v>3.0</v>
      </c>
      <c r="L12" s="105">
        <v>4.0</v>
      </c>
      <c r="M12" s="105">
        <v>0.0</v>
      </c>
      <c r="N12" s="105"/>
      <c r="O12" s="105"/>
      <c r="P12" s="105"/>
      <c r="Q12" s="105"/>
      <c r="R12" s="104"/>
      <c r="S12" s="104"/>
      <c r="T12" s="104"/>
      <c r="U12" s="104"/>
      <c r="V12" s="105"/>
      <c r="W12" s="105"/>
      <c r="X12" s="105"/>
      <c r="Y12" s="105"/>
      <c r="Z12" s="105"/>
      <c r="AA12" s="105"/>
      <c r="AB12" s="105">
        <v>8.0</v>
      </c>
      <c r="AC12" s="105">
        <v>20.0</v>
      </c>
      <c r="AD12" s="105">
        <v>13.0</v>
      </c>
      <c r="AE12" s="105"/>
      <c r="AF12" s="105"/>
      <c r="AG12" s="105"/>
      <c r="AH12" s="105"/>
      <c r="AI12" s="105"/>
    </row>
    <row r="13">
      <c r="A13" s="22">
        <v>1.0</v>
      </c>
      <c r="B13" s="22">
        <v>3.0</v>
      </c>
      <c r="C13" s="22">
        <v>6.0</v>
      </c>
      <c r="D13" s="22">
        <v>5.0</v>
      </c>
      <c r="E13" s="22">
        <v>2.0</v>
      </c>
      <c r="F13" s="22"/>
      <c r="H13" s="22">
        <v>2.0</v>
      </c>
      <c r="I13" s="106">
        <v>9.0</v>
      </c>
      <c r="J13" s="22">
        <v>6.0</v>
      </c>
      <c r="K13" s="22"/>
      <c r="L13" s="22">
        <v>1.0</v>
      </c>
      <c r="M13" s="22">
        <v>2.0</v>
      </c>
      <c r="N13" s="22">
        <v>5.0</v>
      </c>
      <c r="P13" s="22">
        <v>2.0</v>
      </c>
      <c r="Q13" s="22">
        <v>4.0</v>
      </c>
      <c r="R13" s="22"/>
      <c r="S13" s="22">
        <v>9.0</v>
      </c>
      <c r="T13" s="22">
        <v>10.0</v>
      </c>
      <c r="U13" s="22">
        <v>19.0</v>
      </c>
      <c r="V13" s="22">
        <v>12.0</v>
      </c>
      <c r="W13" s="22"/>
      <c r="Y13" s="22">
        <v>16.0</v>
      </c>
      <c r="Z13" s="106">
        <v>22.0</v>
      </c>
      <c r="AA13" s="22">
        <v>8.0</v>
      </c>
      <c r="AB13" s="22"/>
      <c r="AC13" s="22">
        <v>10.0</v>
      </c>
      <c r="AD13" s="22">
        <v>13.0</v>
      </c>
      <c r="AE13" s="22">
        <v>20.0</v>
      </c>
      <c r="AG13" s="22">
        <v>9.0</v>
      </c>
      <c r="AH13" s="22">
        <v>23.0</v>
      </c>
      <c r="AI13" s="22"/>
    </row>
    <row r="14">
      <c r="A14" s="22">
        <v>2.0</v>
      </c>
      <c r="B14" s="22">
        <v>1.0</v>
      </c>
      <c r="C14" s="22">
        <v>4.0</v>
      </c>
      <c r="D14" s="22">
        <v>5.0</v>
      </c>
      <c r="E14" s="22">
        <v>0.0</v>
      </c>
      <c r="H14" s="22">
        <v>1.0</v>
      </c>
      <c r="I14" s="22">
        <v>5.0</v>
      </c>
      <c r="J14" s="22">
        <v>2.0</v>
      </c>
      <c r="L14" s="22">
        <v>5.0</v>
      </c>
      <c r="M14" s="22">
        <v>3.0</v>
      </c>
      <c r="N14" s="22">
        <v>5.0</v>
      </c>
      <c r="P14" s="22">
        <v>4.0</v>
      </c>
      <c r="Q14" s="22">
        <v>3.0</v>
      </c>
      <c r="S14" s="22">
        <v>7.0</v>
      </c>
      <c r="T14" s="22">
        <v>12.0</v>
      </c>
      <c r="U14" s="22">
        <v>11.0</v>
      </c>
      <c r="V14" s="22">
        <v>8.0</v>
      </c>
      <c r="Y14" s="22">
        <v>13.0</v>
      </c>
      <c r="Z14" s="22">
        <v>20.0</v>
      </c>
      <c r="AA14" s="22">
        <v>12.0</v>
      </c>
      <c r="AC14" s="22">
        <v>20.0</v>
      </c>
      <c r="AD14" s="22">
        <v>19.0</v>
      </c>
      <c r="AE14" s="22">
        <v>36.0</v>
      </c>
      <c r="AG14" s="22">
        <v>20.0</v>
      </c>
      <c r="AH14" s="22">
        <v>41.0</v>
      </c>
    </row>
    <row r="15">
      <c r="A15" s="22">
        <v>3.0</v>
      </c>
      <c r="B15" s="22">
        <v>2.0</v>
      </c>
      <c r="C15" s="22">
        <v>5.0</v>
      </c>
      <c r="D15" s="22">
        <v>2.0</v>
      </c>
      <c r="E15" s="22">
        <v>3.0</v>
      </c>
      <c r="H15" s="22">
        <v>2.0</v>
      </c>
      <c r="I15" s="22">
        <v>6.0</v>
      </c>
      <c r="J15" s="22">
        <v>2.0</v>
      </c>
      <c r="L15" s="22">
        <v>1.0</v>
      </c>
      <c r="M15" s="22">
        <v>2.0</v>
      </c>
      <c r="N15" s="22">
        <v>6.0</v>
      </c>
      <c r="P15" s="22">
        <v>0.0</v>
      </c>
      <c r="Q15" s="22">
        <v>2.0</v>
      </c>
      <c r="S15" s="22">
        <v>10.0</v>
      </c>
      <c r="T15" s="22">
        <v>24.0</v>
      </c>
      <c r="U15" s="22">
        <v>24.0</v>
      </c>
      <c r="V15" s="22">
        <v>16.0</v>
      </c>
      <c r="Y15" s="22">
        <v>14.0</v>
      </c>
      <c r="Z15" s="22">
        <v>13.0</v>
      </c>
      <c r="AA15" s="22">
        <v>14.0</v>
      </c>
      <c r="AC15" s="22">
        <v>25.0</v>
      </c>
      <c r="AD15" s="22">
        <v>8.0</v>
      </c>
      <c r="AE15" s="22">
        <v>16.0</v>
      </c>
      <c r="AG15" s="22">
        <v>15.0</v>
      </c>
      <c r="AH15" s="22">
        <v>32.0</v>
      </c>
    </row>
    <row r="16">
      <c r="A16" s="22">
        <v>4.0</v>
      </c>
      <c r="B16" s="22">
        <v>4.0</v>
      </c>
      <c r="C16" s="22">
        <v>4.0</v>
      </c>
      <c r="D16" s="22">
        <v>5.0</v>
      </c>
      <c r="E16" s="22">
        <v>6.0</v>
      </c>
      <c r="H16" s="22">
        <v>1.0</v>
      </c>
      <c r="I16" s="22">
        <v>3.0</v>
      </c>
      <c r="J16" s="22">
        <v>6.0</v>
      </c>
      <c r="L16" s="22">
        <v>0.0</v>
      </c>
      <c r="M16" s="22">
        <v>2.0</v>
      </c>
      <c r="N16" s="22">
        <v>6.0</v>
      </c>
      <c r="P16" s="22">
        <v>3.0</v>
      </c>
      <c r="Q16" s="22">
        <v>4.0</v>
      </c>
      <c r="S16" s="22">
        <v>12.0</v>
      </c>
      <c r="T16" s="22">
        <v>18.0</v>
      </c>
      <c r="U16" s="22">
        <v>19.0</v>
      </c>
      <c r="V16" s="22">
        <v>13.0</v>
      </c>
      <c r="Y16" s="22">
        <v>20.0</v>
      </c>
      <c r="Z16" s="22">
        <v>16.0</v>
      </c>
      <c r="AA16" s="22">
        <v>12.0</v>
      </c>
      <c r="AC16" s="22">
        <v>20.0</v>
      </c>
      <c r="AD16" s="22">
        <v>12.0</v>
      </c>
      <c r="AE16" s="22">
        <v>12.0</v>
      </c>
      <c r="AG16" s="22">
        <v>13.0</v>
      </c>
      <c r="AH16" s="22">
        <v>27.0</v>
      </c>
    </row>
    <row r="17">
      <c r="A17" s="104">
        <v>5.0</v>
      </c>
      <c r="B17" s="104"/>
      <c r="C17" s="104"/>
      <c r="D17" s="104"/>
      <c r="E17" s="105">
        <v>3.0</v>
      </c>
      <c r="F17" s="105"/>
      <c r="G17" s="105"/>
      <c r="H17" s="105">
        <v>4.0</v>
      </c>
      <c r="I17" s="105">
        <v>5.0</v>
      </c>
      <c r="J17" s="104">
        <v>4.0</v>
      </c>
      <c r="K17" s="105"/>
      <c r="L17" s="104">
        <v>8.0</v>
      </c>
      <c r="M17" s="104">
        <v>1.0</v>
      </c>
      <c r="N17" s="105"/>
      <c r="O17" s="105"/>
      <c r="P17" s="105"/>
      <c r="Q17" s="105"/>
      <c r="R17" s="104"/>
      <c r="S17" s="104"/>
      <c r="T17" s="104"/>
      <c r="U17" s="104"/>
      <c r="V17" s="105">
        <v>29.0</v>
      </c>
      <c r="W17" s="105"/>
      <c r="X17" s="105"/>
      <c r="Y17" s="105">
        <v>22.0</v>
      </c>
      <c r="Z17" s="105">
        <v>21.0</v>
      </c>
      <c r="AA17" s="104">
        <v>9.0</v>
      </c>
      <c r="AB17" s="105"/>
      <c r="AC17" s="104">
        <v>18.0</v>
      </c>
      <c r="AD17" s="104">
        <v>6.0</v>
      </c>
      <c r="AE17" s="105"/>
      <c r="AF17" s="105"/>
      <c r="AG17" s="105"/>
      <c r="AH17" s="105"/>
      <c r="AI17" s="105"/>
    </row>
    <row r="18">
      <c r="A18" s="22">
        <v>1.0</v>
      </c>
      <c r="B18" s="22">
        <v>1.0</v>
      </c>
      <c r="C18" s="22">
        <v>2.0</v>
      </c>
      <c r="D18" s="22">
        <v>5.0</v>
      </c>
      <c r="E18" s="22"/>
      <c r="F18" s="22">
        <v>2.0</v>
      </c>
      <c r="H18" s="22">
        <v>4.0</v>
      </c>
      <c r="I18" s="22">
        <v>2.0</v>
      </c>
      <c r="K18" s="22">
        <v>3.0</v>
      </c>
      <c r="L18" s="22">
        <v>4.0</v>
      </c>
      <c r="M18" s="22">
        <v>2.0</v>
      </c>
      <c r="N18" s="22"/>
      <c r="P18" s="22"/>
      <c r="Q18" s="22"/>
      <c r="R18" s="22"/>
      <c r="S18" s="22">
        <v>14.0</v>
      </c>
      <c r="T18" s="22">
        <v>9.0</v>
      </c>
      <c r="U18" s="22">
        <v>13.0</v>
      </c>
      <c r="V18" s="22"/>
      <c r="W18" s="22">
        <v>17.0</v>
      </c>
      <c r="Y18" s="22">
        <v>11.0</v>
      </c>
      <c r="Z18" s="22">
        <v>8.0</v>
      </c>
      <c r="AB18" s="22">
        <v>22.0</v>
      </c>
      <c r="AC18" s="22">
        <v>22.0</v>
      </c>
      <c r="AD18" s="22">
        <v>14.0</v>
      </c>
      <c r="AE18" s="22"/>
      <c r="AG18" s="22"/>
      <c r="AH18" s="22"/>
      <c r="AI18" s="22"/>
    </row>
    <row r="19">
      <c r="A19" s="22">
        <v>2.0</v>
      </c>
      <c r="B19" s="22">
        <v>2.0</v>
      </c>
      <c r="C19" s="22">
        <v>7.0</v>
      </c>
      <c r="D19" s="22">
        <v>3.0</v>
      </c>
      <c r="F19" s="22">
        <v>3.0</v>
      </c>
      <c r="H19" s="22">
        <v>2.0</v>
      </c>
      <c r="I19" s="22">
        <v>10.0</v>
      </c>
      <c r="K19" s="22">
        <v>2.0</v>
      </c>
      <c r="L19" s="22">
        <v>0.0</v>
      </c>
      <c r="M19" s="22">
        <v>3.0</v>
      </c>
      <c r="S19" s="22">
        <v>10.0</v>
      </c>
      <c r="T19" s="22">
        <v>17.0</v>
      </c>
      <c r="U19" s="22">
        <v>5.0</v>
      </c>
      <c r="W19" s="22">
        <v>16.0</v>
      </c>
      <c r="Y19" s="22">
        <v>17.0</v>
      </c>
      <c r="Z19" s="22">
        <v>21.0</v>
      </c>
      <c r="AB19" s="22">
        <v>18.0</v>
      </c>
      <c r="AC19" s="22">
        <v>16.0</v>
      </c>
      <c r="AD19" s="22">
        <v>19.0</v>
      </c>
    </row>
    <row r="20">
      <c r="A20" s="22">
        <v>3.0</v>
      </c>
      <c r="B20" s="22">
        <v>5.0</v>
      </c>
      <c r="C20" s="22">
        <v>2.0</v>
      </c>
      <c r="D20" s="22">
        <v>0.0</v>
      </c>
      <c r="F20" s="22">
        <v>1.0</v>
      </c>
      <c r="H20" s="22">
        <v>2.0</v>
      </c>
      <c r="I20" s="22">
        <v>4.0</v>
      </c>
      <c r="K20" s="22">
        <v>5.0</v>
      </c>
      <c r="L20" s="22">
        <v>5.0</v>
      </c>
      <c r="M20" s="22">
        <v>4.0</v>
      </c>
      <c r="S20" s="22">
        <v>10.0</v>
      </c>
      <c r="T20" s="22">
        <v>19.0</v>
      </c>
      <c r="U20" s="22">
        <v>4.0</v>
      </c>
      <c r="W20" s="22">
        <v>21.0</v>
      </c>
      <c r="Y20" s="22">
        <v>16.0</v>
      </c>
      <c r="Z20" s="22">
        <v>23.0</v>
      </c>
      <c r="AB20" s="22">
        <v>23.0</v>
      </c>
      <c r="AC20" s="22">
        <v>21.0</v>
      </c>
      <c r="AD20" s="22">
        <v>20.0</v>
      </c>
    </row>
    <row r="21">
      <c r="A21" s="22">
        <v>4.0</v>
      </c>
      <c r="K21" s="22">
        <v>2.0</v>
      </c>
      <c r="L21" s="22">
        <v>2.0</v>
      </c>
      <c r="M21" s="22">
        <v>7.0</v>
      </c>
      <c r="AB21" s="22">
        <v>26.0</v>
      </c>
      <c r="AC21" s="22">
        <v>21.0</v>
      </c>
      <c r="AD21" s="22">
        <v>13.0</v>
      </c>
    </row>
    <row r="22">
      <c r="A22" s="104">
        <v>5.0</v>
      </c>
      <c r="B22" s="104"/>
      <c r="C22" s="104"/>
      <c r="D22" s="104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4"/>
      <c r="S22" s="104"/>
      <c r="T22" s="104"/>
      <c r="U22" s="104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</row>
    <row r="23">
      <c r="A23" s="22">
        <v>1.0</v>
      </c>
      <c r="B23" s="22"/>
      <c r="C23" s="22"/>
      <c r="D23" s="22"/>
      <c r="E23" s="22">
        <v>1.0</v>
      </c>
      <c r="F23" s="22">
        <v>3.0</v>
      </c>
      <c r="H23" s="22">
        <v>3.0</v>
      </c>
      <c r="K23" s="22">
        <v>1.0</v>
      </c>
      <c r="L23" s="22">
        <v>3.0</v>
      </c>
      <c r="M23" s="22">
        <v>5.0</v>
      </c>
      <c r="N23" s="22">
        <v>12.0</v>
      </c>
      <c r="O23" s="22">
        <v>3.0</v>
      </c>
      <c r="P23" s="22">
        <v>3.0</v>
      </c>
      <c r="Q23" s="22"/>
      <c r="R23" s="22"/>
      <c r="S23" s="22"/>
      <c r="T23" s="22"/>
      <c r="U23" s="22"/>
      <c r="V23" s="22">
        <v>19.0</v>
      </c>
      <c r="W23" s="22">
        <v>11.0</v>
      </c>
      <c r="Y23" s="22">
        <v>13.0</v>
      </c>
      <c r="AB23" s="22">
        <v>16.0</v>
      </c>
      <c r="AC23" s="22">
        <v>16.0</v>
      </c>
      <c r="AD23" s="22">
        <v>16.0</v>
      </c>
      <c r="AE23" s="22">
        <v>21.0</v>
      </c>
      <c r="AF23" s="22">
        <v>18.0</v>
      </c>
      <c r="AG23" s="22">
        <v>12.0</v>
      </c>
      <c r="AH23" s="22"/>
      <c r="AI23" s="22"/>
    </row>
    <row r="24">
      <c r="A24" s="22">
        <v>2.0</v>
      </c>
      <c r="E24" s="22">
        <v>2.0</v>
      </c>
      <c r="F24" s="22">
        <v>2.0</v>
      </c>
      <c r="H24" s="22">
        <v>1.0</v>
      </c>
      <c r="K24" s="22">
        <v>3.0</v>
      </c>
      <c r="L24" s="22">
        <v>6.0</v>
      </c>
      <c r="M24" s="22">
        <v>4.0</v>
      </c>
      <c r="N24" s="22">
        <v>2.0</v>
      </c>
      <c r="O24" s="22">
        <v>9.0</v>
      </c>
      <c r="P24" s="22">
        <v>3.0</v>
      </c>
      <c r="V24" s="22">
        <v>17.0</v>
      </c>
      <c r="W24" s="22">
        <v>13.0</v>
      </c>
      <c r="Y24" s="22">
        <v>17.0</v>
      </c>
      <c r="AB24" s="22">
        <v>16.0</v>
      </c>
      <c r="AC24" s="22">
        <v>8.0</v>
      </c>
      <c r="AD24" s="22">
        <v>14.0</v>
      </c>
      <c r="AE24" s="22">
        <v>15.0</v>
      </c>
      <c r="AF24" s="22">
        <v>18.0</v>
      </c>
      <c r="AG24" s="22">
        <v>10.0</v>
      </c>
    </row>
    <row r="25">
      <c r="A25" s="22">
        <v>3.0</v>
      </c>
      <c r="E25" s="22">
        <v>2.0</v>
      </c>
      <c r="F25" s="22">
        <v>3.0</v>
      </c>
      <c r="H25" s="22">
        <v>2.0</v>
      </c>
      <c r="K25" s="22">
        <v>1.0</v>
      </c>
      <c r="L25" s="22">
        <v>4.0</v>
      </c>
      <c r="M25" s="22">
        <v>3.0</v>
      </c>
      <c r="N25" s="22">
        <v>6.0</v>
      </c>
      <c r="O25" s="22">
        <v>3.0</v>
      </c>
      <c r="P25" s="22">
        <v>6.0</v>
      </c>
      <c r="V25" s="22">
        <v>18.0</v>
      </c>
      <c r="W25" s="22">
        <v>17.0</v>
      </c>
      <c r="Y25" s="22">
        <v>14.0</v>
      </c>
      <c r="AB25" s="22">
        <v>10.0</v>
      </c>
      <c r="AC25" s="22">
        <v>15.0</v>
      </c>
      <c r="AD25" s="22">
        <v>13.0</v>
      </c>
      <c r="AE25" s="22">
        <v>7.0</v>
      </c>
      <c r="AF25" s="22">
        <v>21.0</v>
      </c>
      <c r="AG25" s="22">
        <v>15.0</v>
      </c>
    </row>
    <row r="26">
      <c r="A26" s="22">
        <v>4.0</v>
      </c>
      <c r="K26" s="22">
        <v>1.0</v>
      </c>
      <c r="L26" s="22">
        <v>3.0</v>
      </c>
      <c r="M26" s="22">
        <v>3.0</v>
      </c>
      <c r="AB26" s="22">
        <v>9.0</v>
      </c>
      <c r="AC26" s="22">
        <v>18.0</v>
      </c>
      <c r="AD26" s="22">
        <v>20.0</v>
      </c>
    </row>
    <row r="27">
      <c r="A27" s="104">
        <v>5.0</v>
      </c>
      <c r="B27" s="104"/>
      <c r="C27" s="104"/>
      <c r="D27" s="104"/>
      <c r="E27" s="105"/>
      <c r="F27" s="105"/>
      <c r="G27" s="105"/>
      <c r="H27" s="105"/>
      <c r="I27" s="105"/>
      <c r="J27" s="105"/>
      <c r="K27" s="104">
        <v>5.0</v>
      </c>
      <c r="L27" s="104">
        <v>4.0</v>
      </c>
      <c r="M27" s="104">
        <v>1.0</v>
      </c>
      <c r="N27" s="105"/>
      <c r="O27" s="105"/>
      <c r="P27" s="105"/>
      <c r="Q27" s="105"/>
      <c r="R27" s="104"/>
      <c r="S27" s="104"/>
      <c r="T27" s="104"/>
      <c r="U27" s="104"/>
      <c r="V27" s="105"/>
      <c r="W27" s="105"/>
      <c r="X27" s="105"/>
      <c r="Y27" s="105"/>
      <c r="Z27" s="105"/>
      <c r="AA27" s="105"/>
      <c r="AB27" s="104">
        <v>19.0</v>
      </c>
      <c r="AC27" s="104">
        <v>22.0</v>
      </c>
      <c r="AD27" s="104">
        <v>20.0</v>
      </c>
      <c r="AE27" s="105"/>
      <c r="AF27" s="105"/>
      <c r="AG27" s="105"/>
      <c r="AH27" s="105"/>
      <c r="AI27" s="105"/>
    </row>
    <row r="28">
      <c r="A28" s="22">
        <v>1.0</v>
      </c>
      <c r="B28" s="22"/>
      <c r="C28" s="22"/>
      <c r="D28" s="22"/>
      <c r="E28" s="22">
        <v>1.0</v>
      </c>
      <c r="F28" s="22">
        <v>3.0</v>
      </c>
      <c r="H28" s="22"/>
      <c r="I28" s="22">
        <v>10.0</v>
      </c>
      <c r="K28" s="22">
        <v>3.0</v>
      </c>
      <c r="L28" s="22">
        <v>3.0</v>
      </c>
      <c r="M28" s="22">
        <v>3.0</v>
      </c>
      <c r="N28" s="22">
        <v>1.0</v>
      </c>
      <c r="P28" s="22">
        <v>1.0</v>
      </c>
      <c r="Q28" s="22"/>
      <c r="R28" s="22">
        <v>2.0</v>
      </c>
      <c r="S28" s="22"/>
      <c r="T28" s="22"/>
      <c r="U28" s="22"/>
      <c r="V28" s="22">
        <v>6.0</v>
      </c>
      <c r="W28" s="22">
        <v>15.0</v>
      </c>
      <c r="Y28" s="22"/>
      <c r="Z28" s="22">
        <v>16.0</v>
      </c>
      <c r="AB28" s="22">
        <v>16.0</v>
      </c>
      <c r="AC28" s="22">
        <v>19.0</v>
      </c>
      <c r="AD28" s="22">
        <v>10.0</v>
      </c>
      <c r="AE28" s="22">
        <v>12.0</v>
      </c>
      <c r="AG28" s="22">
        <v>5.0</v>
      </c>
      <c r="AH28" s="22"/>
      <c r="AI28" s="22">
        <v>10.0</v>
      </c>
    </row>
    <row r="29">
      <c r="A29" s="22">
        <v>2.0</v>
      </c>
      <c r="E29" s="22">
        <v>0.0</v>
      </c>
      <c r="F29" s="22">
        <v>3.0</v>
      </c>
      <c r="I29" s="22">
        <v>6.0</v>
      </c>
      <c r="K29" s="22">
        <v>1.0</v>
      </c>
      <c r="L29" s="22">
        <v>2.0</v>
      </c>
      <c r="M29" s="22">
        <v>4.0</v>
      </c>
      <c r="N29" s="22">
        <v>4.0</v>
      </c>
      <c r="P29" s="22">
        <v>4.0</v>
      </c>
      <c r="R29" s="22">
        <v>5.0</v>
      </c>
      <c r="V29" s="22">
        <v>6.0</v>
      </c>
      <c r="W29" s="22">
        <v>14.0</v>
      </c>
      <c r="Z29" s="22">
        <v>13.0</v>
      </c>
      <c r="AB29" s="22">
        <v>11.0</v>
      </c>
      <c r="AC29" s="22">
        <v>25.0</v>
      </c>
      <c r="AD29" s="22">
        <v>15.0</v>
      </c>
      <c r="AE29" s="22">
        <v>19.0</v>
      </c>
      <c r="AG29" s="22">
        <v>18.0</v>
      </c>
      <c r="AI29" s="22">
        <v>18.0</v>
      </c>
    </row>
    <row r="30">
      <c r="A30" s="22">
        <v>3.0</v>
      </c>
      <c r="E30" s="22">
        <v>2.0</v>
      </c>
      <c r="F30" s="22">
        <v>2.0</v>
      </c>
      <c r="I30" s="22">
        <v>2.0</v>
      </c>
      <c r="K30" s="22">
        <v>1.0</v>
      </c>
      <c r="L30" s="22">
        <v>7.0</v>
      </c>
      <c r="M30" s="22">
        <v>4.0</v>
      </c>
      <c r="N30" s="22">
        <v>0.0</v>
      </c>
      <c r="P30" s="22">
        <v>6.0</v>
      </c>
      <c r="R30" s="22">
        <v>2.0</v>
      </c>
      <c r="V30" s="22">
        <v>19.0</v>
      </c>
      <c r="W30" s="22">
        <v>18.0</v>
      </c>
      <c r="Z30" s="22">
        <v>10.0</v>
      </c>
      <c r="AB30" s="22">
        <v>18.0</v>
      </c>
      <c r="AC30" s="22">
        <v>14.0</v>
      </c>
      <c r="AD30" s="22">
        <v>13.0</v>
      </c>
      <c r="AE30" s="22">
        <v>17.0</v>
      </c>
      <c r="AG30" s="22">
        <v>12.0</v>
      </c>
      <c r="AI30" s="22">
        <v>15.0</v>
      </c>
    </row>
    <row r="31">
      <c r="A31" s="22">
        <v>4.0</v>
      </c>
      <c r="K31" s="22">
        <v>0.0</v>
      </c>
      <c r="L31" s="22">
        <v>4.0</v>
      </c>
      <c r="M31" s="22">
        <v>5.0</v>
      </c>
      <c r="N31" s="22">
        <v>3.0</v>
      </c>
      <c r="P31" s="22">
        <v>1.0</v>
      </c>
      <c r="R31" s="22">
        <v>2.0</v>
      </c>
      <c r="AB31" s="22">
        <v>20.0</v>
      </c>
      <c r="AC31" s="22">
        <v>19.0</v>
      </c>
      <c r="AD31" s="22">
        <v>9.0</v>
      </c>
      <c r="AE31" s="22">
        <v>11.0</v>
      </c>
      <c r="AG31" s="22">
        <v>15.0</v>
      </c>
      <c r="AI31" s="22">
        <v>16.0</v>
      </c>
    </row>
    <row r="32">
      <c r="A32" s="104">
        <v>5.0</v>
      </c>
      <c r="B32" s="104"/>
      <c r="C32" s="104"/>
      <c r="D32" s="104"/>
      <c r="E32" s="105"/>
      <c r="F32" s="105"/>
      <c r="G32" s="105"/>
      <c r="H32" s="105"/>
      <c r="I32" s="105"/>
      <c r="J32" s="105"/>
      <c r="K32" s="104">
        <v>2.0</v>
      </c>
      <c r="L32" s="104">
        <v>4.0</v>
      </c>
      <c r="M32" s="104">
        <v>2.0</v>
      </c>
      <c r="N32" s="105"/>
      <c r="O32" s="105"/>
      <c r="P32" s="105"/>
      <c r="Q32" s="105"/>
      <c r="R32" s="104"/>
      <c r="S32" s="104"/>
      <c r="T32" s="104"/>
      <c r="U32" s="104"/>
      <c r="V32" s="105"/>
      <c r="W32" s="105"/>
      <c r="X32" s="105"/>
      <c r="Y32" s="105"/>
      <c r="Z32" s="105"/>
      <c r="AA32" s="105"/>
      <c r="AB32" s="104">
        <v>22.0</v>
      </c>
      <c r="AC32" s="104">
        <v>18.0</v>
      </c>
      <c r="AD32" s="104">
        <v>13.0</v>
      </c>
      <c r="AE32" s="105"/>
      <c r="AF32" s="105"/>
      <c r="AG32" s="105"/>
      <c r="AH32" s="105"/>
      <c r="AI32" s="105"/>
    </row>
    <row r="33">
      <c r="A33" s="42" t="s">
        <v>236</v>
      </c>
      <c r="B33" s="22">
        <f t="shared" ref="B33:AI33" si="1">SUM(B3:B32)</f>
        <v>44</v>
      </c>
      <c r="C33" s="22">
        <f t="shared" si="1"/>
        <v>58</v>
      </c>
      <c r="D33" s="22">
        <f t="shared" si="1"/>
        <v>65</v>
      </c>
      <c r="E33" s="22">
        <f t="shared" si="1"/>
        <v>43</v>
      </c>
      <c r="F33" s="22">
        <f t="shared" si="1"/>
        <v>33</v>
      </c>
      <c r="G33" s="106">
        <f t="shared" si="1"/>
        <v>12</v>
      </c>
      <c r="H33" s="22">
        <f t="shared" si="1"/>
        <v>32</v>
      </c>
      <c r="I33" s="106">
        <f t="shared" si="1"/>
        <v>62</v>
      </c>
      <c r="J33" s="106">
        <f t="shared" si="1"/>
        <v>20</v>
      </c>
      <c r="K33" s="22">
        <f t="shared" si="1"/>
        <v>56</v>
      </c>
      <c r="L33" s="22">
        <f t="shared" si="1"/>
        <v>99</v>
      </c>
      <c r="M33" s="22">
        <f t="shared" si="1"/>
        <v>83</v>
      </c>
      <c r="N33" s="22">
        <f t="shared" si="1"/>
        <v>79</v>
      </c>
      <c r="O33" s="106">
        <f t="shared" si="1"/>
        <v>30</v>
      </c>
      <c r="P33" s="22">
        <f t="shared" si="1"/>
        <v>48</v>
      </c>
      <c r="Q33" s="22">
        <f t="shared" si="1"/>
        <v>28</v>
      </c>
      <c r="R33" s="22">
        <f t="shared" si="1"/>
        <v>11</v>
      </c>
      <c r="S33" s="22">
        <f t="shared" si="1"/>
        <v>156</v>
      </c>
      <c r="T33" s="22">
        <f t="shared" si="1"/>
        <v>225</v>
      </c>
      <c r="U33" s="22">
        <f t="shared" si="1"/>
        <v>235</v>
      </c>
      <c r="V33" s="22">
        <f t="shared" si="1"/>
        <v>237</v>
      </c>
      <c r="W33" s="22">
        <f t="shared" si="1"/>
        <v>256</v>
      </c>
      <c r="X33" s="106">
        <f t="shared" si="1"/>
        <v>45</v>
      </c>
      <c r="Y33" s="22">
        <f t="shared" si="1"/>
        <v>207</v>
      </c>
      <c r="Z33" s="106">
        <f t="shared" si="1"/>
        <v>183</v>
      </c>
      <c r="AA33" s="106">
        <f t="shared" si="1"/>
        <v>55</v>
      </c>
      <c r="AB33" s="22">
        <f t="shared" si="1"/>
        <v>366</v>
      </c>
      <c r="AC33" s="22">
        <f t="shared" si="1"/>
        <v>514</v>
      </c>
      <c r="AD33" s="22">
        <f t="shared" si="1"/>
        <v>402</v>
      </c>
      <c r="AE33" s="22">
        <f t="shared" si="1"/>
        <v>307</v>
      </c>
      <c r="AF33" s="106">
        <f t="shared" si="1"/>
        <v>112</v>
      </c>
      <c r="AG33" s="22">
        <f t="shared" si="1"/>
        <v>209</v>
      </c>
      <c r="AH33" s="22">
        <f t="shared" si="1"/>
        <v>195</v>
      </c>
      <c r="AI33" s="22">
        <f t="shared" si="1"/>
        <v>59</v>
      </c>
    </row>
    <row r="34">
      <c r="A34" s="42" t="s">
        <v>237</v>
      </c>
      <c r="B34" s="107">
        <f>OAFT!$J$3</f>
        <v>81.6</v>
      </c>
      <c r="C34" s="107">
        <f>OAFT!$J$2</f>
        <v>81.6</v>
      </c>
      <c r="D34" s="107">
        <f>OAFT!$J$4</f>
        <v>81.6</v>
      </c>
      <c r="E34" s="107">
        <f>'990'!$J$4</f>
        <v>99.15</v>
      </c>
      <c r="F34" s="107">
        <f>'990'!$J$2</f>
        <v>87.066</v>
      </c>
      <c r="G34" s="107">
        <f>'990'!$J$3</f>
        <v>20.75</v>
      </c>
      <c r="H34" s="107">
        <f>'990'!$J$5</f>
        <v>79.516</v>
      </c>
      <c r="I34" s="107">
        <f>'990'!$J$6</f>
        <v>59.616</v>
      </c>
      <c r="J34" s="107">
        <f>PKRK!$J$5</f>
        <v>25</v>
      </c>
      <c r="K34" s="107">
        <f>PKRK!$J$2</f>
        <v>118.2</v>
      </c>
      <c r="L34" s="107">
        <f>PKRK!$J$4</f>
        <v>143.2</v>
      </c>
      <c r="M34" s="107">
        <f>PKRK!$J$3</f>
        <v>143.2</v>
      </c>
      <c r="N34" s="107">
        <f>Cute!$J$2</f>
        <v>92.53</v>
      </c>
      <c r="O34" s="107">
        <f>Cute!$J$4</f>
        <v>35</v>
      </c>
      <c r="P34" s="107">
        <f>Cute!$J$3</f>
        <v>87.53</v>
      </c>
      <c r="Q34" s="107">
        <f>Cute!$J$6</f>
        <v>42.53</v>
      </c>
      <c r="R34" s="107">
        <f>Cute!$J$5</f>
        <v>20</v>
      </c>
      <c r="S34" s="107">
        <f>OAFT!$J$3</f>
        <v>81.6</v>
      </c>
      <c r="T34" s="107">
        <f>OAFT!$J$2</f>
        <v>81.6</v>
      </c>
      <c r="U34" s="107">
        <f>OAFT!$J$4</f>
        <v>81.6</v>
      </c>
      <c r="V34" s="107">
        <f>'990'!$J$4</f>
        <v>99.15</v>
      </c>
      <c r="W34" s="107">
        <f>'990'!$J$2</f>
        <v>87.066</v>
      </c>
      <c r="X34" s="107">
        <f>'990'!$J$3</f>
        <v>20.75</v>
      </c>
      <c r="Y34" s="107">
        <f>'990'!$J$5</f>
        <v>79.516</v>
      </c>
      <c r="Z34" s="107">
        <f>'990'!$J$6</f>
        <v>59.616</v>
      </c>
      <c r="AA34" s="107">
        <f>PKRK!$J$5</f>
        <v>25</v>
      </c>
      <c r="AB34" s="107">
        <f>PKRK!$J$2</f>
        <v>118.2</v>
      </c>
      <c r="AC34" s="107">
        <f>PKRK!$J$4</f>
        <v>143.2</v>
      </c>
      <c r="AD34" s="107">
        <f>PKRK!$J$3</f>
        <v>143.2</v>
      </c>
      <c r="AE34" s="107">
        <f>Cute!$J$2</f>
        <v>92.53</v>
      </c>
      <c r="AF34" s="107">
        <f>Cute!$J$4</f>
        <v>35</v>
      </c>
      <c r="AG34" s="107">
        <f>Cute!$J$3</f>
        <v>87.53</v>
      </c>
      <c r="AH34" s="107">
        <f>Cute!$J$6</f>
        <v>42.53</v>
      </c>
      <c r="AI34" s="107">
        <f>Cute!$J$5</f>
        <v>20</v>
      </c>
    </row>
    <row r="35">
      <c r="A35" s="42" t="s">
        <v>238</v>
      </c>
      <c r="B35" s="22">
        <f t="shared" ref="B35:AI35" si="2">IFERROR(B33/B34, "Hasn't played")</f>
        <v>0.5392156863</v>
      </c>
      <c r="C35" s="22">
        <f t="shared" si="2"/>
        <v>0.7107843137</v>
      </c>
      <c r="D35" s="22">
        <f t="shared" si="2"/>
        <v>0.7965686275</v>
      </c>
      <c r="E35" s="22">
        <f t="shared" si="2"/>
        <v>0.4336863338</v>
      </c>
      <c r="F35" s="22">
        <f t="shared" si="2"/>
        <v>0.3790228103</v>
      </c>
      <c r="G35" s="22">
        <f t="shared" si="2"/>
        <v>0.578313253</v>
      </c>
      <c r="H35" s="22">
        <f t="shared" si="2"/>
        <v>0.4024347301</v>
      </c>
      <c r="I35" s="22">
        <f t="shared" si="2"/>
        <v>1.039989265</v>
      </c>
      <c r="J35" s="22">
        <f t="shared" si="2"/>
        <v>0.8</v>
      </c>
      <c r="K35" s="22">
        <f t="shared" si="2"/>
        <v>0.4737732657</v>
      </c>
      <c r="L35" s="22">
        <f t="shared" si="2"/>
        <v>0.6913407821</v>
      </c>
      <c r="M35" s="22">
        <f t="shared" si="2"/>
        <v>0.5796089385</v>
      </c>
      <c r="N35" s="22">
        <f t="shared" si="2"/>
        <v>0.8537771534</v>
      </c>
      <c r="O35" s="22">
        <f t="shared" si="2"/>
        <v>0.8571428571</v>
      </c>
      <c r="P35" s="22">
        <f t="shared" si="2"/>
        <v>0.5483834114</v>
      </c>
      <c r="Q35" s="22">
        <f t="shared" si="2"/>
        <v>0.6583588055</v>
      </c>
      <c r="R35" s="22">
        <f t="shared" si="2"/>
        <v>0.55</v>
      </c>
      <c r="S35" s="22">
        <f t="shared" si="2"/>
        <v>1.911764706</v>
      </c>
      <c r="T35" s="22">
        <f t="shared" si="2"/>
        <v>2.757352941</v>
      </c>
      <c r="U35" s="22">
        <f t="shared" si="2"/>
        <v>2.879901961</v>
      </c>
      <c r="V35" s="22">
        <f t="shared" si="2"/>
        <v>2.3903177</v>
      </c>
      <c r="W35" s="22">
        <f t="shared" si="2"/>
        <v>2.940298165</v>
      </c>
      <c r="X35" s="22">
        <f t="shared" si="2"/>
        <v>2.168674699</v>
      </c>
      <c r="Y35" s="22">
        <f t="shared" si="2"/>
        <v>2.60324966</v>
      </c>
      <c r="Z35" s="22">
        <f t="shared" si="2"/>
        <v>3.069645733</v>
      </c>
      <c r="AA35" s="22">
        <f t="shared" si="2"/>
        <v>2.2</v>
      </c>
      <c r="AB35" s="22">
        <f t="shared" si="2"/>
        <v>3.096446701</v>
      </c>
      <c r="AC35" s="22">
        <f t="shared" si="2"/>
        <v>3.589385475</v>
      </c>
      <c r="AD35" s="22">
        <f t="shared" si="2"/>
        <v>2.80726257</v>
      </c>
      <c r="AE35" s="22">
        <f t="shared" si="2"/>
        <v>3.317842862</v>
      </c>
      <c r="AF35" s="22">
        <f t="shared" si="2"/>
        <v>3.2</v>
      </c>
      <c r="AG35" s="22">
        <f t="shared" si="2"/>
        <v>2.38775277</v>
      </c>
      <c r="AH35" s="22">
        <f t="shared" si="2"/>
        <v>4.584998824</v>
      </c>
      <c r="AI35" s="22">
        <f t="shared" si="2"/>
        <v>2.95</v>
      </c>
    </row>
    <row r="36">
      <c r="A36" s="22" t="s">
        <v>239</v>
      </c>
      <c r="B36" s="22">
        <f t="shared" ref="B36:AI36" si="3">IFERROR(AVERAGEIF(B3:B32, "&lt;&gt;"), 0)</f>
        <v>2.75</v>
      </c>
      <c r="C36" s="22">
        <f t="shared" si="3"/>
        <v>3.625</v>
      </c>
      <c r="D36" s="22">
        <f t="shared" si="3"/>
        <v>4.0625</v>
      </c>
      <c r="E36" s="22">
        <f t="shared" si="3"/>
        <v>2.263157895</v>
      </c>
      <c r="F36" s="22">
        <f t="shared" si="3"/>
        <v>1.941176471</v>
      </c>
      <c r="G36" s="22">
        <f t="shared" si="3"/>
        <v>3</v>
      </c>
      <c r="H36" s="22">
        <f t="shared" si="3"/>
        <v>2.133333333</v>
      </c>
      <c r="I36" s="22">
        <f t="shared" si="3"/>
        <v>5.636363636</v>
      </c>
      <c r="J36" s="22">
        <f t="shared" si="3"/>
        <v>4</v>
      </c>
      <c r="K36" s="22">
        <f t="shared" si="3"/>
        <v>2.545454545</v>
      </c>
      <c r="L36" s="22">
        <f t="shared" si="3"/>
        <v>3.666666667</v>
      </c>
      <c r="M36" s="22">
        <f t="shared" si="3"/>
        <v>3.074074074</v>
      </c>
      <c r="N36" s="22">
        <f t="shared" si="3"/>
        <v>4.388888889</v>
      </c>
      <c r="O36" s="22">
        <f t="shared" si="3"/>
        <v>4.285714286</v>
      </c>
      <c r="P36" s="22">
        <f t="shared" si="3"/>
        <v>2.823529412</v>
      </c>
      <c r="Q36" s="22">
        <f t="shared" si="3"/>
        <v>3.5</v>
      </c>
      <c r="R36" s="22">
        <f t="shared" si="3"/>
        <v>2.75</v>
      </c>
      <c r="S36" s="22">
        <f t="shared" si="3"/>
        <v>9.75</v>
      </c>
      <c r="T36" s="22">
        <f t="shared" si="3"/>
        <v>14.0625</v>
      </c>
      <c r="U36" s="22">
        <f t="shared" si="3"/>
        <v>14.6875</v>
      </c>
      <c r="V36" s="22">
        <f t="shared" si="3"/>
        <v>12.47368421</v>
      </c>
      <c r="W36" s="22">
        <f t="shared" si="3"/>
        <v>15.05882353</v>
      </c>
      <c r="X36" s="22">
        <f t="shared" si="3"/>
        <v>11.25</v>
      </c>
      <c r="Y36" s="22">
        <f t="shared" si="3"/>
        <v>13.8</v>
      </c>
      <c r="Z36" s="22">
        <f t="shared" si="3"/>
        <v>16.63636364</v>
      </c>
      <c r="AA36" s="22">
        <f t="shared" si="3"/>
        <v>11</v>
      </c>
      <c r="AB36" s="22">
        <f t="shared" si="3"/>
        <v>16.63636364</v>
      </c>
      <c r="AC36" s="22">
        <f t="shared" si="3"/>
        <v>19.03703704</v>
      </c>
      <c r="AD36" s="22">
        <f t="shared" si="3"/>
        <v>14.88888889</v>
      </c>
      <c r="AE36" s="22">
        <f t="shared" si="3"/>
        <v>17.05555556</v>
      </c>
      <c r="AF36" s="22">
        <f t="shared" si="3"/>
        <v>16</v>
      </c>
      <c r="AG36" s="22">
        <f t="shared" si="3"/>
        <v>12.29411765</v>
      </c>
      <c r="AH36" s="22">
        <f t="shared" si="3"/>
        <v>24.375</v>
      </c>
      <c r="AI36" s="22">
        <f t="shared" si="3"/>
        <v>14.75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2" t="s">
        <v>242</v>
      </c>
    </row>
    <row r="2">
      <c r="A2" s="22" t="s">
        <v>2</v>
      </c>
      <c r="B2" s="22" t="s">
        <v>20</v>
      </c>
      <c r="C2" s="22" t="s">
        <v>234</v>
      </c>
      <c r="D2" s="22" t="s">
        <v>21</v>
      </c>
      <c r="E2" s="22" t="s">
        <v>84</v>
      </c>
      <c r="F2" s="22" t="s">
        <v>82</v>
      </c>
      <c r="G2" s="22" t="s">
        <v>83</v>
      </c>
      <c r="H2" s="22" t="s">
        <v>85</v>
      </c>
      <c r="I2" s="22" t="s">
        <v>86</v>
      </c>
      <c r="J2" s="22" t="s">
        <v>124</v>
      </c>
      <c r="K2" s="22" t="s">
        <v>121</v>
      </c>
      <c r="L2" s="22" t="s">
        <v>123</v>
      </c>
      <c r="M2" s="22" t="s">
        <v>122</v>
      </c>
      <c r="N2" s="22" t="s">
        <v>164</v>
      </c>
      <c r="O2" s="22" t="s">
        <v>166</v>
      </c>
      <c r="P2" s="22" t="s">
        <v>165</v>
      </c>
      <c r="Q2" s="22" t="s">
        <v>168</v>
      </c>
      <c r="R2" s="22" t="s">
        <v>167</v>
      </c>
    </row>
    <row r="3">
      <c r="A3" s="22">
        <v>1.0</v>
      </c>
      <c r="B3" s="22">
        <v>40.35</v>
      </c>
      <c r="C3" s="22">
        <v>34.42</v>
      </c>
      <c r="D3" s="22">
        <v>25.62</v>
      </c>
      <c r="E3" s="22">
        <v>46.12</v>
      </c>
      <c r="F3" s="22">
        <v>27.93</v>
      </c>
      <c r="G3" s="22">
        <v>26.99</v>
      </c>
      <c r="K3" s="22">
        <v>30.12</v>
      </c>
      <c r="L3" s="22">
        <v>36.19</v>
      </c>
      <c r="M3" s="22">
        <v>36.28</v>
      </c>
      <c r="N3" s="22">
        <v>42.4</v>
      </c>
      <c r="O3" s="22">
        <v>28.53</v>
      </c>
      <c r="P3" s="22">
        <v>30.36</v>
      </c>
    </row>
    <row r="4">
      <c r="A4" s="22">
        <v>2.0</v>
      </c>
      <c r="B4" s="22">
        <v>35.94</v>
      </c>
      <c r="C4" s="22">
        <v>40.55</v>
      </c>
      <c r="D4" s="22">
        <v>23.9</v>
      </c>
      <c r="E4" s="22">
        <v>36.52</v>
      </c>
      <c r="F4" s="22">
        <v>27.29</v>
      </c>
      <c r="G4" s="22">
        <v>39.47</v>
      </c>
      <c r="K4" s="22">
        <v>42.43</v>
      </c>
      <c r="L4" s="22">
        <v>37.59</v>
      </c>
      <c r="M4" s="22">
        <v>21.9</v>
      </c>
      <c r="N4" s="22">
        <v>32.14</v>
      </c>
      <c r="O4" s="22">
        <v>31.8</v>
      </c>
      <c r="P4" s="22">
        <v>37.44</v>
      </c>
    </row>
    <row r="5">
      <c r="A5" s="22">
        <v>3.0</v>
      </c>
      <c r="B5" s="22">
        <v>37.27</v>
      </c>
      <c r="C5" s="22">
        <v>36.52</v>
      </c>
      <c r="D5" s="22">
        <v>26.15</v>
      </c>
      <c r="E5" s="22">
        <v>40.58</v>
      </c>
      <c r="F5" s="22">
        <v>24.47</v>
      </c>
      <c r="G5" s="22">
        <v>35.39</v>
      </c>
      <c r="K5" s="22">
        <v>43.04</v>
      </c>
      <c r="L5" s="22">
        <v>33.14</v>
      </c>
      <c r="M5" s="22">
        <v>26.26</v>
      </c>
      <c r="N5" s="22">
        <v>34.21</v>
      </c>
      <c r="O5" s="22">
        <v>29.95</v>
      </c>
      <c r="P5" s="22">
        <v>37.41</v>
      </c>
    </row>
    <row r="6">
      <c r="A6" s="22">
        <v>4.0</v>
      </c>
      <c r="B6" s="22">
        <v>39.38</v>
      </c>
      <c r="C6" s="22">
        <v>31.7</v>
      </c>
      <c r="D6" s="22">
        <v>28.8</v>
      </c>
      <c r="E6" s="22">
        <v>27.84</v>
      </c>
      <c r="F6" s="22">
        <v>37.37</v>
      </c>
      <c r="G6" s="22">
        <v>40.07</v>
      </c>
      <c r="N6" s="22">
        <v>47.73</v>
      </c>
      <c r="O6" s="22">
        <v>31.8</v>
      </c>
      <c r="Q6" s="22">
        <v>23.35</v>
      </c>
    </row>
    <row r="7">
      <c r="A7" s="104">
        <v>5.0</v>
      </c>
      <c r="B7" s="105">
        <v>44.6</v>
      </c>
      <c r="C7" s="105">
        <v>31.76</v>
      </c>
      <c r="D7" s="105">
        <v>24.95</v>
      </c>
      <c r="E7" s="104"/>
      <c r="F7" s="105"/>
      <c r="G7" s="105"/>
      <c r="H7" s="104"/>
      <c r="I7" s="104"/>
      <c r="J7" s="105"/>
      <c r="K7" s="105"/>
      <c r="L7" s="105"/>
      <c r="M7" s="105"/>
      <c r="N7" s="105"/>
      <c r="O7" s="105"/>
      <c r="P7" s="105"/>
      <c r="Q7" s="105"/>
      <c r="R7" s="105"/>
    </row>
    <row r="8">
      <c r="A8" s="22">
        <v>1.0</v>
      </c>
      <c r="B8" s="106">
        <v>35.72</v>
      </c>
      <c r="C8" s="106">
        <v>40.62</v>
      </c>
      <c r="D8" s="106">
        <v>24.06</v>
      </c>
      <c r="E8" s="106">
        <v>42.53</v>
      </c>
      <c r="F8" s="106">
        <v>29.36</v>
      </c>
      <c r="H8" s="106">
        <v>33.78</v>
      </c>
      <c r="K8" s="106">
        <v>42.99</v>
      </c>
      <c r="L8" s="106">
        <v>32.46</v>
      </c>
      <c r="M8" s="106">
        <v>26.0</v>
      </c>
      <c r="N8" s="106">
        <v>24.81</v>
      </c>
      <c r="P8" s="106">
        <v>42.6</v>
      </c>
      <c r="Q8" s="106">
        <v>33.93</v>
      </c>
    </row>
    <row r="9">
      <c r="A9" s="22">
        <v>2.0</v>
      </c>
      <c r="B9" s="22">
        <v>40.21</v>
      </c>
      <c r="C9" s="22">
        <v>29.31</v>
      </c>
      <c r="D9" s="22">
        <v>29.51</v>
      </c>
      <c r="E9" s="22">
        <v>41.08</v>
      </c>
      <c r="F9" s="22">
        <v>31.86</v>
      </c>
      <c r="H9" s="22">
        <v>32.41</v>
      </c>
      <c r="K9" s="22">
        <v>43.27</v>
      </c>
      <c r="L9" s="22">
        <v>34.69</v>
      </c>
      <c r="M9" s="22">
        <v>22.13</v>
      </c>
      <c r="N9" s="22">
        <v>32.08</v>
      </c>
      <c r="P9" s="22">
        <v>40.96</v>
      </c>
      <c r="Q9" s="22">
        <v>28.3</v>
      </c>
    </row>
    <row r="10">
      <c r="A10" s="22">
        <v>3.0</v>
      </c>
      <c r="B10" s="22">
        <v>47.71</v>
      </c>
      <c r="C10" s="22">
        <v>31.74</v>
      </c>
      <c r="D10" s="22">
        <v>22.74</v>
      </c>
      <c r="E10" s="22">
        <v>41.02</v>
      </c>
      <c r="F10" s="22">
        <v>26.68</v>
      </c>
      <c r="H10" s="22">
        <v>35.07</v>
      </c>
      <c r="K10" s="22">
        <v>39.43</v>
      </c>
      <c r="L10" s="22">
        <v>28.94</v>
      </c>
      <c r="M10" s="22">
        <v>33.56</v>
      </c>
      <c r="N10" s="22">
        <v>30.71</v>
      </c>
      <c r="P10" s="22">
        <v>38.66</v>
      </c>
      <c r="Q10" s="22">
        <v>33.31</v>
      </c>
    </row>
    <row r="11">
      <c r="A11" s="22">
        <v>4.0</v>
      </c>
      <c r="B11" s="22">
        <v>38.92</v>
      </c>
      <c r="C11" s="22">
        <v>37.47</v>
      </c>
      <c r="D11" s="22">
        <v>25.71</v>
      </c>
      <c r="E11" s="22">
        <v>41.75</v>
      </c>
      <c r="F11" s="22">
        <v>29.78</v>
      </c>
      <c r="H11" s="22">
        <v>50.7</v>
      </c>
      <c r="K11" s="22">
        <v>41.65</v>
      </c>
      <c r="L11" s="22">
        <v>33.71</v>
      </c>
      <c r="M11" s="22">
        <v>26.86</v>
      </c>
    </row>
    <row r="12">
      <c r="A12" s="104">
        <v>5.0</v>
      </c>
      <c r="B12" s="105"/>
      <c r="C12" s="105"/>
      <c r="D12" s="105"/>
      <c r="E12" s="104"/>
      <c r="F12" s="105"/>
      <c r="G12" s="105"/>
      <c r="H12" s="104"/>
      <c r="I12" s="104"/>
      <c r="J12" s="105"/>
      <c r="K12" s="105">
        <v>42.7</v>
      </c>
      <c r="L12" s="105">
        <v>34.13</v>
      </c>
      <c r="M12" s="105">
        <v>25.47</v>
      </c>
      <c r="N12" s="105"/>
      <c r="O12" s="105"/>
      <c r="P12" s="105"/>
      <c r="Q12" s="105"/>
      <c r="R12" s="105"/>
    </row>
    <row r="13">
      <c r="A13" s="22">
        <v>1.0</v>
      </c>
      <c r="B13" s="22">
        <v>42.46</v>
      </c>
      <c r="C13" s="22">
        <v>30.57</v>
      </c>
      <c r="D13" s="22">
        <v>27.52</v>
      </c>
      <c r="E13" s="106">
        <v>37.98</v>
      </c>
      <c r="H13" s="106">
        <v>39.28</v>
      </c>
      <c r="I13" s="106">
        <v>26.95</v>
      </c>
      <c r="J13" s="22">
        <v>34.8</v>
      </c>
      <c r="L13" s="22">
        <v>32.4</v>
      </c>
      <c r="M13" s="22">
        <v>33.66</v>
      </c>
      <c r="N13" s="22">
        <v>34.45</v>
      </c>
      <c r="P13" s="22">
        <v>33.54</v>
      </c>
      <c r="Q13" s="22">
        <v>33.36</v>
      </c>
    </row>
    <row r="14">
      <c r="A14" s="22">
        <v>2.0</v>
      </c>
      <c r="B14" s="22">
        <v>42.53</v>
      </c>
      <c r="C14" s="22">
        <v>30.48</v>
      </c>
      <c r="D14" s="22">
        <v>26.71</v>
      </c>
      <c r="E14" s="22">
        <v>35.68</v>
      </c>
      <c r="H14" s="22">
        <v>37.83</v>
      </c>
      <c r="I14" s="22">
        <v>28.77</v>
      </c>
      <c r="J14" s="22">
        <v>40.24</v>
      </c>
      <c r="L14" s="22">
        <v>37.19</v>
      </c>
      <c r="M14" s="22">
        <v>26.82</v>
      </c>
      <c r="N14" s="22">
        <v>36.32</v>
      </c>
      <c r="P14" s="22">
        <v>34.41</v>
      </c>
      <c r="Q14" s="22">
        <v>30.29</v>
      </c>
    </row>
    <row r="15">
      <c r="A15" s="22">
        <v>3.0</v>
      </c>
      <c r="B15" s="22">
        <v>29.5</v>
      </c>
      <c r="C15" s="22">
        <v>38.77</v>
      </c>
      <c r="D15" s="22">
        <v>31.08</v>
      </c>
      <c r="E15" s="22">
        <v>35.98</v>
      </c>
      <c r="H15" s="22">
        <v>31.23</v>
      </c>
      <c r="I15" s="22">
        <v>34.73</v>
      </c>
      <c r="J15" s="22">
        <v>29.13</v>
      </c>
      <c r="L15" s="22">
        <v>32.62</v>
      </c>
      <c r="M15" s="22">
        <v>41.82</v>
      </c>
      <c r="N15" s="22">
        <v>34.77</v>
      </c>
      <c r="P15" s="22">
        <v>39.84</v>
      </c>
      <c r="Q15" s="22">
        <v>27.71</v>
      </c>
    </row>
    <row r="16">
      <c r="A16" s="22">
        <v>4.0</v>
      </c>
      <c r="B16" s="22">
        <v>46.47</v>
      </c>
      <c r="C16" s="22">
        <v>32.84</v>
      </c>
      <c r="D16" s="22">
        <v>22.53</v>
      </c>
      <c r="E16" s="22">
        <v>38.07</v>
      </c>
      <c r="H16" s="22">
        <v>37.03</v>
      </c>
      <c r="I16" s="22">
        <v>29.02</v>
      </c>
      <c r="J16" s="22">
        <v>31.42</v>
      </c>
      <c r="L16" s="22">
        <v>41.27</v>
      </c>
      <c r="M16" s="22">
        <v>29.95</v>
      </c>
      <c r="N16" s="22">
        <v>32.1</v>
      </c>
      <c r="P16" s="22">
        <v>33.9</v>
      </c>
      <c r="Q16" s="22">
        <v>36.8</v>
      </c>
    </row>
    <row r="17">
      <c r="A17" s="104">
        <v>5.0</v>
      </c>
      <c r="B17" s="105"/>
      <c r="C17" s="105"/>
      <c r="D17" s="105"/>
      <c r="E17" s="104">
        <v>37.76</v>
      </c>
      <c r="F17" s="105"/>
      <c r="G17" s="105"/>
      <c r="H17" s="104">
        <v>36.46</v>
      </c>
      <c r="I17" s="104">
        <v>27.44</v>
      </c>
      <c r="J17" s="104">
        <v>34.85</v>
      </c>
      <c r="K17" s="105"/>
      <c r="L17" s="104">
        <v>35.6</v>
      </c>
      <c r="M17" s="104">
        <v>32.06</v>
      </c>
      <c r="N17" s="105"/>
      <c r="O17" s="105"/>
      <c r="P17" s="105"/>
      <c r="Q17" s="105"/>
      <c r="R17" s="105"/>
    </row>
    <row r="18">
      <c r="A18" s="22">
        <v>1.0</v>
      </c>
      <c r="B18" s="22">
        <v>35.3</v>
      </c>
      <c r="C18" s="22">
        <v>33.39</v>
      </c>
      <c r="D18" s="22">
        <v>31.52</v>
      </c>
      <c r="F18" s="22">
        <v>30.98</v>
      </c>
      <c r="H18" s="22">
        <v>29.43</v>
      </c>
      <c r="I18" s="22">
        <v>43.36</v>
      </c>
      <c r="K18" s="22">
        <v>31.22</v>
      </c>
      <c r="L18" s="22">
        <v>37.34</v>
      </c>
      <c r="M18" s="22">
        <v>35.51</v>
      </c>
    </row>
    <row r="19">
      <c r="A19" s="22">
        <v>2.0</v>
      </c>
      <c r="B19" s="22">
        <v>33.56</v>
      </c>
      <c r="C19" s="22">
        <v>28.61</v>
      </c>
      <c r="D19" s="22">
        <v>37.3</v>
      </c>
      <c r="F19" s="22">
        <v>37.13</v>
      </c>
      <c r="H19" s="22">
        <v>35.78</v>
      </c>
      <c r="I19" s="22">
        <v>28.89</v>
      </c>
      <c r="K19" s="22">
        <v>32.14</v>
      </c>
      <c r="L19" s="22">
        <v>40.48</v>
      </c>
      <c r="M19" s="22">
        <v>28.29</v>
      </c>
    </row>
    <row r="20">
      <c r="A20" s="22">
        <v>3.0</v>
      </c>
      <c r="B20" s="22">
        <v>34.04</v>
      </c>
      <c r="C20" s="22">
        <v>33.4</v>
      </c>
      <c r="D20" s="22">
        <v>33.29</v>
      </c>
      <c r="F20" s="22">
        <v>42.85</v>
      </c>
      <c r="H20" s="22">
        <v>26.54</v>
      </c>
      <c r="I20" s="22">
        <v>32.48</v>
      </c>
      <c r="K20" s="22">
        <v>27.33</v>
      </c>
      <c r="L20" s="22">
        <v>32.69</v>
      </c>
      <c r="M20" s="22">
        <v>44.74</v>
      </c>
    </row>
    <row r="21">
      <c r="A21" s="22">
        <v>4.0</v>
      </c>
      <c r="K21" s="22">
        <v>34.38</v>
      </c>
      <c r="L21" s="22">
        <v>32.73</v>
      </c>
      <c r="M21" s="22">
        <v>33.95</v>
      </c>
    </row>
    <row r="22">
      <c r="A22" s="104">
        <v>5.0</v>
      </c>
      <c r="B22" s="105"/>
      <c r="C22" s="105"/>
      <c r="D22" s="105"/>
      <c r="E22" s="104"/>
      <c r="F22" s="105"/>
      <c r="G22" s="105"/>
      <c r="H22" s="104"/>
      <c r="I22" s="104"/>
      <c r="J22" s="105"/>
      <c r="K22" s="105"/>
      <c r="L22" s="105"/>
      <c r="M22" s="105"/>
      <c r="N22" s="105"/>
      <c r="O22" s="105"/>
      <c r="P22" s="105"/>
      <c r="Q22" s="105"/>
      <c r="R22" s="105"/>
    </row>
    <row r="23">
      <c r="A23" s="22">
        <v>1.0</v>
      </c>
      <c r="E23" s="22">
        <v>40.46</v>
      </c>
      <c r="F23" s="22">
        <v>36.92</v>
      </c>
      <c r="H23" s="22">
        <v>24.92</v>
      </c>
      <c r="K23" s="22">
        <v>34.0</v>
      </c>
      <c r="L23" s="22">
        <v>33.36</v>
      </c>
      <c r="M23" s="22">
        <v>33.48</v>
      </c>
      <c r="N23" s="22">
        <v>32.15</v>
      </c>
      <c r="O23" s="22">
        <v>30.95</v>
      </c>
      <c r="P23" s="22">
        <v>38.55</v>
      </c>
    </row>
    <row r="24">
      <c r="A24" s="22">
        <v>2.0</v>
      </c>
      <c r="E24" s="22">
        <v>38.13</v>
      </c>
      <c r="F24" s="22">
        <v>37.53</v>
      </c>
      <c r="H24" s="22">
        <v>26.71</v>
      </c>
      <c r="K24" s="22">
        <v>38.41</v>
      </c>
      <c r="L24" s="22">
        <v>34.54</v>
      </c>
      <c r="M24" s="22">
        <v>29.84</v>
      </c>
      <c r="N24" s="22">
        <v>37.85</v>
      </c>
      <c r="O24" s="22">
        <v>23.65</v>
      </c>
      <c r="P24" s="22">
        <v>42.77</v>
      </c>
    </row>
    <row r="25">
      <c r="A25" s="22">
        <v>3.0</v>
      </c>
      <c r="E25" s="22">
        <v>42.26</v>
      </c>
      <c r="F25" s="22">
        <v>35.6</v>
      </c>
      <c r="H25" s="22">
        <v>26.24</v>
      </c>
      <c r="K25" s="22">
        <v>39.99</v>
      </c>
      <c r="L25" s="22">
        <v>33.87</v>
      </c>
      <c r="M25" s="22">
        <v>28.44</v>
      </c>
      <c r="N25" s="22">
        <v>36.81</v>
      </c>
      <c r="O25" s="22">
        <v>32.14</v>
      </c>
      <c r="P25" s="22">
        <v>32.43</v>
      </c>
    </row>
    <row r="26">
      <c r="A26" s="22">
        <v>4.0</v>
      </c>
      <c r="K26" s="22">
        <v>32.52</v>
      </c>
      <c r="L26" s="22">
        <v>37.65</v>
      </c>
      <c r="M26" s="22">
        <v>30.79</v>
      </c>
    </row>
    <row r="27">
      <c r="A27" s="104">
        <v>5.0</v>
      </c>
      <c r="B27" s="105"/>
      <c r="C27" s="105"/>
      <c r="D27" s="105"/>
      <c r="E27" s="104"/>
      <c r="F27" s="105"/>
      <c r="G27" s="105"/>
      <c r="H27" s="104"/>
      <c r="I27" s="104"/>
      <c r="J27" s="105"/>
      <c r="K27" s="104">
        <v>33.61</v>
      </c>
      <c r="L27" s="104">
        <v>36.69</v>
      </c>
      <c r="M27" s="104">
        <v>31.27</v>
      </c>
      <c r="N27" s="105"/>
      <c r="O27" s="105"/>
      <c r="P27" s="105"/>
      <c r="Q27" s="105"/>
      <c r="R27" s="105"/>
    </row>
    <row r="28">
      <c r="A28" s="22">
        <v>1.0</v>
      </c>
      <c r="E28" s="22">
        <v>44.95</v>
      </c>
      <c r="F28" s="22">
        <v>26.53</v>
      </c>
      <c r="I28" s="22">
        <v>30.99</v>
      </c>
      <c r="K28" s="22">
        <v>37.47</v>
      </c>
      <c r="L28" s="22">
        <v>31.39</v>
      </c>
      <c r="M28" s="22">
        <v>34.41</v>
      </c>
      <c r="N28" s="22">
        <v>36.69</v>
      </c>
      <c r="P28" s="22">
        <v>36.63</v>
      </c>
      <c r="R28" s="22">
        <v>25.34</v>
      </c>
    </row>
    <row r="29">
      <c r="A29" s="22">
        <v>2.0</v>
      </c>
      <c r="E29" s="22">
        <v>46.99</v>
      </c>
      <c r="F29" s="22">
        <v>31.66</v>
      </c>
      <c r="I29" s="22">
        <v>25.45</v>
      </c>
      <c r="K29" s="22">
        <v>35.52</v>
      </c>
      <c r="L29" s="22">
        <v>38.2</v>
      </c>
      <c r="M29" s="22">
        <v>29.78</v>
      </c>
      <c r="N29" s="22">
        <v>34.87</v>
      </c>
      <c r="P29" s="22">
        <v>36.18</v>
      </c>
      <c r="R29" s="22">
        <v>28.46</v>
      </c>
    </row>
    <row r="30">
      <c r="A30" s="22">
        <v>3.0</v>
      </c>
      <c r="E30" s="22">
        <v>31.42</v>
      </c>
      <c r="F30" s="22">
        <v>29.39</v>
      </c>
      <c r="I30" s="22">
        <v>44.61</v>
      </c>
      <c r="K30" s="22">
        <v>37.03</v>
      </c>
      <c r="L30" s="22">
        <v>30.96</v>
      </c>
      <c r="M30" s="22">
        <v>34.74</v>
      </c>
      <c r="N30" s="22">
        <v>37.78</v>
      </c>
      <c r="P30" s="22">
        <v>32.19</v>
      </c>
      <c r="R30" s="22">
        <v>31.21</v>
      </c>
    </row>
    <row r="31">
      <c r="A31" s="22">
        <v>4.0</v>
      </c>
      <c r="K31" s="22">
        <v>40.01</v>
      </c>
      <c r="L31" s="22">
        <v>32.4</v>
      </c>
      <c r="M31" s="22">
        <v>28.91</v>
      </c>
      <c r="N31" s="22">
        <v>39.59</v>
      </c>
      <c r="P31" s="22">
        <v>35.99</v>
      </c>
      <c r="R31" s="22">
        <v>24.65</v>
      </c>
    </row>
    <row r="32">
      <c r="A32" s="104">
        <v>5.0</v>
      </c>
      <c r="B32" s="105"/>
      <c r="C32" s="105"/>
      <c r="D32" s="105"/>
      <c r="E32" s="104"/>
      <c r="F32" s="105"/>
      <c r="G32" s="105"/>
      <c r="H32" s="104"/>
      <c r="I32" s="104"/>
      <c r="J32" s="105"/>
      <c r="K32" s="104">
        <v>36.08</v>
      </c>
      <c r="L32" s="104">
        <v>36.4</v>
      </c>
      <c r="M32" s="104">
        <v>30.04</v>
      </c>
      <c r="N32" s="105"/>
      <c r="O32" s="105"/>
      <c r="P32" s="105"/>
      <c r="Q32" s="105"/>
      <c r="R32" s="105"/>
    </row>
    <row r="33">
      <c r="A33" s="22" t="s">
        <v>235</v>
      </c>
      <c r="B33" s="106">
        <f t="shared" ref="B33:R33" si="1">IFERROR(AVERAGEIF(B3:B32, "&lt;&gt;"), 0)</f>
        <v>38.9975</v>
      </c>
      <c r="C33" s="106">
        <f t="shared" si="1"/>
        <v>33.884375</v>
      </c>
      <c r="D33" s="106">
        <f t="shared" si="1"/>
        <v>27.586875</v>
      </c>
      <c r="E33" s="106">
        <f t="shared" si="1"/>
        <v>39.32210526</v>
      </c>
      <c r="F33" s="106">
        <f t="shared" si="1"/>
        <v>31.96058824</v>
      </c>
      <c r="G33" s="106">
        <f t="shared" si="1"/>
        <v>35.48</v>
      </c>
      <c r="H33" s="106">
        <f t="shared" si="1"/>
        <v>33.56066667</v>
      </c>
      <c r="I33" s="106">
        <f t="shared" si="1"/>
        <v>32.06272727</v>
      </c>
      <c r="J33" s="106">
        <f t="shared" si="1"/>
        <v>34.088</v>
      </c>
      <c r="K33" s="106">
        <f t="shared" si="1"/>
        <v>37.06090909</v>
      </c>
      <c r="L33" s="106">
        <f t="shared" si="1"/>
        <v>34.76407407</v>
      </c>
      <c r="M33" s="106">
        <f t="shared" si="1"/>
        <v>30.99851852</v>
      </c>
      <c r="N33" s="106">
        <f t="shared" si="1"/>
        <v>35.41444444</v>
      </c>
      <c r="O33" s="106">
        <f t="shared" si="1"/>
        <v>29.83142857</v>
      </c>
      <c r="P33" s="106">
        <f t="shared" si="1"/>
        <v>36.69764706</v>
      </c>
      <c r="Q33" s="106">
        <f t="shared" si="1"/>
        <v>30.88125</v>
      </c>
      <c r="R33" s="106">
        <f t="shared" si="1"/>
        <v>27.415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2" t="s">
        <v>243</v>
      </c>
    </row>
    <row r="2">
      <c r="A2" s="22" t="s">
        <v>2</v>
      </c>
      <c r="B2" s="22" t="s">
        <v>20</v>
      </c>
      <c r="C2" s="22" t="s">
        <v>234</v>
      </c>
      <c r="D2" s="22" t="s">
        <v>21</v>
      </c>
      <c r="E2" s="22" t="s">
        <v>84</v>
      </c>
      <c r="F2" s="22" t="s">
        <v>82</v>
      </c>
      <c r="G2" s="22" t="s">
        <v>83</v>
      </c>
      <c r="H2" s="22" t="s">
        <v>85</v>
      </c>
      <c r="I2" s="22" t="s">
        <v>86</v>
      </c>
      <c r="J2" s="22" t="s">
        <v>124</v>
      </c>
      <c r="K2" s="22" t="s">
        <v>121</v>
      </c>
      <c r="L2" s="22" t="s">
        <v>123</v>
      </c>
      <c r="M2" s="22" t="s">
        <v>122</v>
      </c>
      <c r="N2" s="22" t="s">
        <v>164</v>
      </c>
      <c r="O2" s="22" t="s">
        <v>166</v>
      </c>
      <c r="P2" s="22" t="s">
        <v>165</v>
      </c>
      <c r="Q2" s="22" t="s">
        <v>168</v>
      </c>
      <c r="R2" s="22" t="s">
        <v>167</v>
      </c>
    </row>
    <row r="3">
      <c r="A3" s="22">
        <v>1.0</v>
      </c>
      <c r="B3" s="22">
        <v>32.02</v>
      </c>
      <c r="C3" s="22">
        <v>32.52</v>
      </c>
      <c r="D3" s="22">
        <v>34.09</v>
      </c>
      <c r="E3" s="22">
        <v>26.42</v>
      </c>
      <c r="F3" s="22">
        <v>37.78</v>
      </c>
      <c r="G3" s="22">
        <v>36.38</v>
      </c>
      <c r="K3" s="22">
        <v>32.28</v>
      </c>
      <c r="L3" s="22">
        <v>37.13</v>
      </c>
      <c r="M3" s="22">
        <v>31.18</v>
      </c>
      <c r="N3" s="22">
        <v>24.66</v>
      </c>
      <c r="O3" s="22">
        <v>39.45</v>
      </c>
      <c r="P3" s="22">
        <v>36.09</v>
      </c>
    </row>
    <row r="4">
      <c r="A4" s="22">
        <v>2.0</v>
      </c>
      <c r="B4" s="22">
        <v>37.16</v>
      </c>
      <c r="C4" s="22">
        <v>27.76</v>
      </c>
      <c r="D4" s="22">
        <v>34.42</v>
      </c>
      <c r="E4" s="22">
        <v>34.84</v>
      </c>
      <c r="F4" s="22">
        <v>29.94</v>
      </c>
      <c r="G4" s="22">
        <v>34.48</v>
      </c>
      <c r="K4" s="22">
        <v>30.09</v>
      </c>
      <c r="L4" s="22">
        <v>31.68</v>
      </c>
      <c r="M4" s="22">
        <v>38.4</v>
      </c>
      <c r="N4" s="22">
        <v>35.08</v>
      </c>
      <c r="O4" s="22">
        <v>32.29</v>
      </c>
      <c r="P4" s="22">
        <v>32.11</v>
      </c>
    </row>
    <row r="5">
      <c r="A5" s="22">
        <v>3.0</v>
      </c>
      <c r="B5" s="22">
        <v>29.83</v>
      </c>
      <c r="C5" s="22">
        <v>27.77</v>
      </c>
      <c r="D5" s="22">
        <v>40.54</v>
      </c>
      <c r="E5" s="22">
        <v>32.06</v>
      </c>
      <c r="F5" s="22">
        <v>36.57</v>
      </c>
      <c r="G5" s="22">
        <v>30.21</v>
      </c>
      <c r="K5" s="22">
        <v>27.72</v>
      </c>
      <c r="L5" s="22">
        <v>38.31</v>
      </c>
      <c r="M5" s="22">
        <v>34.37</v>
      </c>
      <c r="N5" s="22">
        <v>32.02</v>
      </c>
      <c r="O5" s="22">
        <v>34.73</v>
      </c>
      <c r="P5" s="22">
        <v>34.12</v>
      </c>
    </row>
    <row r="6">
      <c r="A6" s="22">
        <v>4.0</v>
      </c>
      <c r="B6" s="22">
        <v>32.11</v>
      </c>
      <c r="C6" s="22">
        <v>28.77</v>
      </c>
      <c r="D6" s="22">
        <v>39.26</v>
      </c>
      <c r="E6" s="22">
        <v>37.43</v>
      </c>
      <c r="F6" s="22">
        <v>29.95</v>
      </c>
      <c r="G6" s="22">
        <v>31.97</v>
      </c>
      <c r="N6" s="22">
        <v>25.91</v>
      </c>
      <c r="O6" s="22">
        <v>35.13</v>
      </c>
      <c r="Q6" s="22">
        <v>42.09</v>
      </c>
    </row>
    <row r="7">
      <c r="A7" s="104">
        <v>5.0</v>
      </c>
      <c r="B7" s="105">
        <v>20.87</v>
      </c>
      <c r="C7" s="105">
        <v>31.28</v>
      </c>
      <c r="D7" s="105">
        <v>47.37</v>
      </c>
      <c r="E7" s="104"/>
      <c r="F7" s="105"/>
      <c r="G7" s="105"/>
      <c r="H7" s="104"/>
      <c r="I7" s="104"/>
      <c r="J7" s="105"/>
      <c r="K7" s="105"/>
      <c r="L7" s="105"/>
      <c r="M7" s="105"/>
      <c r="N7" s="105"/>
      <c r="O7" s="105"/>
      <c r="P7" s="105"/>
      <c r="Q7" s="105"/>
      <c r="R7" s="105"/>
    </row>
    <row r="8">
      <c r="A8" s="22">
        <v>1.0</v>
      </c>
      <c r="B8" s="106">
        <v>31.03</v>
      </c>
      <c r="C8" s="106">
        <v>35.84</v>
      </c>
      <c r="D8" s="106">
        <v>32.89</v>
      </c>
      <c r="E8" s="106">
        <v>33.78</v>
      </c>
      <c r="F8" s="106">
        <v>31.89</v>
      </c>
      <c r="H8" s="106">
        <v>34.92</v>
      </c>
      <c r="K8" s="106">
        <v>27.78</v>
      </c>
      <c r="L8" s="106">
        <v>37.8</v>
      </c>
      <c r="M8" s="106">
        <v>35.9</v>
      </c>
      <c r="N8" s="106">
        <v>42.32</v>
      </c>
      <c r="P8" s="106">
        <v>25.78</v>
      </c>
      <c r="Q8" s="106">
        <v>31.56</v>
      </c>
    </row>
    <row r="9">
      <c r="A9" s="22">
        <v>2.0</v>
      </c>
      <c r="B9" s="22">
        <v>31.03</v>
      </c>
      <c r="C9" s="22">
        <v>31.03</v>
      </c>
      <c r="D9" s="22">
        <v>37.44</v>
      </c>
      <c r="E9" s="22">
        <v>29.58</v>
      </c>
      <c r="F9" s="22">
        <v>35.33</v>
      </c>
      <c r="H9" s="22">
        <v>36.27</v>
      </c>
      <c r="K9" s="22">
        <v>25.52</v>
      </c>
      <c r="L9" s="22">
        <v>31.57</v>
      </c>
      <c r="M9" s="22">
        <v>43.1</v>
      </c>
      <c r="N9" s="22">
        <v>34.87</v>
      </c>
      <c r="P9" s="22">
        <v>29.17</v>
      </c>
      <c r="Q9" s="22">
        <v>35.92</v>
      </c>
    </row>
    <row r="10">
      <c r="A10" s="22">
        <v>3.0</v>
      </c>
      <c r="B10" s="22">
        <v>27.22</v>
      </c>
      <c r="C10" s="22">
        <v>40.31</v>
      </c>
      <c r="D10" s="22">
        <v>31.7</v>
      </c>
      <c r="E10" s="22">
        <v>30.6</v>
      </c>
      <c r="F10" s="22">
        <v>34.58</v>
      </c>
      <c r="H10" s="22">
        <v>37.57</v>
      </c>
      <c r="K10" s="22">
        <v>30.55</v>
      </c>
      <c r="L10" s="22">
        <v>37.39</v>
      </c>
      <c r="M10" s="22">
        <v>32.69</v>
      </c>
      <c r="N10" s="22">
        <v>31.48</v>
      </c>
      <c r="P10" s="22">
        <v>25.6</v>
      </c>
      <c r="Q10" s="22">
        <v>43.43</v>
      </c>
    </row>
    <row r="11">
      <c r="A11" s="22">
        <v>4.0</v>
      </c>
      <c r="B11" s="22">
        <v>28.63</v>
      </c>
      <c r="C11" s="22">
        <v>33.26</v>
      </c>
      <c r="D11" s="22">
        <v>37.65</v>
      </c>
      <c r="E11" s="22">
        <v>26.48</v>
      </c>
      <c r="F11" s="22">
        <v>46.52</v>
      </c>
      <c r="H11" s="22">
        <v>27.35</v>
      </c>
      <c r="K11" s="22">
        <v>32.01</v>
      </c>
      <c r="L11" s="22">
        <v>30.36</v>
      </c>
      <c r="M11" s="22">
        <v>38.62</v>
      </c>
    </row>
    <row r="12">
      <c r="A12" s="104">
        <v>5.0</v>
      </c>
      <c r="B12" s="105"/>
      <c r="C12" s="105"/>
      <c r="D12" s="105"/>
      <c r="E12" s="104"/>
      <c r="F12" s="105"/>
      <c r="G12" s="105"/>
      <c r="H12" s="104"/>
      <c r="I12" s="104"/>
      <c r="J12" s="105"/>
      <c r="K12" s="105">
        <v>28.18</v>
      </c>
      <c r="L12" s="105">
        <v>36.75</v>
      </c>
      <c r="M12" s="105">
        <v>36.62</v>
      </c>
      <c r="N12" s="105"/>
      <c r="O12" s="105"/>
      <c r="P12" s="105"/>
      <c r="Q12" s="105"/>
      <c r="R12" s="105"/>
    </row>
    <row r="13">
      <c r="A13" s="22">
        <v>1.0</v>
      </c>
      <c r="B13" s="22">
        <v>30.85</v>
      </c>
      <c r="C13" s="22">
        <v>30.01</v>
      </c>
      <c r="D13" s="22">
        <v>38.91</v>
      </c>
      <c r="E13" s="106">
        <v>36.76</v>
      </c>
      <c r="H13" s="106">
        <v>31.0</v>
      </c>
      <c r="I13" s="106">
        <v>34.1</v>
      </c>
      <c r="J13" s="22">
        <v>29.36</v>
      </c>
      <c r="L13" s="22">
        <v>39.19</v>
      </c>
      <c r="M13" s="22">
        <v>33.34</v>
      </c>
      <c r="N13" s="22">
        <v>36.43</v>
      </c>
      <c r="P13" s="22">
        <v>36.03</v>
      </c>
      <c r="Q13" s="22">
        <v>28.13</v>
      </c>
    </row>
    <row r="14">
      <c r="A14" s="22">
        <v>2.0</v>
      </c>
      <c r="B14" s="22">
        <v>27.07</v>
      </c>
      <c r="C14" s="22">
        <v>38.22</v>
      </c>
      <c r="D14" s="22">
        <v>33.31</v>
      </c>
      <c r="E14" s="22">
        <v>31.09</v>
      </c>
      <c r="H14" s="22">
        <v>28.8</v>
      </c>
      <c r="I14" s="22">
        <v>40.28</v>
      </c>
      <c r="J14" s="22">
        <v>30.65</v>
      </c>
      <c r="L14" s="22">
        <v>34.66</v>
      </c>
      <c r="M14" s="22">
        <v>35.88</v>
      </c>
      <c r="N14" s="22">
        <v>33.68</v>
      </c>
      <c r="P14" s="22">
        <v>38.13</v>
      </c>
      <c r="Q14" s="22">
        <v>28.23</v>
      </c>
    </row>
    <row r="15">
      <c r="A15" s="22">
        <v>3.0</v>
      </c>
      <c r="B15" s="22">
        <v>32.3</v>
      </c>
      <c r="C15" s="22">
        <v>32.66</v>
      </c>
      <c r="D15" s="22">
        <v>33.29</v>
      </c>
      <c r="E15" s="22">
        <v>36.26</v>
      </c>
      <c r="H15" s="22">
        <v>33.61</v>
      </c>
      <c r="I15" s="22">
        <v>30.38</v>
      </c>
      <c r="J15" s="22">
        <v>39.95</v>
      </c>
      <c r="L15" s="22">
        <v>31.78</v>
      </c>
      <c r="M15" s="22">
        <v>29.23</v>
      </c>
      <c r="N15" s="22">
        <v>32.74</v>
      </c>
      <c r="P15" s="22">
        <v>34.64</v>
      </c>
      <c r="Q15" s="22">
        <v>33.62</v>
      </c>
    </row>
    <row r="16">
      <c r="A16" s="22">
        <v>4.0</v>
      </c>
      <c r="B16" s="22">
        <v>25.23</v>
      </c>
      <c r="C16" s="22">
        <v>33.87</v>
      </c>
      <c r="D16" s="22">
        <v>40.27</v>
      </c>
      <c r="E16" s="22">
        <v>32.98</v>
      </c>
      <c r="H16" s="22">
        <v>32.95</v>
      </c>
      <c r="I16" s="22">
        <v>33.93</v>
      </c>
      <c r="J16" s="22">
        <v>31.95</v>
      </c>
      <c r="L16" s="22">
        <v>31.13</v>
      </c>
      <c r="M16" s="22">
        <v>37.73</v>
      </c>
      <c r="N16" s="22">
        <v>34.74</v>
      </c>
      <c r="P16" s="22">
        <v>32.88</v>
      </c>
      <c r="Q16" s="22">
        <v>33.47</v>
      </c>
    </row>
    <row r="17">
      <c r="A17" s="104">
        <v>5.0</v>
      </c>
      <c r="B17" s="105"/>
      <c r="C17" s="105"/>
      <c r="D17" s="105"/>
      <c r="E17" s="104">
        <v>31.78</v>
      </c>
      <c r="F17" s="105"/>
      <c r="G17" s="105"/>
      <c r="H17" s="104">
        <v>27.44</v>
      </c>
      <c r="I17" s="104">
        <v>41.17</v>
      </c>
      <c r="J17" s="104">
        <v>34.45</v>
      </c>
      <c r="K17" s="105"/>
      <c r="L17" s="104">
        <v>34.64</v>
      </c>
      <c r="M17" s="104">
        <v>33.33</v>
      </c>
      <c r="N17" s="105"/>
      <c r="O17" s="105"/>
      <c r="P17" s="105"/>
      <c r="Q17" s="105"/>
      <c r="R17" s="105"/>
    </row>
    <row r="18">
      <c r="A18" s="22">
        <v>1.0</v>
      </c>
      <c r="B18" s="22">
        <v>32.41</v>
      </c>
      <c r="C18" s="22">
        <v>31.58</v>
      </c>
      <c r="D18" s="22">
        <v>35.77</v>
      </c>
      <c r="F18" s="22">
        <v>34.76</v>
      </c>
      <c r="H18" s="22">
        <v>35.25</v>
      </c>
      <c r="I18" s="22">
        <v>32.14</v>
      </c>
      <c r="K18" s="22">
        <v>33.86</v>
      </c>
      <c r="L18" s="22">
        <v>31.1</v>
      </c>
      <c r="M18" s="22">
        <v>36.91</v>
      </c>
    </row>
    <row r="19">
      <c r="A19" s="22">
        <v>2.0</v>
      </c>
      <c r="B19" s="22">
        <v>29.49</v>
      </c>
      <c r="C19" s="22">
        <v>39.95</v>
      </c>
      <c r="D19" s="22">
        <v>29.29</v>
      </c>
      <c r="F19" s="22">
        <v>26.42</v>
      </c>
      <c r="H19" s="22">
        <v>31.37</v>
      </c>
      <c r="I19" s="22">
        <v>43.15</v>
      </c>
      <c r="K19" s="22">
        <v>30.44</v>
      </c>
      <c r="L19" s="22">
        <v>34.48</v>
      </c>
      <c r="M19" s="22">
        <v>36.38</v>
      </c>
    </row>
    <row r="20">
      <c r="A20" s="22">
        <v>3.0</v>
      </c>
      <c r="B20" s="22">
        <v>29.17</v>
      </c>
      <c r="C20" s="22">
        <v>41.02</v>
      </c>
      <c r="D20" s="22">
        <v>29.22</v>
      </c>
      <c r="F20" s="22">
        <v>28.19</v>
      </c>
      <c r="H20" s="22">
        <v>34.39</v>
      </c>
      <c r="I20" s="22">
        <v>38.45</v>
      </c>
      <c r="K20" s="22">
        <v>41.12</v>
      </c>
      <c r="L20" s="22">
        <v>36.82</v>
      </c>
      <c r="M20" s="22">
        <v>23.63</v>
      </c>
    </row>
    <row r="21">
      <c r="A21" s="22">
        <v>4.0</v>
      </c>
      <c r="K21" s="22">
        <v>32.51</v>
      </c>
      <c r="L21" s="22">
        <v>31.0</v>
      </c>
      <c r="M21" s="22">
        <v>37.76</v>
      </c>
    </row>
    <row r="22">
      <c r="A22" s="104">
        <v>5.0</v>
      </c>
      <c r="B22" s="105"/>
      <c r="C22" s="105"/>
      <c r="D22" s="105"/>
      <c r="E22" s="104"/>
      <c r="F22" s="105"/>
      <c r="G22" s="105"/>
      <c r="H22" s="104"/>
      <c r="I22" s="104"/>
      <c r="J22" s="105"/>
      <c r="K22" s="105"/>
      <c r="L22" s="105"/>
      <c r="M22" s="105"/>
      <c r="N22" s="105"/>
      <c r="O22" s="105"/>
      <c r="P22" s="105"/>
      <c r="Q22" s="105"/>
      <c r="R22" s="105"/>
    </row>
    <row r="23">
      <c r="A23" s="22">
        <v>1.0</v>
      </c>
      <c r="E23" s="22">
        <v>30.32</v>
      </c>
      <c r="F23" s="22">
        <v>27.33</v>
      </c>
      <c r="H23" s="22">
        <v>44.07</v>
      </c>
      <c r="K23" s="22">
        <v>33.51</v>
      </c>
      <c r="L23" s="22">
        <v>33.24</v>
      </c>
      <c r="M23" s="22">
        <v>34.18</v>
      </c>
      <c r="N23" s="22">
        <v>35.62</v>
      </c>
      <c r="O23" s="22">
        <v>34.51</v>
      </c>
      <c r="P23" s="22">
        <v>29.5</v>
      </c>
    </row>
    <row r="24">
      <c r="A24" s="22">
        <v>2.0</v>
      </c>
      <c r="E24" s="22">
        <v>33.59</v>
      </c>
      <c r="F24" s="22">
        <v>29.76</v>
      </c>
      <c r="H24" s="22">
        <v>38.28</v>
      </c>
      <c r="K24" s="22">
        <v>29.22</v>
      </c>
      <c r="L24" s="22">
        <v>36.21</v>
      </c>
      <c r="M24" s="22">
        <v>37.17</v>
      </c>
      <c r="N24" s="22">
        <v>28.33</v>
      </c>
      <c r="O24" s="22">
        <v>47.5</v>
      </c>
      <c r="P24" s="22">
        <v>24.67</v>
      </c>
    </row>
    <row r="25">
      <c r="A25" s="22">
        <v>3.0</v>
      </c>
      <c r="E25" s="22">
        <v>28.26</v>
      </c>
      <c r="F25" s="22">
        <v>32.87</v>
      </c>
      <c r="H25" s="22">
        <v>41.29</v>
      </c>
      <c r="K25" s="22">
        <v>31.68</v>
      </c>
      <c r="L25" s="22">
        <v>38.88</v>
      </c>
      <c r="M25" s="22">
        <v>30.66</v>
      </c>
      <c r="N25" s="22">
        <v>30.47</v>
      </c>
      <c r="O25" s="22">
        <v>34.68</v>
      </c>
      <c r="P25" s="22">
        <v>33.64</v>
      </c>
    </row>
    <row r="26">
      <c r="A26" s="22">
        <v>4.0</v>
      </c>
      <c r="K26" s="22">
        <v>30.64</v>
      </c>
      <c r="L26" s="22">
        <v>31.08</v>
      </c>
      <c r="M26" s="22">
        <v>39.06</v>
      </c>
    </row>
    <row r="27">
      <c r="A27" s="104">
        <v>5.0</v>
      </c>
      <c r="B27" s="105"/>
      <c r="C27" s="105"/>
      <c r="D27" s="105"/>
      <c r="E27" s="104"/>
      <c r="F27" s="105"/>
      <c r="G27" s="105"/>
      <c r="H27" s="104"/>
      <c r="I27" s="104"/>
      <c r="J27" s="105"/>
      <c r="K27" s="104">
        <v>35.01</v>
      </c>
      <c r="L27" s="104">
        <v>36.09</v>
      </c>
      <c r="M27" s="104">
        <v>29.8</v>
      </c>
      <c r="N27" s="105"/>
      <c r="O27" s="105"/>
      <c r="P27" s="105"/>
      <c r="Q27" s="105"/>
      <c r="R27" s="105"/>
    </row>
    <row r="28">
      <c r="A28" s="22">
        <v>1.0</v>
      </c>
      <c r="E28" s="22">
        <v>24.59</v>
      </c>
      <c r="F28" s="22">
        <v>35.71</v>
      </c>
      <c r="I28" s="22">
        <v>40.2</v>
      </c>
      <c r="K28" s="22">
        <v>30.73</v>
      </c>
      <c r="L28" s="22">
        <v>37.36</v>
      </c>
      <c r="M28" s="22">
        <v>32.27</v>
      </c>
      <c r="N28" s="22">
        <v>28.64</v>
      </c>
      <c r="P28" s="22">
        <v>31.13</v>
      </c>
      <c r="R28" s="22">
        <v>38.81</v>
      </c>
    </row>
    <row r="29">
      <c r="A29" s="22">
        <v>2.0</v>
      </c>
      <c r="E29" s="22">
        <v>23.47</v>
      </c>
      <c r="F29" s="22">
        <v>29.77</v>
      </c>
      <c r="I29" s="22">
        <v>48.17</v>
      </c>
      <c r="K29" s="22">
        <v>30.66</v>
      </c>
      <c r="L29" s="22">
        <v>34.14</v>
      </c>
      <c r="M29" s="22">
        <v>35.91</v>
      </c>
      <c r="N29" s="22">
        <v>30.61</v>
      </c>
      <c r="P29" s="22">
        <v>27.21</v>
      </c>
      <c r="R29" s="22">
        <v>41.57</v>
      </c>
    </row>
    <row r="30">
      <c r="A30" s="22">
        <v>3.0</v>
      </c>
      <c r="E30" s="22">
        <v>32.81</v>
      </c>
      <c r="F30" s="22">
        <v>35.44</v>
      </c>
      <c r="I30" s="22">
        <v>33.38</v>
      </c>
      <c r="K30" s="22">
        <v>35.59</v>
      </c>
      <c r="L30" s="22">
        <v>36.84</v>
      </c>
      <c r="M30" s="22">
        <v>29.29</v>
      </c>
      <c r="N30" s="22">
        <v>34.83</v>
      </c>
      <c r="P30" s="22">
        <v>29.68</v>
      </c>
      <c r="R30" s="22">
        <v>34.83</v>
      </c>
    </row>
    <row r="31">
      <c r="A31" s="22">
        <v>4.0</v>
      </c>
      <c r="K31" s="22">
        <v>28.14</v>
      </c>
      <c r="L31" s="22">
        <v>37.85</v>
      </c>
      <c r="M31" s="22">
        <v>35.17</v>
      </c>
      <c r="N31" s="22">
        <v>26.85</v>
      </c>
      <c r="P31" s="22">
        <v>28.22</v>
      </c>
      <c r="R31" s="22">
        <v>43.73</v>
      </c>
    </row>
    <row r="32">
      <c r="A32" s="104">
        <v>5.0</v>
      </c>
      <c r="B32" s="105"/>
      <c r="C32" s="105"/>
      <c r="D32" s="105"/>
      <c r="E32" s="104"/>
      <c r="F32" s="105"/>
      <c r="G32" s="105"/>
      <c r="H32" s="104"/>
      <c r="I32" s="104"/>
      <c r="J32" s="105"/>
      <c r="K32" s="104">
        <v>32.65</v>
      </c>
      <c r="L32" s="104">
        <v>33.17</v>
      </c>
      <c r="M32" s="104">
        <v>36.5</v>
      </c>
      <c r="N32" s="105"/>
      <c r="O32" s="105"/>
      <c r="P32" s="105"/>
      <c r="Q32" s="105"/>
      <c r="R32" s="105"/>
    </row>
    <row r="33">
      <c r="A33" s="22" t="s">
        <v>235</v>
      </c>
      <c r="B33" s="106">
        <f t="shared" ref="B33:R33" si="1">IFERROR(AVERAGEIF(B3:B32, "&lt;&gt;"), 0)</f>
        <v>29.77625</v>
      </c>
      <c r="C33" s="106">
        <f t="shared" si="1"/>
        <v>33.490625</v>
      </c>
      <c r="D33" s="106">
        <f t="shared" si="1"/>
        <v>35.96375</v>
      </c>
      <c r="E33" s="106">
        <f t="shared" si="1"/>
        <v>31.21578947</v>
      </c>
      <c r="F33" s="106">
        <f t="shared" si="1"/>
        <v>33.10647059</v>
      </c>
      <c r="G33" s="106">
        <f t="shared" si="1"/>
        <v>33.26</v>
      </c>
      <c r="H33" s="106">
        <f t="shared" si="1"/>
        <v>34.304</v>
      </c>
      <c r="I33" s="106">
        <f t="shared" si="1"/>
        <v>37.75909091</v>
      </c>
      <c r="J33" s="106">
        <f t="shared" si="1"/>
        <v>33.272</v>
      </c>
      <c r="K33" s="106">
        <f t="shared" si="1"/>
        <v>31.35863636</v>
      </c>
      <c r="L33" s="106">
        <f t="shared" si="1"/>
        <v>34.83888889</v>
      </c>
      <c r="M33" s="106">
        <f t="shared" si="1"/>
        <v>34.63259259</v>
      </c>
      <c r="N33" s="106">
        <f t="shared" si="1"/>
        <v>32.18222222</v>
      </c>
      <c r="O33" s="106">
        <f t="shared" si="1"/>
        <v>36.89857143</v>
      </c>
      <c r="P33" s="106">
        <f t="shared" si="1"/>
        <v>31.09411765</v>
      </c>
      <c r="Q33" s="106">
        <f t="shared" si="1"/>
        <v>34.55625</v>
      </c>
      <c r="R33" s="106">
        <f t="shared" si="1"/>
        <v>39.735</v>
      </c>
    </row>
  </sheetData>
  <drawing r:id="rId1"/>
</worksheet>
</file>