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90" windowHeight="13110" tabRatio="993" activeTab="5"/>
  </bookViews>
  <sheets>
    <sheet name="2810" sheetId="1" r:id="rId1"/>
    <sheet name="2810力效" sheetId="2" r:id="rId2"/>
    <sheet name="电池校准" sheetId="3" r:id="rId3"/>
    <sheet name="天线" sheetId="4" r:id="rId4"/>
    <sheet name="2017" sheetId="5" r:id="rId5"/>
    <sheet name="2216" sheetId="6" r:id="rId6"/>
  </sheets>
  <calcPr calcId="144525"/>
</workbook>
</file>

<file path=xl/sharedStrings.xml><?xml version="1.0" encoding="utf-8"?>
<sst xmlns="http://schemas.openxmlformats.org/spreadsheetml/2006/main" count="93">
  <si>
    <t>机架</t>
  </si>
  <si>
    <t>电机</t>
  </si>
  <si>
    <t>浆</t>
  </si>
  <si>
    <t>电调</t>
  </si>
  <si>
    <t>图传+天线</t>
  </si>
  <si>
    <t>接收+天线</t>
  </si>
  <si>
    <t>飞控</t>
  </si>
  <si>
    <t>GPS</t>
  </si>
  <si>
    <t>OSD+BT+PW</t>
  </si>
  <si>
    <t>摄像机</t>
  </si>
  <si>
    <t>云台</t>
  </si>
  <si>
    <t>电池</t>
  </si>
  <si>
    <t>机体</t>
  </si>
  <si>
    <t>松下PF</t>
  </si>
  <si>
    <t>容量</t>
  </si>
  <si>
    <t>重量</t>
  </si>
  <si>
    <t>3p3s</t>
  </si>
  <si>
    <t>总量</t>
  </si>
  <si>
    <t>放电电流</t>
  </si>
  <si>
    <t>30A</t>
  </si>
  <si>
    <t>3s，1147</t>
  </si>
  <si>
    <t>14.8v-1245</t>
  </si>
  <si>
    <t>电流</t>
  </si>
  <si>
    <t>拉力</t>
  </si>
  <si>
    <t>功率</t>
  </si>
  <si>
    <t>力效</t>
  </si>
  <si>
    <t>总拉力</t>
  </si>
  <si>
    <t>总功率</t>
  </si>
  <si>
    <t>3s，1238</t>
  </si>
  <si>
    <t>wh</t>
  </si>
  <si>
    <t>电量</t>
  </si>
  <si>
    <t>时间</t>
  </si>
  <si>
    <t>空机</t>
  </si>
  <si>
    <t>单参数版本</t>
  </si>
  <si>
    <t>留空时间计算公式</t>
  </si>
  <si>
    <t>空机重</t>
  </si>
  <si>
    <t>电池重量</t>
  </si>
  <si>
    <t>留空时间100%</t>
  </si>
  <si>
    <t>留空时间80%</t>
  </si>
  <si>
    <t>总重量</t>
  </si>
  <si>
    <t>双参数版本</t>
  </si>
  <si>
    <t>电池重</t>
  </si>
  <si>
    <t>电池容量</t>
  </si>
  <si>
    <t>留空时间</t>
  </si>
  <si>
    <t>18650电池</t>
  </si>
  <si>
    <t>总电压</t>
  </si>
  <si>
    <t>内阻</t>
  </si>
  <si>
    <t>压降（15A）</t>
  </si>
  <si>
    <t>损耗</t>
  </si>
  <si>
    <t>不含浆，电池，云台，相机</t>
  </si>
  <si>
    <t>30Q</t>
  </si>
  <si>
    <t>2c4s</t>
  </si>
  <si>
    <t>HG2</t>
  </si>
  <si>
    <t>3c3s</t>
  </si>
  <si>
    <t>相机</t>
  </si>
  <si>
    <t>单内阻</t>
  </si>
  <si>
    <t>17分钟电池</t>
  </si>
  <si>
    <t>飞控显示</t>
  </si>
  <si>
    <t>充电</t>
  </si>
  <si>
    <t>飞控I</t>
  </si>
  <si>
    <t>飞控I修正</t>
  </si>
  <si>
    <t>实际</t>
  </si>
  <si>
    <t>测量</t>
  </si>
  <si>
    <t>I以前</t>
  </si>
  <si>
    <t>I计算</t>
  </si>
  <si>
    <t>r2</t>
  </si>
  <si>
    <t>r1</t>
  </si>
  <si>
    <t>v</t>
  </si>
  <si>
    <t>光速</t>
  </si>
  <si>
    <t>最大</t>
  </si>
  <si>
    <t>最小</t>
  </si>
  <si>
    <t>平均</t>
  </si>
  <si>
    <t>波长</t>
  </si>
  <si>
    <t>天线</t>
  </si>
  <si>
    <t>空机+桨</t>
  </si>
  <si>
    <t>桨</t>
  </si>
  <si>
    <t>云台+发射</t>
  </si>
  <si>
    <t>其他</t>
  </si>
  <si>
    <t>5200-4s</t>
  </si>
  <si>
    <t>800kv</t>
  </si>
  <si>
    <t>kv800</t>
  </si>
  <si>
    <t>400克拉力</t>
  </si>
  <si>
    <t>g</t>
  </si>
  <si>
    <t>A</t>
  </si>
  <si>
    <t>电磁功率</t>
  </si>
  <si>
    <t>装机重量</t>
  </si>
  <si>
    <t>电池功率</t>
  </si>
  <si>
    <t>计算结果</t>
  </si>
  <si>
    <t>电源模块</t>
  </si>
  <si>
    <t>悬停功率</t>
  </si>
  <si>
    <t>悬停时间</t>
  </si>
  <si>
    <t>现有配置</t>
  </si>
  <si>
    <t>2810电机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</si>
</sst>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rgb="FF000000"/>
      <name val="Droid Sans Fallback"/>
      <charset val="134"/>
    </font>
    <font>
      <sz val="12"/>
      <color rgb="FF5B9BD5"/>
      <name val="Droid Sans Fallback"/>
      <charset val="134"/>
    </font>
    <font>
      <sz val="12"/>
      <color rgb="FF70AD47"/>
      <name val="Droid Sans Fallback"/>
      <charset val="134"/>
    </font>
    <font>
      <sz val="12"/>
      <color rgb="FFED7D31"/>
      <name val="Droid Sans Fallback"/>
      <charset val="134"/>
    </font>
    <font>
      <sz val="12"/>
      <color rgb="FFC00000"/>
      <name val="Droid Sans Fallback"/>
      <charset val="134"/>
    </font>
    <font>
      <sz val="12"/>
      <color rgb="FFFF0000"/>
      <name val="Droid Sans Fallback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32" borderId="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31" borderId="9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26" applyFont="1" applyBorder="1">
      <alignment vertical="center"/>
    </xf>
    <xf numFmtId="0" fontId="2" fillId="0" borderId="1" xfId="26" applyFont="1" applyBorder="1">
      <alignment vertical="center"/>
    </xf>
    <xf numFmtId="0" fontId="3" fillId="0" borderId="1" xfId="26" applyFont="1" applyBorder="1">
      <alignment vertical="center"/>
    </xf>
    <xf numFmtId="0" fontId="4" fillId="0" borderId="1" xfId="26" applyFont="1" applyBorder="1">
      <alignment vertical="center"/>
    </xf>
    <xf numFmtId="0" fontId="0" fillId="0" borderId="1" xfId="26" applyFont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58" fontId="0" fillId="0" borderId="0" xfId="0" applyNumberFormat="1" applyFont="1">
      <alignment vertical="center"/>
    </xf>
    <xf numFmtId="58" fontId="0" fillId="0" borderId="1" xfId="0" applyNumberFormat="1" applyBorder="1">
      <alignment vertical="center"/>
    </xf>
    <xf numFmtId="0" fontId="0" fillId="0" borderId="0" xfId="26" applyFont="1">
      <alignment vertical="center"/>
    </xf>
    <xf numFmtId="0" fontId="5" fillId="0" borderId="0" xfId="0" applyFont="1">
      <alignment vertical="center"/>
    </xf>
    <xf numFmtId="0" fontId="6" fillId="0" borderId="1" xfId="26" applyFont="1" applyBorder="1">
      <alignment vertical="center"/>
    </xf>
    <xf numFmtId="0" fontId="5" fillId="0" borderId="1" xfId="26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8B8B8B"/>
      <rgbColor rgb="00003366"/>
      <rgbColor rgb="0070AD47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zh-CN" alt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功率</a:t>
            </a:r>
            <a:r>
              <a:rPr lang="en-US" altLang="zh-CN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=</a:t>
            </a:r>
            <a:r>
              <a:rPr lang="zh-CN" alt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拉力</a:t>
            </a:r>
            <a:r>
              <a:rPr lang="en-US" altLang="zh-CN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(1238)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"拉力-功率"</c:f>
              <c:strCache>
                <c:ptCount val="1"/>
                <c:pt idx="0">
                  <c:v>拉力-功率</c:v>
                </c:pt>
              </c:strCache>
            </c:strRef>
          </c:tx>
          <c:spPr>
            <a:noFill/>
            <a:ln w="28440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trendline>
            <c:spPr>
              <a:noFill/>
              <a:ln w="9360" cap="rnd" cmpd="sng" algn="ctr">
                <a:solidFill>
                  <a:srgbClr val="000000"/>
                </a:solidFill>
                <a:prstDash val="solid"/>
                <a:round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'2810力效'!$F$19:$F$25</c:f>
              <c:numCache>
                <c:formatCode>General</c:formatCode>
                <c:ptCount val="7"/>
                <c:pt idx="0" c:formatCode="General">
                  <c:v>680</c:v>
                </c:pt>
                <c:pt idx="1" c:formatCode="General">
                  <c:v>1520</c:v>
                </c:pt>
                <c:pt idx="2" c:formatCode="General">
                  <c:v>2060</c:v>
                </c:pt>
                <c:pt idx="3" c:formatCode="General">
                  <c:v>2580</c:v>
                </c:pt>
                <c:pt idx="4" c:formatCode="General">
                  <c:v>3040</c:v>
                </c:pt>
                <c:pt idx="5" c:formatCode="General">
                  <c:v>3500</c:v>
                </c:pt>
                <c:pt idx="6" c:formatCode="General">
                  <c:v>3920</c:v>
                </c:pt>
              </c:numCache>
            </c:numRef>
          </c:xVal>
          <c:yVal>
            <c:numRef>
              <c:f>'2810力效'!$G$19:$G$25</c:f>
              <c:numCache>
                <c:formatCode>General</c:formatCode>
                <c:ptCount val="7"/>
                <c:pt idx="0" c:formatCode="General">
                  <c:v>44.4</c:v>
                </c:pt>
                <c:pt idx="1" c:formatCode="General">
                  <c:v>133.2</c:v>
                </c:pt>
                <c:pt idx="2" c:formatCode="General">
                  <c:v>222</c:v>
                </c:pt>
                <c:pt idx="3" c:formatCode="General">
                  <c:v>310.8</c:v>
                </c:pt>
                <c:pt idx="4" c:formatCode="General">
                  <c:v>399.6</c:v>
                </c:pt>
                <c:pt idx="5" c:formatCode="General">
                  <c:v>488.4</c:v>
                </c:pt>
                <c:pt idx="6" c:formatCode="General">
                  <c:v>577.2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8282112"/>
        <c:axId val="138283264"/>
      </c:scatterChart>
      <c:valAx>
        <c:axId val="13828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480">
            <a:solidFill>
              <a:srgbClr val="808080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8283264"/>
        <c:crosses val="autoZero"/>
        <c:crossBetween val="midCat"/>
      </c:valAx>
      <c:valAx>
        <c:axId val="138283264"/>
        <c:scaling>
          <c:orientation val="minMax"/>
        </c:scaling>
        <c:delete val="0"/>
        <c:axPos val="l"/>
        <c:majorGridlines>
          <c:spPr>
            <a:noFill/>
            <a:ln w="6480">
              <a:solidFill>
                <a:srgbClr val="808080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6480">
            <a:solidFill>
              <a:srgbClr val="808080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8282112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8B8B8B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19080</xdr:colOff>
      <xdr:row>26</xdr:row>
      <xdr:rowOff>128520</xdr:rowOff>
    </xdr:from>
    <xdr:to>
      <xdr:col>8</xdr:col>
      <xdr:colOff>609120</xdr:colOff>
      <xdr:row>52</xdr:row>
      <xdr:rowOff>37800</xdr:rowOff>
    </xdr:to>
    <xdr:graphicFrame>
      <xdr:nvGraphicFramePr>
        <xdr:cNvPr id="2" name="图表 3"/>
        <xdr:cNvGraphicFramePr/>
      </xdr:nvGraphicFramePr>
      <xdr:xfrm>
        <a:off x="742950" y="4338320"/>
        <a:ext cx="7958455" cy="411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595746</xdr:colOff>
      <xdr:row>1</xdr:row>
      <xdr:rowOff>37417</xdr:rowOff>
    </xdr:from>
    <xdr:to>
      <xdr:col>16</xdr:col>
      <xdr:colOff>105428</xdr:colOff>
      <xdr:row>14</xdr:row>
      <xdr:rowOff>463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00390" y="198755"/>
          <a:ext cx="4577080" cy="2068195"/>
        </a:xfrm>
        <a:prstGeom prst="rect">
          <a:avLst/>
        </a:prstGeom>
      </xdr:spPr>
    </xdr:pic>
    <xdr:clientData/>
  </xdr:twoCellAnchor>
  <xdr:twoCellAnchor editAs="oneCell">
    <xdr:from>
      <xdr:col>11</xdr:col>
      <xdr:colOff>249381</xdr:colOff>
      <xdr:row>16</xdr:row>
      <xdr:rowOff>103908</xdr:rowOff>
    </xdr:from>
    <xdr:to>
      <xdr:col>15</xdr:col>
      <xdr:colOff>22399</xdr:colOff>
      <xdr:row>20</xdr:row>
      <xdr:rowOff>153859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01480" y="2694305"/>
          <a:ext cx="2668905" cy="697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1363B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R39"/>
  <sheetViews>
    <sheetView zoomScale="115" zoomScaleNormal="115" workbookViewId="0">
      <selection activeCell="J29" sqref="J29"/>
    </sheetView>
  </sheetViews>
  <sheetFormatPr defaultColWidth="9" defaultRowHeight="12.75"/>
  <cols>
    <col min="1" max="1" width="9.5"/>
    <col min="2" max="2" width="13.4"/>
    <col min="3" max="3" width="9.5"/>
    <col min="4" max="7" width="13.2"/>
    <col min="8" max="8" width="9.5"/>
    <col min="9" max="9" width="13.8"/>
    <col min="10" max="1025" width="9.5"/>
  </cols>
  <sheetData>
    <row r="3" spans="2:5">
      <c r="B3" s="6"/>
      <c r="C3" s="6"/>
      <c r="D3" s="6"/>
      <c r="E3" s="6"/>
    </row>
    <row r="4" spans="2:5">
      <c r="B4" s="6"/>
      <c r="C4" s="6"/>
      <c r="D4" s="6"/>
      <c r="E4" s="6"/>
    </row>
    <row r="5" spans="2:5">
      <c r="B5" s="6"/>
      <c r="C5" s="6"/>
      <c r="D5" s="6"/>
      <c r="E5" s="6"/>
    </row>
    <row r="6" spans="2:5">
      <c r="B6" s="6"/>
      <c r="C6" s="6"/>
      <c r="D6" s="6"/>
      <c r="E6" s="6"/>
    </row>
    <row r="7" spans="2:5">
      <c r="B7" s="6"/>
      <c r="C7" s="6"/>
      <c r="D7" s="6"/>
      <c r="E7" s="6"/>
    </row>
    <row r="8" spans="2:5">
      <c r="B8" s="6"/>
      <c r="C8" s="6"/>
      <c r="D8" s="6"/>
      <c r="E8" s="6"/>
    </row>
    <row r="9" spans="2:18">
      <c r="B9" s="6"/>
      <c r="C9" s="6"/>
      <c r="D9" s="6"/>
      <c r="E9" s="6"/>
      <c r="O9" s="6"/>
      <c r="P9" s="6"/>
      <c r="Q9" s="6"/>
      <c r="R9" s="6"/>
    </row>
    <row r="10" spans="2:18">
      <c r="B10" s="6"/>
      <c r="C10" s="6"/>
      <c r="D10" s="6"/>
      <c r="E10" s="6"/>
      <c r="O10" s="6"/>
      <c r="P10" s="6"/>
      <c r="Q10" s="6"/>
      <c r="R10" s="6"/>
    </row>
    <row r="11" spans="2:18">
      <c r="B11" s="6"/>
      <c r="C11" s="6"/>
      <c r="D11" s="6"/>
      <c r="E11" s="6"/>
      <c r="O11" s="6"/>
      <c r="P11" s="6"/>
      <c r="Q11" s="6"/>
      <c r="R11" s="6"/>
    </row>
    <row r="12" spans="15:18">
      <c r="O12" s="6"/>
      <c r="P12" s="6"/>
      <c r="Q12" s="6"/>
      <c r="R12" s="6"/>
    </row>
    <row r="13" spans="15:18">
      <c r="O13" s="6"/>
      <c r="P13" s="6"/>
      <c r="Q13" s="6"/>
      <c r="R13" s="6"/>
    </row>
    <row r="14" ht="15" spans="2:18">
      <c r="B14" s="6"/>
      <c r="C14" s="14"/>
      <c r="D14" s="6"/>
      <c r="E14" s="6"/>
      <c r="O14" s="6"/>
      <c r="P14" s="6"/>
      <c r="Q14" s="6"/>
      <c r="R14" s="6"/>
    </row>
    <row r="15" spans="2:18">
      <c r="B15" s="6"/>
      <c r="C15" s="6"/>
      <c r="D15" s="6"/>
      <c r="E15" s="6"/>
      <c r="O15" s="6"/>
      <c r="P15" s="6"/>
      <c r="Q15" s="6"/>
      <c r="R15" s="6"/>
    </row>
    <row r="16" spans="9:18">
      <c r="I16" s="2" t="s">
        <v>0</v>
      </c>
      <c r="J16" s="2">
        <v>430</v>
      </c>
      <c r="K16" s="2">
        <v>1</v>
      </c>
      <c r="L16" s="2">
        <f t="shared" ref="L16:L27" si="0">J16*K16</f>
        <v>430</v>
      </c>
      <c r="O16" s="6"/>
      <c r="P16" s="6"/>
      <c r="Q16" s="6"/>
      <c r="R16" s="6"/>
    </row>
    <row r="17" ht="15" spans="2:18">
      <c r="B17" s="14"/>
      <c r="C17" s="6"/>
      <c r="D17" s="6"/>
      <c r="E17" s="6"/>
      <c r="F17" s="6"/>
      <c r="I17" s="2" t="s">
        <v>1</v>
      </c>
      <c r="J17" s="2">
        <v>86.6</v>
      </c>
      <c r="K17" s="2">
        <v>4</v>
      </c>
      <c r="L17" s="2">
        <f t="shared" si="0"/>
        <v>346.4</v>
      </c>
      <c r="O17" s="6"/>
      <c r="P17" s="6"/>
      <c r="Q17" s="6"/>
      <c r="R17" s="6"/>
    </row>
    <row r="18" spans="2:18">
      <c r="B18" s="6"/>
      <c r="C18" s="6"/>
      <c r="D18" s="6"/>
      <c r="E18" s="6"/>
      <c r="F18" s="6"/>
      <c r="I18" s="2" t="s">
        <v>2</v>
      </c>
      <c r="J18" s="2">
        <v>12</v>
      </c>
      <c r="K18" s="2">
        <v>4</v>
      </c>
      <c r="L18" s="2">
        <f t="shared" si="0"/>
        <v>48</v>
      </c>
      <c r="O18" s="6"/>
      <c r="P18" s="6"/>
      <c r="Q18" s="6"/>
      <c r="R18" s="6"/>
    </row>
    <row r="19" ht="15" spans="2:18">
      <c r="B19" s="14"/>
      <c r="C19" s="6"/>
      <c r="D19" s="14"/>
      <c r="E19" s="14"/>
      <c r="F19" s="6"/>
      <c r="I19" s="2" t="s">
        <v>3</v>
      </c>
      <c r="J19" s="2">
        <v>15.3</v>
      </c>
      <c r="K19" s="2">
        <v>4</v>
      </c>
      <c r="L19" s="2">
        <f t="shared" si="0"/>
        <v>61.2</v>
      </c>
      <c r="O19" s="6"/>
      <c r="P19" s="6"/>
      <c r="Q19" s="6"/>
      <c r="R19" s="6"/>
    </row>
    <row r="20" spans="2:18">
      <c r="B20" s="6"/>
      <c r="C20" s="6"/>
      <c r="D20" s="6"/>
      <c r="E20" s="6"/>
      <c r="F20" s="6"/>
      <c r="I20" s="3" t="s">
        <v>4</v>
      </c>
      <c r="J20" s="3">
        <f>18</f>
        <v>18</v>
      </c>
      <c r="K20" s="3">
        <v>1</v>
      </c>
      <c r="L20" s="3">
        <f t="shared" si="0"/>
        <v>18</v>
      </c>
      <c r="O20" s="6"/>
      <c r="P20" s="6"/>
      <c r="Q20" s="6"/>
      <c r="R20" s="6"/>
    </row>
    <row r="21" spans="2:12">
      <c r="B21" s="6"/>
      <c r="C21" s="6"/>
      <c r="D21" s="6"/>
      <c r="E21" s="6"/>
      <c r="F21" s="6"/>
      <c r="I21" s="3" t="s">
        <v>5</v>
      </c>
      <c r="J21" s="3">
        <v>21.3</v>
      </c>
      <c r="K21" s="3">
        <v>1</v>
      </c>
      <c r="L21" s="3">
        <f t="shared" si="0"/>
        <v>21.3</v>
      </c>
    </row>
    <row r="22" spans="2:12">
      <c r="B22" s="6"/>
      <c r="C22" s="6"/>
      <c r="D22" s="6"/>
      <c r="E22" s="6"/>
      <c r="F22" s="6"/>
      <c r="I22" s="3" t="s">
        <v>6</v>
      </c>
      <c r="J22" s="3">
        <v>34</v>
      </c>
      <c r="K22" s="3">
        <v>1</v>
      </c>
      <c r="L22" s="3">
        <f t="shared" si="0"/>
        <v>34</v>
      </c>
    </row>
    <row r="23" spans="2:12">
      <c r="B23" s="6"/>
      <c r="C23" s="6"/>
      <c r="D23" s="6"/>
      <c r="E23" s="6"/>
      <c r="F23" s="6"/>
      <c r="I23" s="3" t="s">
        <v>7</v>
      </c>
      <c r="J23" s="3">
        <v>15</v>
      </c>
      <c r="K23" s="3">
        <v>1</v>
      </c>
      <c r="L23" s="3">
        <f t="shared" si="0"/>
        <v>15</v>
      </c>
    </row>
    <row r="24" spans="9:12">
      <c r="I24" s="3" t="s">
        <v>8</v>
      </c>
      <c r="J24" s="3">
        <v>35</v>
      </c>
      <c r="K24" s="3">
        <v>1</v>
      </c>
      <c r="L24" s="3">
        <f t="shared" si="0"/>
        <v>35</v>
      </c>
    </row>
    <row r="25" spans="2:12">
      <c r="B25" s="6"/>
      <c r="C25" s="6"/>
      <c r="D25" s="6"/>
      <c r="E25" s="6"/>
      <c r="F25" s="6"/>
      <c r="I25" s="4" t="s">
        <v>9</v>
      </c>
      <c r="J25" s="4">
        <v>60</v>
      </c>
      <c r="K25" s="4">
        <v>1</v>
      </c>
      <c r="L25" s="4">
        <f t="shared" si="0"/>
        <v>60</v>
      </c>
    </row>
    <row r="26" spans="2:12">
      <c r="B26" s="6"/>
      <c r="C26" s="6"/>
      <c r="D26" s="6"/>
      <c r="E26" s="6"/>
      <c r="F26" s="15"/>
      <c r="I26" s="4" t="s">
        <v>10</v>
      </c>
      <c r="J26" s="4">
        <v>161.5</v>
      </c>
      <c r="K26" s="4">
        <v>1</v>
      </c>
      <c r="L26" s="4">
        <f t="shared" si="0"/>
        <v>161.5</v>
      </c>
    </row>
    <row r="27" spans="2:15">
      <c r="B27" s="6"/>
      <c r="C27" s="6"/>
      <c r="D27" s="6"/>
      <c r="E27" s="6"/>
      <c r="F27" s="15"/>
      <c r="I27" s="5" t="s">
        <v>11</v>
      </c>
      <c r="J27" s="5">
        <v>413</v>
      </c>
      <c r="K27" s="5">
        <v>1</v>
      </c>
      <c r="L27" s="5">
        <f t="shared" si="0"/>
        <v>413</v>
      </c>
      <c r="N27" t="s">
        <v>12</v>
      </c>
      <c r="O27">
        <f>SUM(L16:L26)</f>
        <v>1230.4</v>
      </c>
    </row>
    <row r="28" spans="2:12">
      <c r="B28" s="6"/>
      <c r="C28" s="6"/>
      <c r="D28" s="6"/>
      <c r="E28" s="6"/>
      <c r="F28" s="15"/>
      <c r="I28" s="6"/>
      <c r="J28" s="6"/>
      <c r="K28" s="6"/>
      <c r="L28" s="6">
        <f>SUM(L16:L27)</f>
        <v>1643.4</v>
      </c>
    </row>
    <row r="29" spans="2:6">
      <c r="B29" s="6"/>
      <c r="C29" s="6"/>
      <c r="D29" s="6"/>
      <c r="E29" s="6"/>
      <c r="F29" s="15"/>
    </row>
    <row r="31" spans="2:10">
      <c r="B31" s="6"/>
      <c r="C31" s="6"/>
      <c r="D31" s="6"/>
      <c r="E31" s="6"/>
      <c r="F31" s="6"/>
      <c r="I31" s="6" t="s">
        <v>13</v>
      </c>
      <c r="J31" s="6"/>
    </row>
    <row r="32" spans="2:10">
      <c r="B32" s="6"/>
      <c r="C32" s="6"/>
      <c r="D32" s="6"/>
      <c r="E32" s="6"/>
      <c r="F32" s="15"/>
      <c r="I32" s="6" t="s">
        <v>14</v>
      </c>
      <c r="J32" s="6">
        <v>2900</v>
      </c>
    </row>
    <row r="33" spans="2:10">
      <c r="B33" s="6"/>
      <c r="C33" s="6"/>
      <c r="D33" s="6"/>
      <c r="E33" s="6"/>
      <c r="F33" s="15"/>
      <c r="I33" s="6" t="s">
        <v>15</v>
      </c>
      <c r="J33" s="6">
        <v>45</v>
      </c>
    </row>
    <row r="34" spans="2:10">
      <c r="B34" s="6"/>
      <c r="C34" s="6"/>
      <c r="D34" s="6"/>
      <c r="E34" s="6"/>
      <c r="F34" s="15"/>
      <c r="I34" s="6"/>
      <c r="J34" s="6"/>
    </row>
    <row r="35" spans="2:16">
      <c r="B35" s="6"/>
      <c r="C35" s="6"/>
      <c r="D35" s="6"/>
      <c r="E35" s="6"/>
      <c r="F35" s="15"/>
      <c r="I35" s="6" t="s">
        <v>16</v>
      </c>
      <c r="J35" s="6"/>
      <c r="M35" s="3"/>
      <c r="N35" s="3"/>
      <c r="O35" s="3"/>
      <c r="P35" s="3"/>
    </row>
    <row r="36" spans="9:16">
      <c r="I36" s="6" t="s">
        <v>14</v>
      </c>
      <c r="J36" s="6">
        <f>J32*3</f>
        <v>8700</v>
      </c>
      <c r="M36" s="4"/>
      <c r="N36" s="4"/>
      <c r="O36" s="4"/>
      <c r="P36" s="4"/>
    </row>
    <row r="37" spans="9:16">
      <c r="I37" s="6" t="s">
        <v>17</v>
      </c>
      <c r="J37" s="6">
        <f>J33*9</f>
        <v>405</v>
      </c>
      <c r="M37" s="4"/>
      <c r="N37" s="4"/>
      <c r="O37" s="4"/>
      <c r="P37" s="4"/>
    </row>
    <row r="38" spans="9:16">
      <c r="I38" s="6" t="s">
        <v>18</v>
      </c>
      <c r="J38" s="6" t="s">
        <v>19</v>
      </c>
      <c r="M38" s="5"/>
      <c r="N38" s="5"/>
      <c r="O38" s="5"/>
      <c r="P38" s="5"/>
    </row>
    <row r="39" spans="13:16">
      <c r="M39" s="6"/>
      <c r="N39" s="6"/>
      <c r="O39" s="6"/>
      <c r="P39" s="6"/>
    </row>
  </sheetData>
  <pageMargins left="0.75" right="0.75" top="1" bottom="1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V65"/>
  <sheetViews>
    <sheetView topLeftCell="C29" workbookViewId="0">
      <selection activeCell="L69" sqref="L69"/>
    </sheetView>
  </sheetViews>
  <sheetFormatPr defaultColWidth="9" defaultRowHeight="12.75"/>
  <cols>
    <col min="1" max="2" width="9.5"/>
    <col min="3" max="3" width="25.7"/>
    <col min="4" max="4" width="9.5"/>
    <col min="5" max="5" width="13.2"/>
    <col min="6" max="6" width="13.4"/>
    <col min="7" max="7" width="12"/>
    <col min="8" max="8" width="13.4"/>
    <col min="9" max="10" width="9.5"/>
    <col min="11" max="11" width="11.8"/>
    <col min="12" max="12" width="13.4"/>
    <col min="13" max="13" width="12.4"/>
    <col min="14" max="14" width="13.2"/>
    <col min="15" max="15" width="12.625"/>
    <col min="16" max="16" width="13.2"/>
    <col min="17" max="18" width="9.5"/>
    <col min="19" max="19" width="12.625"/>
    <col min="20" max="21" width="9.5"/>
    <col min="22" max="22" width="12.625"/>
    <col min="23" max="1025" width="9.5"/>
  </cols>
  <sheetData>
    <row r="5" spans="2:19">
      <c r="B5" s="6" t="s">
        <v>20</v>
      </c>
      <c r="C5" s="6" t="s">
        <v>21</v>
      </c>
      <c r="D5" s="6"/>
      <c r="E5" s="6"/>
      <c r="F5" s="7"/>
      <c r="G5" s="7"/>
      <c r="Q5" s="7"/>
      <c r="R5" s="7"/>
      <c r="S5" s="7"/>
    </row>
    <row r="6" spans="2:19">
      <c r="B6" s="6" t="s">
        <v>22</v>
      </c>
      <c r="C6" s="6" t="s">
        <v>23</v>
      </c>
      <c r="D6" s="6" t="s">
        <v>24</v>
      </c>
      <c r="E6" s="6" t="s">
        <v>25</v>
      </c>
      <c r="F6" s="6" t="s">
        <v>26</v>
      </c>
      <c r="G6" s="6" t="s">
        <v>27</v>
      </c>
      <c r="Q6" s="7"/>
      <c r="R6" s="7"/>
      <c r="S6" s="7"/>
    </row>
    <row r="7" spans="2:19">
      <c r="B7" s="6">
        <v>1</v>
      </c>
      <c r="C7" s="6">
        <v>210</v>
      </c>
      <c r="D7" s="6">
        <v>14.8</v>
      </c>
      <c r="E7" s="6">
        <f>C7/D7</f>
        <v>14.1891891891892</v>
      </c>
      <c r="F7" s="7">
        <f>C7*4</f>
        <v>840</v>
      </c>
      <c r="G7" s="7">
        <f>D7*4</f>
        <v>59.2</v>
      </c>
      <c r="Q7" s="7"/>
      <c r="R7" s="7"/>
      <c r="S7" s="7"/>
    </row>
    <row r="8" spans="2:19">
      <c r="B8" s="6">
        <v>3</v>
      </c>
      <c r="C8" s="6">
        <v>430</v>
      </c>
      <c r="D8" s="6">
        <v>44.4</v>
      </c>
      <c r="E8" s="6">
        <f t="shared" ref="E8:E16" si="0">C8/D8</f>
        <v>9.68468468468468</v>
      </c>
      <c r="F8" s="7">
        <f t="shared" ref="F8:F16" si="1">C8*4</f>
        <v>1720</v>
      </c>
      <c r="G8" s="7">
        <f>D8*4</f>
        <v>177.6</v>
      </c>
      <c r="Q8" s="7"/>
      <c r="R8" s="7"/>
      <c r="S8" s="7"/>
    </row>
    <row r="9" spans="2:7">
      <c r="B9" s="6">
        <v>5</v>
      </c>
      <c r="C9" s="6">
        <v>615</v>
      </c>
      <c r="D9" s="6">
        <v>74</v>
      </c>
      <c r="E9" s="6">
        <f t="shared" si="0"/>
        <v>8.31081081081081</v>
      </c>
      <c r="F9" s="7">
        <f t="shared" si="1"/>
        <v>2460</v>
      </c>
      <c r="G9" s="7">
        <f t="shared" ref="G9:G16" si="2">D9*4</f>
        <v>296</v>
      </c>
    </row>
    <row r="10" spans="2:7">
      <c r="B10" s="6">
        <v>7</v>
      </c>
      <c r="C10" s="6">
        <v>810</v>
      </c>
      <c r="D10" s="6">
        <v>103.6</v>
      </c>
      <c r="E10" s="6">
        <f t="shared" si="0"/>
        <v>7.81853281853282</v>
      </c>
      <c r="F10" s="7">
        <f t="shared" si="1"/>
        <v>3240</v>
      </c>
      <c r="G10" s="7">
        <f t="shared" si="2"/>
        <v>414.4</v>
      </c>
    </row>
    <row r="11" spans="2:7">
      <c r="B11" s="6">
        <v>9</v>
      </c>
      <c r="C11" s="6">
        <v>965</v>
      </c>
      <c r="D11" s="6">
        <v>133.2</v>
      </c>
      <c r="E11" s="6">
        <f t="shared" si="0"/>
        <v>7.24474474474475</v>
      </c>
      <c r="F11" s="7">
        <f t="shared" si="1"/>
        <v>3860</v>
      </c>
      <c r="G11" s="7">
        <f t="shared" si="2"/>
        <v>532.8</v>
      </c>
    </row>
    <row r="12" spans="2:7">
      <c r="B12" s="6">
        <v>11</v>
      </c>
      <c r="C12" s="6">
        <v>1120</v>
      </c>
      <c r="D12" s="6">
        <v>162.8</v>
      </c>
      <c r="E12" s="6">
        <f t="shared" si="0"/>
        <v>6.87960687960688</v>
      </c>
      <c r="F12" s="7">
        <f t="shared" si="1"/>
        <v>4480</v>
      </c>
      <c r="G12" s="7">
        <f t="shared" si="2"/>
        <v>651.2</v>
      </c>
    </row>
    <row r="13" spans="2:7">
      <c r="B13" s="12"/>
      <c r="C13" s="12">
        <v>1250</v>
      </c>
      <c r="D13">
        <v>192.4</v>
      </c>
      <c r="E13" s="6">
        <f t="shared" si="0"/>
        <v>6.4968814968815</v>
      </c>
      <c r="F13" s="7">
        <f t="shared" si="1"/>
        <v>5000</v>
      </c>
      <c r="G13" s="7">
        <f t="shared" si="2"/>
        <v>769.6</v>
      </c>
    </row>
    <row r="14" spans="3:7">
      <c r="C14">
        <v>1340</v>
      </c>
      <c r="D14">
        <v>222</v>
      </c>
      <c r="E14" s="6">
        <f t="shared" si="0"/>
        <v>6.03603603603604</v>
      </c>
      <c r="F14" s="7">
        <f t="shared" si="1"/>
        <v>5360</v>
      </c>
      <c r="G14" s="7">
        <f t="shared" si="2"/>
        <v>888</v>
      </c>
    </row>
    <row r="15" spans="3:7">
      <c r="C15">
        <v>1420</v>
      </c>
      <c r="D15">
        <v>251.6</v>
      </c>
      <c r="E15" s="6">
        <f t="shared" si="0"/>
        <v>5.64387917329094</v>
      </c>
      <c r="F15" s="7">
        <f t="shared" si="1"/>
        <v>5680</v>
      </c>
      <c r="G15" s="7">
        <f t="shared" si="2"/>
        <v>1006.4</v>
      </c>
    </row>
    <row r="16" spans="3:7">
      <c r="C16">
        <v>1525</v>
      </c>
      <c r="D16">
        <v>288.6</v>
      </c>
      <c r="E16" s="6">
        <f t="shared" si="0"/>
        <v>5.28413028413028</v>
      </c>
      <c r="F16" s="7">
        <f t="shared" si="1"/>
        <v>6100</v>
      </c>
      <c r="G16" s="7">
        <f t="shared" si="2"/>
        <v>1154.4</v>
      </c>
    </row>
    <row r="17" spans="2:7">
      <c r="B17" s="6" t="s">
        <v>28</v>
      </c>
      <c r="C17" s="6"/>
      <c r="D17" s="6"/>
      <c r="E17" s="6"/>
      <c r="F17" s="7"/>
      <c r="G17" s="7"/>
    </row>
    <row r="18" spans="2:7">
      <c r="B18" s="6" t="s">
        <v>22</v>
      </c>
      <c r="C18" s="6" t="s">
        <v>23</v>
      </c>
      <c r="D18" s="6" t="s">
        <v>24</v>
      </c>
      <c r="E18" s="6" t="s">
        <v>25</v>
      </c>
      <c r="F18" s="6" t="s">
        <v>26</v>
      </c>
      <c r="G18" s="6" t="s">
        <v>27</v>
      </c>
    </row>
    <row r="19" spans="2:7">
      <c r="B19" s="6">
        <v>1</v>
      </c>
      <c r="C19" s="6">
        <v>170</v>
      </c>
      <c r="D19" s="6">
        <v>11.1</v>
      </c>
      <c r="E19" s="6">
        <f t="shared" ref="E19:E25" si="3">C19/D19</f>
        <v>15.3153153153153</v>
      </c>
      <c r="F19" s="7">
        <f t="shared" ref="F19:G25" si="4">C19*4</f>
        <v>680</v>
      </c>
      <c r="G19" s="7">
        <f t="shared" si="4"/>
        <v>44.4</v>
      </c>
    </row>
    <row r="20" spans="2:7">
      <c r="B20" s="6">
        <v>3</v>
      </c>
      <c r="C20" s="6">
        <v>380</v>
      </c>
      <c r="D20" s="6">
        <v>33.3</v>
      </c>
      <c r="E20" s="6">
        <f t="shared" si="3"/>
        <v>11.4114114114114</v>
      </c>
      <c r="F20" s="7">
        <f t="shared" si="4"/>
        <v>1520</v>
      </c>
      <c r="G20" s="7">
        <f t="shared" si="4"/>
        <v>133.2</v>
      </c>
    </row>
    <row r="21" spans="2:7">
      <c r="B21" s="6">
        <v>5</v>
      </c>
      <c r="C21" s="6">
        <v>515</v>
      </c>
      <c r="D21" s="6">
        <v>55.5</v>
      </c>
      <c r="E21" s="6">
        <f t="shared" si="3"/>
        <v>9.27927927927928</v>
      </c>
      <c r="F21" s="7">
        <f t="shared" si="4"/>
        <v>2060</v>
      </c>
      <c r="G21" s="7">
        <f t="shared" si="4"/>
        <v>222</v>
      </c>
    </row>
    <row r="22" spans="2:14">
      <c r="B22" s="6">
        <v>7</v>
      </c>
      <c r="C22" s="6">
        <v>645</v>
      </c>
      <c r="D22" s="6">
        <v>77.7</v>
      </c>
      <c r="E22" s="6">
        <f t="shared" si="3"/>
        <v>8.3011583011583</v>
      </c>
      <c r="F22" s="7">
        <f t="shared" si="4"/>
        <v>2580</v>
      </c>
      <c r="G22" s="7">
        <f t="shared" si="4"/>
        <v>310.8</v>
      </c>
      <c r="I22" s="7"/>
      <c r="J22" s="7"/>
      <c r="K22" s="7"/>
      <c r="L22" s="7"/>
      <c r="M22" s="7"/>
      <c r="N22" s="7"/>
    </row>
    <row r="23" spans="2:14">
      <c r="B23" s="6">
        <v>9</v>
      </c>
      <c r="C23" s="6">
        <v>760</v>
      </c>
      <c r="D23" s="6">
        <v>99.9</v>
      </c>
      <c r="E23" s="6">
        <f t="shared" si="3"/>
        <v>7.60760760760761</v>
      </c>
      <c r="F23" s="7">
        <f t="shared" si="4"/>
        <v>3040</v>
      </c>
      <c r="G23" s="7">
        <f t="shared" si="4"/>
        <v>399.6</v>
      </c>
      <c r="I23" s="7"/>
      <c r="J23" s="7"/>
      <c r="K23" s="7"/>
      <c r="L23" s="7"/>
      <c r="M23" s="7"/>
      <c r="N23" s="7"/>
    </row>
    <row r="24" spans="2:14">
      <c r="B24" s="6">
        <v>11</v>
      </c>
      <c r="C24" s="6">
        <v>875</v>
      </c>
      <c r="D24" s="6">
        <v>122.1</v>
      </c>
      <c r="E24" s="6">
        <f t="shared" si="3"/>
        <v>7.16625716625717</v>
      </c>
      <c r="F24" s="7">
        <f t="shared" si="4"/>
        <v>3500</v>
      </c>
      <c r="G24" s="7">
        <f t="shared" si="4"/>
        <v>488.4</v>
      </c>
      <c r="I24" s="7"/>
      <c r="J24" s="7"/>
      <c r="K24" s="7"/>
      <c r="L24" s="7"/>
      <c r="M24" s="7"/>
      <c r="N24" s="7"/>
    </row>
    <row r="25" spans="2:7">
      <c r="B25" s="6">
        <v>13</v>
      </c>
      <c r="C25" s="6">
        <v>980</v>
      </c>
      <c r="D25" s="6">
        <v>144.3</v>
      </c>
      <c r="E25" s="6">
        <f t="shared" si="3"/>
        <v>6.79140679140679</v>
      </c>
      <c r="F25" s="7">
        <f t="shared" si="4"/>
        <v>3920</v>
      </c>
      <c r="G25" s="7">
        <f t="shared" si="4"/>
        <v>577.2</v>
      </c>
    </row>
    <row r="29" spans="17:17">
      <c r="Q29">
        <v>14.8</v>
      </c>
    </row>
    <row r="30" spans="18:22">
      <c r="R30">
        <f>14.8*5.2</f>
        <v>76.96</v>
      </c>
      <c r="S30" t="s">
        <v>29</v>
      </c>
      <c r="U30" t="s">
        <v>24</v>
      </c>
      <c r="V30">
        <f>14.8*13</f>
        <v>192.4</v>
      </c>
    </row>
    <row r="31" spans="21:22">
      <c r="U31" t="s">
        <v>25</v>
      </c>
      <c r="V31" s="13">
        <f>1800/V30</f>
        <v>9.35550935550935</v>
      </c>
    </row>
    <row r="33" spans="15:16">
      <c r="O33" t="s">
        <v>30</v>
      </c>
      <c r="P33" t="s">
        <v>31</v>
      </c>
    </row>
    <row r="34" spans="15:16">
      <c r="O34" s="1">
        <v>0.64</v>
      </c>
      <c r="P34">
        <v>16</v>
      </c>
    </row>
    <row r="35" spans="11:16">
      <c r="K35" t="s">
        <v>32</v>
      </c>
      <c r="O35" s="1">
        <v>1</v>
      </c>
      <c r="P35">
        <f>P34*O35/O34</f>
        <v>25</v>
      </c>
    </row>
    <row r="36" spans="15:16">
      <c r="O36" s="1">
        <v>0.8</v>
      </c>
      <c r="P36">
        <f>P34*O36/O34</f>
        <v>20</v>
      </c>
    </row>
    <row r="38" spans="19:19">
      <c r="S38">
        <v>1800</v>
      </c>
    </row>
    <row r="43" spans="12:14">
      <c r="L43" t="s">
        <v>33</v>
      </c>
      <c r="N43">
        <v>1238</v>
      </c>
    </row>
    <row r="45" spans="12:15">
      <c r="L45" s="7" t="s">
        <v>34</v>
      </c>
      <c r="M45" s="7"/>
      <c r="N45" s="7"/>
      <c r="O45" s="7"/>
    </row>
    <row r="46" spans="12:15">
      <c r="L46" s="7" t="s">
        <v>35</v>
      </c>
      <c r="M46" s="7" t="s">
        <v>36</v>
      </c>
      <c r="N46" s="7" t="s">
        <v>37</v>
      </c>
      <c r="O46" s="7" t="s">
        <v>38</v>
      </c>
    </row>
    <row r="47" spans="12:15">
      <c r="L47" s="7">
        <v>1257</v>
      </c>
      <c r="M47" s="7">
        <v>410</v>
      </c>
      <c r="N47" s="7">
        <f>60*(0.1523*M47-3.7147)/(-0.000000005*(M47+L47)^3+0.00005*(M47+L47)^2+0.0159*(M47+L47)+10.921)</f>
        <v>22.9993320598099</v>
      </c>
      <c r="O47" s="7">
        <f>N47*0.8</f>
        <v>18.399465647848</v>
      </c>
    </row>
    <row r="49" spans="11:12">
      <c r="K49" t="s">
        <v>39</v>
      </c>
      <c r="L49">
        <f>SUM(L47:M47)</f>
        <v>1667</v>
      </c>
    </row>
    <row r="51" spans="19:19">
      <c r="S51">
        <f>4.6/5.2</f>
        <v>0.884615384615384</v>
      </c>
    </row>
    <row r="54" spans="12:16">
      <c r="L54" s="7"/>
      <c r="M54" s="7"/>
      <c r="N54" s="7" t="s">
        <v>40</v>
      </c>
      <c r="O54" s="7">
        <v>1238</v>
      </c>
      <c r="P54" s="7"/>
    </row>
    <row r="55" spans="11:16">
      <c r="K55" t="s">
        <v>39</v>
      </c>
      <c r="L55" s="7" t="s">
        <v>35</v>
      </c>
      <c r="M55" s="7" t="s">
        <v>41</v>
      </c>
      <c r="N55" s="7" t="s">
        <v>42</v>
      </c>
      <c r="O55" s="7" t="s">
        <v>43</v>
      </c>
      <c r="P55" s="7" t="s">
        <v>38</v>
      </c>
    </row>
    <row r="56" spans="11:16">
      <c r="K56">
        <f>L56+M56</f>
        <v>1657</v>
      </c>
      <c r="L56" s="7">
        <v>1247</v>
      </c>
      <c r="M56" s="7">
        <v>410</v>
      </c>
      <c r="N56" s="7">
        <v>5.2</v>
      </c>
      <c r="O56" s="7">
        <f>60*N56*11.1/(-0.000000005*(L56+M56)^3+0.00005*(L56+M56)^2+0.0159*(L56+M56)+10.921)</f>
        <v>22.8139214511883</v>
      </c>
      <c r="P56" s="7">
        <f>O56*0.9</f>
        <v>20.5325293060694</v>
      </c>
    </row>
    <row r="57" spans="11:16">
      <c r="K57">
        <f>L57+M57</f>
        <v>1780</v>
      </c>
      <c r="L57" s="7">
        <v>1247</v>
      </c>
      <c r="M57" s="7">
        <v>533</v>
      </c>
      <c r="N57" s="7">
        <v>7</v>
      </c>
      <c r="O57" s="7">
        <f>60*N57*11.1/(-0.000000005*(L57+M57)^3+0.00005*(L57+M57)^2+0.0159*(L57+M57)+10.921)</f>
        <v>27.513475819538</v>
      </c>
      <c r="P57" s="7">
        <f>O57*0.8</f>
        <v>22.0107806556304</v>
      </c>
    </row>
    <row r="59" spans="3:3">
      <c r="C59" t="s">
        <v>44</v>
      </c>
    </row>
    <row r="61" spans="8:19">
      <c r="H61" t="s">
        <v>14</v>
      </c>
      <c r="I61" t="s">
        <v>15</v>
      </c>
      <c r="J61" t="s">
        <v>45</v>
      </c>
      <c r="K61" t="s">
        <v>46</v>
      </c>
      <c r="L61" t="s">
        <v>47</v>
      </c>
      <c r="M61" t="s">
        <v>48</v>
      </c>
      <c r="O61" s="7" t="s">
        <v>32</v>
      </c>
      <c r="P61" s="7">
        <v>935</v>
      </c>
      <c r="Q61" s="7" t="s">
        <v>49</v>
      </c>
      <c r="R61" s="7"/>
      <c r="S61" s="7"/>
    </row>
    <row r="62" spans="3:19">
      <c r="C62" t="s">
        <v>50</v>
      </c>
      <c r="G62" t="s">
        <v>51</v>
      </c>
      <c r="H62">
        <v>6</v>
      </c>
      <c r="I62">
        <v>400</v>
      </c>
      <c r="J62">
        <f>3.7*4</f>
        <v>14.8</v>
      </c>
      <c r="K62">
        <f>D65*4/2</f>
        <v>0.03</v>
      </c>
      <c r="L62">
        <f>K62*15</f>
        <v>0.45</v>
      </c>
      <c r="M62">
        <f>15*15*K62</f>
        <v>6.75</v>
      </c>
      <c r="O62" s="7" t="s">
        <v>2</v>
      </c>
      <c r="P62" s="7">
        <v>86.8</v>
      </c>
      <c r="Q62" s="7"/>
      <c r="R62" s="7"/>
      <c r="S62" s="7"/>
    </row>
    <row r="63" spans="3:19">
      <c r="C63" t="s">
        <v>52</v>
      </c>
      <c r="G63" t="s">
        <v>53</v>
      </c>
      <c r="H63">
        <v>9</v>
      </c>
      <c r="I63">
        <v>450</v>
      </c>
      <c r="J63">
        <f>3.7*3</f>
        <v>11.1</v>
      </c>
      <c r="K63">
        <f>D65*3/3</f>
        <v>0.015</v>
      </c>
      <c r="L63">
        <f>K63*15</f>
        <v>0.225</v>
      </c>
      <c r="M63">
        <f>15*15*K63</f>
        <v>3.375</v>
      </c>
      <c r="O63" s="7" t="s">
        <v>10</v>
      </c>
      <c r="P63" s="7">
        <v>45</v>
      </c>
      <c r="Q63" s="7"/>
      <c r="R63" s="7"/>
      <c r="S63" s="7"/>
    </row>
    <row r="64" spans="15:19">
      <c r="O64" s="7" t="s">
        <v>54</v>
      </c>
      <c r="P64" s="7">
        <v>62</v>
      </c>
      <c r="Q64" s="7"/>
      <c r="R64" s="7">
        <f>SUM(P61:P64)</f>
        <v>1128.8</v>
      </c>
      <c r="S64" s="7"/>
    </row>
    <row r="65" spans="3:19">
      <c r="C65" t="s">
        <v>55</v>
      </c>
      <c r="D65">
        <v>0.015</v>
      </c>
      <c r="O65" s="7" t="s">
        <v>11</v>
      </c>
      <c r="P65" s="7">
        <v>410</v>
      </c>
      <c r="Q65" s="7"/>
      <c r="R65" s="7">
        <f>SUM(P61:P65)</f>
        <v>1538.8</v>
      </c>
      <c r="S65" s="7"/>
    </row>
  </sheetData>
  <pageMargins left="0.75" right="0.75" top="1" bottom="1" header="0.510416666666667" footer="0.510416666666667"/>
  <pageSetup paperSize="9" firstPageNumber="0" orientation="portrait" useFirstPageNumber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G29"/>
  <sheetViews>
    <sheetView zoomScale="110" zoomScaleNormal="110" workbookViewId="0">
      <selection activeCell="D18" sqref="D18"/>
    </sheetView>
  </sheetViews>
  <sheetFormatPr defaultColWidth="9" defaultRowHeight="12.75" outlineLevelCol="6"/>
  <cols>
    <col min="1" max="2" width="9.5"/>
    <col min="3" max="3" width="12.2"/>
    <col min="4" max="4" width="16"/>
    <col min="5" max="5" width="9.5"/>
    <col min="6" max="6" width="14.6" customWidth="1"/>
    <col min="7" max="1025" width="9.5"/>
  </cols>
  <sheetData>
    <row r="5" spans="3:4">
      <c r="C5" s="7" t="s">
        <v>56</v>
      </c>
      <c r="D5" s="7"/>
    </row>
    <row r="6" spans="3:4">
      <c r="C6" s="7"/>
      <c r="D6" s="7"/>
    </row>
    <row r="7" spans="3:4">
      <c r="C7" s="7" t="s">
        <v>57</v>
      </c>
      <c r="D7" s="7">
        <v>4370</v>
      </c>
    </row>
    <row r="8" spans="3:4">
      <c r="C8" s="7" t="s">
        <v>58</v>
      </c>
      <c r="D8" s="7">
        <v>3983</v>
      </c>
    </row>
    <row r="9" spans="3:4">
      <c r="C9" s="7"/>
      <c r="D9" s="7"/>
    </row>
    <row r="10" spans="3:4">
      <c r="C10" s="7" t="s">
        <v>59</v>
      </c>
      <c r="D10" s="7">
        <v>17</v>
      </c>
    </row>
    <row r="11" spans="3:4">
      <c r="C11" s="7" t="s">
        <v>60</v>
      </c>
      <c r="D11" s="7">
        <f>(D8*D10)/D7</f>
        <v>15.4945080091533</v>
      </c>
    </row>
    <row r="16" spans="2:7">
      <c r="B16" s="7"/>
      <c r="C16" s="7"/>
      <c r="D16" s="7" t="s">
        <v>61</v>
      </c>
      <c r="E16" s="7" t="s">
        <v>62</v>
      </c>
      <c r="F16" s="7" t="s">
        <v>63</v>
      </c>
      <c r="G16" s="7" t="s">
        <v>64</v>
      </c>
    </row>
    <row r="17" spans="2:7">
      <c r="B17" s="11">
        <v>42585</v>
      </c>
      <c r="C17" s="8">
        <v>0.7</v>
      </c>
      <c r="D17" s="7">
        <v>4</v>
      </c>
      <c r="E17" s="7">
        <f>C17*5.2</f>
        <v>3.64</v>
      </c>
      <c r="F17" s="7">
        <v>15.49450801</v>
      </c>
      <c r="G17" s="7">
        <f>F17*D17/E17</f>
        <v>17.0269318791209</v>
      </c>
    </row>
    <row r="18" spans="2:7">
      <c r="B18" s="7"/>
      <c r="C18" s="8">
        <v>0.57</v>
      </c>
      <c r="D18" s="7">
        <v>3.37</v>
      </c>
      <c r="E18" s="7">
        <f>C18*5.2</f>
        <v>2.964</v>
      </c>
      <c r="F18" s="7">
        <v>15.49450801</v>
      </c>
      <c r="G18" s="7">
        <f>F18*D18/E18</f>
        <v>17.6169001328273</v>
      </c>
    </row>
    <row r="21" spans="4:5">
      <c r="D21">
        <v>18</v>
      </c>
      <c r="E21">
        <f>E22*D21/D22</f>
        <v>20.2987951807229</v>
      </c>
    </row>
    <row r="22" spans="4:5">
      <c r="D22">
        <v>4.15</v>
      </c>
      <c r="E22">
        <f>5.2*0.9</f>
        <v>4.68</v>
      </c>
    </row>
    <row r="27" spans="5:6">
      <c r="E27" t="s">
        <v>65</v>
      </c>
      <c r="F27">
        <v>14.7</v>
      </c>
    </row>
    <row r="28" spans="5:6">
      <c r="E28" t="s">
        <v>66</v>
      </c>
      <c r="F28">
        <v>47</v>
      </c>
    </row>
    <row r="29" spans="5:6">
      <c r="E29" t="s">
        <v>67</v>
      </c>
      <c r="F29">
        <f>1.22*(F27+F28)/F27</f>
        <v>5.12068027210884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6:H11"/>
  <sheetViews>
    <sheetView zoomScale="110" zoomScaleNormal="110" workbookViewId="0">
      <selection activeCell="G14" sqref="G14"/>
    </sheetView>
  </sheetViews>
  <sheetFormatPr defaultColWidth="9" defaultRowHeight="12.75" outlineLevelCol="7"/>
  <cols>
    <col min="4" max="4" width="11"/>
  </cols>
  <sheetData>
    <row r="6" spans="4:8">
      <c r="D6" t="s">
        <v>68</v>
      </c>
      <c r="F6" t="s">
        <v>69</v>
      </c>
      <c r="G6" t="s">
        <v>70</v>
      </c>
      <c r="H6" t="s">
        <v>71</v>
      </c>
    </row>
    <row r="7" spans="4:8">
      <c r="D7">
        <v>299792458</v>
      </c>
      <c r="F7">
        <v>439650</v>
      </c>
      <c r="G7">
        <v>435000</v>
      </c>
      <c r="H7">
        <f>(F7+G7)/2</f>
        <v>437325</v>
      </c>
    </row>
    <row r="10" spans="4:5">
      <c r="D10" t="s">
        <v>72</v>
      </c>
      <c r="E10">
        <f>D7/H7</f>
        <v>685.514109643858</v>
      </c>
    </row>
    <row r="11" spans="4:5">
      <c r="D11" s="10" t="s">
        <v>73</v>
      </c>
      <c r="E11">
        <f>E10/4</f>
        <v>171.378527410964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20:K26"/>
  <sheetViews>
    <sheetView workbookViewId="0">
      <selection activeCell="J32" sqref="J32"/>
    </sheetView>
  </sheetViews>
  <sheetFormatPr defaultColWidth="9" defaultRowHeight="12.75"/>
  <sheetData>
    <row r="20" spans="6:11">
      <c r="F20" t="s">
        <v>32</v>
      </c>
      <c r="G20">
        <v>907</v>
      </c>
      <c r="J20" t="s">
        <v>74</v>
      </c>
      <c r="K20">
        <v>992</v>
      </c>
    </row>
    <row r="21" spans="6:11">
      <c r="F21" t="s">
        <v>75</v>
      </c>
      <c r="G21">
        <f>14.5*4</f>
        <v>58</v>
      </c>
      <c r="J21" t="s">
        <v>10</v>
      </c>
      <c r="K21">
        <v>163.7</v>
      </c>
    </row>
    <row r="22" spans="6:11">
      <c r="F22" t="s">
        <v>54</v>
      </c>
      <c r="G22">
        <v>62.6</v>
      </c>
      <c r="J22" t="s">
        <v>54</v>
      </c>
      <c r="K22">
        <v>62.6</v>
      </c>
    </row>
    <row r="23" spans="6:11">
      <c r="F23" t="s">
        <v>76</v>
      </c>
      <c r="G23">
        <v>200</v>
      </c>
      <c r="J23" t="s">
        <v>77</v>
      </c>
      <c r="K23">
        <v>30</v>
      </c>
    </row>
    <row r="24" spans="6:11">
      <c r="F24" t="s">
        <v>77</v>
      </c>
      <c r="G24">
        <v>30</v>
      </c>
      <c r="H24">
        <f>SUM(G20:G24)</f>
        <v>1257.6</v>
      </c>
      <c r="J24" t="s">
        <v>11</v>
      </c>
      <c r="K24">
        <v>533</v>
      </c>
    </row>
    <row r="25" spans="6:11">
      <c r="F25" t="s">
        <v>78</v>
      </c>
      <c r="G25">
        <v>533</v>
      </c>
      <c r="K25">
        <f>SUM(K20:K24)</f>
        <v>1781.3</v>
      </c>
    </row>
    <row r="26" spans="7:7">
      <c r="G26">
        <f>SUM(G20:G25)</f>
        <v>1790.6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40"/>
  <sheetViews>
    <sheetView tabSelected="1" workbookViewId="0">
      <selection activeCell="P27" sqref="P27"/>
    </sheetView>
  </sheetViews>
  <sheetFormatPr defaultColWidth="9" defaultRowHeight="12.75"/>
  <cols>
    <col min="5" max="5" width="12.625"/>
    <col min="6" max="6" width="9.375"/>
    <col min="9" max="9" width="12.625"/>
    <col min="14" max="14" width="12.625"/>
  </cols>
  <sheetData>
    <row r="2" spans="2:3">
      <c r="B2">
        <v>2216</v>
      </c>
      <c r="C2" t="s">
        <v>79</v>
      </c>
    </row>
    <row r="4" spans="12:15">
      <c r="L4">
        <v>2216</v>
      </c>
      <c r="M4" t="s">
        <v>80</v>
      </c>
      <c r="N4">
        <v>16.6</v>
      </c>
      <c r="O4">
        <v>1238</v>
      </c>
    </row>
    <row r="5" spans="3:5">
      <c r="C5" t="s">
        <v>81</v>
      </c>
      <c r="D5" t="s">
        <v>25</v>
      </c>
      <c r="E5">
        <v>9</v>
      </c>
    </row>
    <row r="6" spans="12:14">
      <c r="L6" t="s">
        <v>82</v>
      </c>
      <c r="M6" t="s">
        <v>83</v>
      </c>
      <c r="N6" t="s">
        <v>25</v>
      </c>
    </row>
    <row r="7" spans="3:14">
      <c r="C7" t="s">
        <v>39</v>
      </c>
      <c r="E7">
        <v>1600</v>
      </c>
      <c r="L7">
        <v>368</v>
      </c>
      <c r="M7">
        <v>1.1</v>
      </c>
      <c r="N7">
        <f t="shared" ref="N7:N11" si="0">L7/M7/16.6</f>
        <v>20.1533406352683</v>
      </c>
    </row>
    <row r="8" spans="3:14">
      <c r="C8" t="s">
        <v>27</v>
      </c>
      <c r="E8">
        <f>E7/E5</f>
        <v>177.777777777778</v>
      </c>
      <c r="L8">
        <v>476</v>
      </c>
      <c r="M8">
        <v>2.3</v>
      </c>
      <c r="N8">
        <f t="shared" si="0"/>
        <v>12.4672603457307</v>
      </c>
    </row>
    <row r="9" spans="3:14">
      <c r="C9" t="s">
        <v>84</v>
      </c>
      <c r="E9">
        <f>15*5.3</f>
        <v>79.5</v>
      </c>
      <c r="L9">
        <v>554</v>
      </c>
      <c r="M9">
        <v>3.2</v>
      </c>
      <c r="N9">
        <f t="shared" si="0"/>
        <v>10.4292168674699</v>
      </c>
    </row>
    <row r="10" spans="3:14">
      <c r="C10" t="s">
        <v>31</v>
      </c>
      <c r="E10">
        <f>60*E9/E8</f>
        <v>26.83125</v>
      </c>
      <c r="L10">
        <v>742</v>
      </c>
      <c r="M10">
        <v>5.8</v>
      </c>
      <c r="N10">
        <f t="shared" si="0"/>
        <v>7.70668882426257</v>
      </c>
    </row>
    <row r="11" spans="3:14">
      <c r="C11" s="1">
        <v>0.8</v>
      </c>
      <c r="E11">
        <f>E10*0.8</f>
        <v>21.465</v>
      </c>
      <c r="L11">
        <v>940</v>
      </c>
      <c r="M11">
        <v>9.4</v>
      </c>
      <c r="N11">
        <f t="shared" si="0"/>
        <v>6.02409638554217</v>
      </c>
    </row>
    <row r="18" spans="3:10">
      <c r="C18" t="s">
        <v>85</v>
      </c>
      <c r="H18" s="7"/>
      <c r="I18" s="7" t="s">
        <v>86</v>
      </c>
      <c r="J18" s="7"/>
    </row>
    <row r="19" spans="3:10">
      <c r="C19" s="2" t="s">
        <v>0</v>
      </c>
      <c r="D19" s="2">
        <v>206</v>
      </c>
      <c r="E19" s="2">
        <v>1</v>
      </c>
      <c r="F19" s="2">
        <f t="shared" ref="F19:F30" si="1">D19*E19</f>
        <v>206</v>
      </c>
      <c r="H19" s="8">
        <v>1</v>
      </c>
      <c r="I19" s="7">
        <f>15*5.2</f>
        <v>78</v>
      </c>
      <c r="J19" s="7"/>
    </row>
    <row r="20" spans="3:10">
      <c r="C20" s="2" t="s">
        <v>1</v>
      </c>
      <c r="D20" s="2">
        <v>60</v>
      </c>
      <c r="E20" s="2">
        <v>4</v>
      </c>
      <c r="F20" s="2">
        <f t="shared" si="1"/>
        <v>240</v>
      </c>
      <c r="H20" s="8">
        <v>0.8</v>
      </c>
      <c r="I20" s="7">
        <f>I19*0.8</f>
        <v>62.4</v>
      </c>
      <c r="J20" s="7"/>
    </row>
    <row r="21" spans="3:13">
      <c r="C21" s="2" t="s">
        <v>2</v>
      </c>
      <c r="D21" s="2">
        <v>14.5</v>
      </c>
      <c r="E21" s="2">
        <v>4</v>
      </c>
      <c r="F21" s="2">
        <f t="shared" si="1"/>
        <v>58</v>
      </c>
      <c r="H21" s="7"/>
      <c r="I21" s="7"/>
      <c r="J21" s="7"/>
      <c r="M21" t="s">
        <v>87</v>
      </c>
    </row>
    <row r="22" spans="3:14">
      <c r="C22" s="2" t="s">
        <v>3</v>
      </c>
      <c r="D22" s="2">
        <v>11</v>
      </c>
      <c r="E22" s="2">
        <v>4</v>
      </c>
      <c r="F22" s="2">
        <f t="shared" si="1"/>
        <v>44</v>
      </c>
      <c r="H22" s="7"/>
      <c r="I22" s="7"/>
      <c r="J22" s="7"/>
      <c r="M22">
        <v>1.37</v>
      </c>
      <c r="N22">
        <v>12</v>
      </c>
    </row>
    <row r="23" spans="3:14">
      <c r="C23" s="3" t="s">
        <v>4</v>
      </c>
      <c r="D23" s="3">
        <f>18</f>
        <v>18</v>
      </c>
      <c r="E23" s="3">
        <v>1</v>
      </c>
      <c r="F23" s="3">
        <f t="shared" si="1"/>
        <v>18</v>
      </c>
      <c r="H23" s="7"/>
      <c r="I23" s="7"/>
      <c r="J23" s="7"/>
      <c r="M23">
        <f>5.2*0.8</f>
        <v>4.16</v>
      </c>
      <c r="N23">
        <f>M23*N22/M22</f>
        <v>36.4379562043796</v>
      </c>
    </row>
    <row r="24" spans="3:10">
      <c r="C24" s="3" t="s">
        <v>5</v>
      </c>
      <c r="D24" s="3">
        <v>16</v>
      </c>
      <c r="E24" s="3">
        <v>1</v>
      </c>
      <c r="F24" s="3">
        <f t="shared" si="1"/>
        <v>16</v>
      </c>
      <c r="H24" s="7"/>
      <c r="I24" s="7"/>
      <c r="J24" s="7"/>
    </row>
    <row r="25" spans="3:10">
      <c r="C25" s="3" t="s">
        <v>6</v>
      </c>
      <c r="D25" s="3">
        <v>8</v>
      </c>
      <c r="E25" s="3">
        <v>1</v>
      </c>
      <c r="F25" s="3">
        <f t="shared" si="1"/>
        <v>8</v>
      </c>
      <c r="H25" s="7"/>
      <c r="I25" s="7"/>
      <c r="J25" s="7"/>
    </row>
    <row r="26" spans="3:10">
      <c r="C26" s="3" t="s">
        <v>7</v>
      </c>
      <c r="D26" s="3">
        <v>15</v>
      </c>
      <c r="E26" s="3">
        <v>1</v>
      </c>
      <c r="F26" s="3">
        <f t="shared" si="1"/>
        <v>15</v>
      </c>
      <c r="H26" s="7"/>
      <c r="I26" s="7"/>
      <c r="J26" s="7"/>
    </row>
    <row r="27" spans="3:10">
      <c r="C27" s="3" t="s">
        <v>88</v>
      </c>
      <c r="D27" s="3">
        <v>20</v>
      </c>
      <c r="E27" s="3">
        <v>1</v>
      </c>
      <c r="F27" s="3">
        <f t="shared" si="1"/>
        <v>20</v>
      </c>
      <c r="H27" s="7" t="s">
        <v>25</v>
      </c>
      <c r="I27" s="7">
        <v>9.68</v>
      </c>
      <c r="J27" s="7"/>
    </row>
    <row r="28" spans="3:10">
      <c r="C28" s="4" t="s">
        <v>9</v>
      </c>
      <c r="D28" s="4">
        <v>65</v>
      </c>
      <c r="E28" s="4">
        <v>1</v>
      </c>
      <c r="F28" s="4">
        <f t="shared" si="1"/>
        <v>65</v>
      </c>
      <c r="H28" s="7" t="s">
        <v>89</v>
      </c>
      <c r="I28" s="7">
        <f>F31/I27</f>
        <v>139.876033057851</v>
      </c>
      <c r="J28" s="7"/>
    </row>
    <row r="29" spans="3:10">
      <c r="C29" s="4" t="s">
        <v>10</v>
      </c>
      <c r="D29" s="4">
        <v>161.5</v>
      </c>
      <c r="E29" s="4">
        <v>1</v>
      </c>
      <c r="F29" s="4">
        <f t="shared" si="1"/>
        <v>161.5</v>
      </c>
      <c r="H29" s="7" t="s">
        <v>90</v>
      </c>
      <c r="I29" s="7">
        <f>60*I20/I28</f>
        <v>26.7665583456425</v>
      </c>
      <c r="J29" s="8">
        <f>H20</f>
        <v>0.8</v>
      </c>
    </row>
    <row r="30" spans="3:10">
      <c r="C30" s="5" t="s">
        <v>11</v>
      </c>
      <c r="D30" s="5">
        <v>533</v>
      </c>
      <c r="E30" s="5">
        <v>1</v>
      </c>
      <c r="F30" s="5">
        <f t="shared" si="1"/>
        <v>533</v>
      </c>
      <c r="H30" s="7" t="s">
        <v>90</v>
      </c>
      <c r="I30" s="7">
        <f>60*I19/I28</f>
        <v>33.4581979320532</v>
      </c>
      <c r="J30" s="9">
        <f>H19</f>
        <v>1</v>
      </c>
    </row>
    <row r="31" spans="3:6">
      <c r="C31" s="6"/>
      <c r="D31" s="6"/>
      <c r="E31" s="6"/>
      <c r="F31" s="6">
        <v>1354</v>
      </c>
    </row>
    <row r="35" spans="4:10">
      <c r="D35" s="7"/>
      <c r="E35" s="7" t="s">
        <v>91</v>
      </c>
      <c r="F35" s="7" t="s">
        <v>92</v>
      </c>
      <c r="H35" s="7"/>
      <c r="I35" s="7"/>
      <c r="J35" s="7"/>
    </row>
    <row r="36" spans="2:10">
      <c r="B36">
        <v>1159</v>
      </c>
      <c r="D36" s="7" t="s">
        <v>39</v>
      </c>
      <c r="E36" s="7">
        <v>1620</v>
      </c>
      <c r="F36" s="7"/>
      <c r="H36" s="7"/>
      <c r="I36" s="7"/>
      <c r="J36" s="7"/>
    </row>
    <row r="37" spans="2:10">
      <c r="B37">
        <v>533</v>
      </c>
      <c r="D37" s="7" t="s">
        <v>25</v>
      </c>
      <c r="E37" s="7">
        <v>9.68</v>
      </c>
      <c r="F37" s="7"/>
      <c r="H37" s="7"/>
      <c r="I37" s="7"/>
      <c r="J37" s="7"/>
    </row>
    <row r="38" spans="2:10">
      <c r="B38">
        <f>SUM(B36:B37)</f>
        <v>1692</v>
      </c>
      <c r="D38" s="7" t="s">
        <v>89</v>
      </c>
      <c r="E38" s="7">
        <f>E36/E37</f>
        <v>167.355371900826</v>
      </c>
      <c r="F38" s="7"/>
      <c r="H38" s="7"/>
      <c r="I38" s="7"/>
      <c r="J38" s="7"/>
    </row>
    <row r="39" spans="4:10">
      <c r="D39" s="7" t="s">
        <v>90</v>
      </c>
      <c r="E39" s="7">
        <f>60*I20/E38</f>
        <v>22.3715555555556</v>
      </c>
      <c r="F39" s="8">
        <f>H20</f>
        <v>0.8</v>
      </c>
      <c r="H39" s="7"/>
      <c r="I39" s="7"/>
      <c r="J39" s="8"/>
    </row>
    <row r="40" spans="4:10">
      <c r="D40" s="7" t="s">
        <v>90</v>
      </c>
      <c r="E40" s="7">
        <f>60*I19/E38</f>
        <v>27.9644444444445</v>
      </c>
      <c r="F40" s="9">
        <f>H19</f>
        <v>1</v>
      </c>
      <c r="H40" s="7"/>
      <c r="I40" s="7"/>
      <c r="J40" s="9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2810</vt:lpstr>
      <vt:lpstr>2810力效</vt:lpstr>
      <vt:lpstr>电池校准</vt:lpstr>
      <vt:lpstr>天线</vt:lpstr>
      <vt:lpstr>2017</vt:lpstr>
      <vt:lpstr>2216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高宏宇</cp:lastModifiedBy>
  <cp:revision>1</cp:revision>
  <dcterms:created xsi:type="dcterms:W3CDTF">2016-03-21T18:20:00Z</dcterms:created>
  <dcterms:modified xsi:type="dcterms:W3CDTF">2017-12-16T23:24:38Z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