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media/image2.bmp" ContentType="image/bmp"/>
  <Override PartName="/xl/media/image1.bmp" ContentType="image/bmp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2810" sheetId="1" state="visible" r:id="rId2"/>
    <sheet name="2810力效" sheetId="2" state="visible" r:id="rId3"/>
    <sheet name="电池校准" sheetId="3" state="visible" r:id="rId4"/>
    <sheet name="天线" sheetId="4" state="visible" r:id="rId5"/>
    <sheet name="2017" sheetId="5" state="visible" r:id="rId6"/>
    <sheet name="2216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<sst xmlns="http://schemas.openxmlformats.org/spreadsheetml/2006/main" count="146" uniqueCount="94">
  <si>
    <t xml:space="preserve">机架</t>
  </si>
  <si>
    <t xml:space="preserve">电机</t>
  </si>
  <si>
    <t xml:space="preserve">浆</t>
  </si>
  <si>
    <t xml:space="preserve">电调</t>
  </si>
  <si>
    <t xml:space="preserve">图传+天线</t>
  </si>
  <si>
    <t xml:space="preserve">接收+天线</t>
  </si>
  <si>
    <t xml:space="preserve">飞控</t>
  </si>
  <si>
    <t xml:space="preserve">GPS</t>
  </si>
  <si>
    <t xml:space="preserve">OSD+BT+PW</t>
  </si>
  <si>
    <t xml:space="preserve">摄像机</t>
  </si>
  <si>
    <t xml:space="preserve">云台</t>
  </si>
  <si>
    <t xml:space="preserve">电池</t>
  </si>
  <si>
    <t xml:space="preserve">机体</t>
  </si>
  <si>
    <t xml:space="preserve">松下PF</t>
  </si>
  <si>
    <t xml:space="preserve">容量</t>
  </si>
  <si>
    <t xml:space="preserve">重量</t>
  </si>
  <si>
    <t xml:space="preserve">3p3s</t>
  </si>
  <si>
    <t xml:space="preserve">总量</t>
  </si>
  <si>
    <t xml:space="preserve">放电电流</t>
  </si>
  <si>
    <t xml:space="preserve">30A</t>
  </si>
  <si>
    <t xml:space="preserve">3s，1147</t>
  </si>
  <si>
    <t xml:space="preserve">14.8v-1245</t>
  </si>
  <si>
    <t xml:space="preserve">电流</t>
  </si>
  <si>
    <t xml:space="preserve">拉力</t>
  </si>
  <si>
    <t xml:space="preserve">功率</t>
  </si>
  <si>
    <t xml:space="preserve">力效</t>
  </si>
  <si>
    <t xml:space="preserve">总拉力</t>
  </si>
  <si>
    <t xml:space="preserve">总功率</t>
  </si>
  <si>
    <t xml:space="preserve">3s，1238</t>
  </si>
  <si>
    <t xml:space="preserve">wh</t>
  </si>
  <si>
    <t xml:space="preserve">电量</t>
  </si>
  <si>
    <t xml:space="preserve">时间</t>
  </si>
  <si>
    <t xml:space="preserve">空机</t>
  </si>
  <si>
    <t xml:space="preserve">单参数版本</t>
  </si>
  <si>
    <t xml:space="preserve">留空时间计算公式</t>
  </si>
  <si>
    <t xml:space="preserve">空机重</t>
  </si>
  <si>
    <t xml:space="preserve">电池重量</t>
  </si>
  <si>
    <t xml:space="preserve">留空时间100%</t>
  </si>
  <si>
    <t xml:space="preserve">留空时间80%</t>
  </si>
  <si>
    <t xml:space="preserve">总重量</t>
  </si>
  <si>
    <t xml:space="preserve">双参数版本</t>
  </si>
  <si>
    <t xml:space="preserve">电池重</t>
  </si>
  <si>
    <t xml:space="preserve">电池容量</t>
  </si>
  <si>
    <t xml:space="preserve">留空时间</t>
  </si>
  <si>
    <t xml:space="preserve">18650电池</t>
  </si>
  <si>
    <t xml:space="preserve">总电压</t>
  </si>
  <si>
    <t xml:space="preserve">内阻</t>
  </si>
  <si>
    <t xml:space="preserve">压降（15A）</t>
  </si>
  <si>
    <t xml:space="preserve">损耗</t>
  </si>
  <si>
    <t xml:space="preserve">不含浆，电池，云台，相机</t>
  </si>
  <si>
    <t xml:space="preserve">30Q</t>
  </si>
  <si>
    <t xml:space="preserve">2c4s</t>
  </si>
  <si>
    <t xml:space="preserve">HG2</t>
  </si>
  <si>
    <t xml:space="preserve">3c3s</t>
  </si>
  <si>
    <t xml:space="preserve">相机</t>
  </si>
  <si>
    <t xml:space="preserve">单内阻</t>
  </si>
  <si>
    <t xml:space="preserve">17分钟电池</t>
  </si>
  <si>
    <t xml:space="preserve">飞控显示</t>
  </si>
  <si>
    <t xml:space="preserve">充电</t>
  </si>
  <si>
    <t xml:space="preserve">飞控I</t>
  </si>
  <si>
    <t xml:space="preserve">飞控I修正</t>
  </si>
  <si>
    <t xml:space="preserve">实际</t>
  </si>
  <si>
    <t xml:space="preserve">测量</t>
  </si>
  <si>
    <t xml:space="preserve">I以前</t>
  </si>
  <si>
    <t xml:space="preserve">I计算</t>
  </si>
  <si>
    <t xml:space="preserve">r2</t>
  </si>
  <si>
    <t xml:space="preserve">r1</t>
  </si>
  <si>
    <t xml:space="preserve">v</t>
  </si>
  <si>
    <t xml:space="preserve">光速</t>
  </si>
  <si>
    <t xml:space="preserve">最大</t>
  </si>
  <si>
    <t xml:space="preserve">最小</t>
  </si>
  <si>
    <t xml:space="preserve">平均</t>
  </si>
  <si>
    <t xml:space="preserve">波长</t>
  </si>
  <si>
    <t xml:space="preserve">天线</t>
  </si>
  <si>
    <t xml:space="preserve">空机+桨</t>
  </si>
  <si>
    <t xml:space="preserve">桨</t>
  </si>
  <si>
    <t xml:space="preserve">云台+发射</t>
  </si>
  <si>
    <t xml:space="preserve">其他</t>
  </si>
  <si>
    <t xml:space="preserve">5200-4s</t>
  </si>
  <si>
    <t xml:space="preserve">800kv</t>
  </si>
  <si>
    <t xml:space="preserve">kv800</t>
  </si>
  <si>
    <t xml:space="preserve">400克拉力</t>
  </si>
  <si>
    <t xml:space="preserve">g</t>
  </si>
  <si>
    <t xml:space="preserve">A</t>
  </si>
  <si>
    <t xml:space="preserve">电磁功率</t>
  </si>
  <si>
    <t xml:space="preserve">装机重量</t>
  </si>
  <si>
    <t xml:space="preserve">电池功率</t>
  </si>
  <si>
    <t xml:space="preserve">计算结果</t>
  </si>
  <si>
    <t xml:space="preserve">电源模块</t>
  </si>
  <si>
    <t xml:space="preserve">悬停功率</t>
  </si>
  <si>
    <t xml:space="preserve">2018年</t>
  </si>
  <si>
    <t xml:space="preserve">悬停时间</t>
  </si>
  <si>
    <t xml:space="preserve">现有配置</t>
  </si>
  <si>
    <t xml:space="preserve">2810电机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</si>
</sst>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M\月D\日"/>
    <numFmt numFmtId="167" formatCode="0.00%"/>
  </numFmts>
  <fonts count="13">
    <font>
      <sz val="12"/>
      <color rgb="FF000000"/>
      <name val="Droid Sans Fallback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5B9BD5"/>
      <name val="Droid Sans Fallback"/>
      <family val="0"/>
      <charset val="134"/>
    </font>
    <font>
      <sz val="12"/>
      <color rgb="FF70AD47"/>
      <name val="Droid Sans Fallback"/>
      <family val="0"/>
      <charset val="134"/>
    </font>
    <font>
      <sz val="12"/>
      <color rgb="FFED7D31"/>
      <name val="Droid Sans Fallback"/>
      <family val="0"/>
      <charset val="134"/>
    </font>
    <font>
      <sz val="12"/>
      <color rgb="FFFF0000"/>
      <name val="Droid Sans Fallback"/>
      <family val="0"/>
      <charset val="134"/>
    </font>
    <font>
      <sz val="12"/>
      <color rgb="FFC00000"/>
      <name val="Droid Sans Fallback"/>
      <family val="0"/>
      <charset val="134"/>
    </font>
    <font>
      <b val="true"/>
      <sz val="18"/>
      <color rgb="FF000000"/>
      <name val="微软雅黑"/>
      <family val="2"/>
    </font>
    <font>
      <b val="true"/>
      <sz val="18"/>
      <color rgb="FF000000"/>
      <name val="Calibri"/>
      <family val="2"/>
    </font>
    <font>
      <sz val="10"/>
      <name val="微软雅黑"/>
      <family val="2"/>
    </font>
    <font>
      <sz val="10"/>
      <color rgb="FF000000"/>
      <name val="微软雅黑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1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1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1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1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8B8B8B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功率=拉力(1238)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"拉力-功率"</c:f>
              <c:strCache>
                <c:ptCount val="1"/>
                <c:pt idx="0">
                  <c:v>拉力-功率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3"/>
            <c:forward val="0"/>
            <c:backward val="0"/>
            <c:dispRSqr val="0"/>
            <c:dispEq val="1"/>
          </c:trendline>
          <c:xVal>
            <c:numRef>
              <c:f>2810力效!$F$19:$F$25</c:f>
              <c:numCache>
                <c:formatCode>General</c:formatCode>
                <c:ptCount val="7"/>
                <c:pt idx="0">
                  <c:v>680</c:v>
                </c:pt>
                <c:pt idx="1">
                  <c:v>1520</c:v>
                </c:pt>
                <c:pt idx="2">
                  <c:v>2060</c:v>
                </c:pt>
                <c:pt idx="3">
                  <c:v>2580</c:v>
                </c:pt>
                <c:pt idx="4">
                  <c:v>3040</c:v>
                </c:pt>
                <c:pt idx="5">
                  <c:v>3500</c:v>
                </c:pt>
                <c:pt idx="6">
                  <c:v>3920</c:v>
                </c:pt>
              </c:numCache>
            </c:numRef>
          </c:xVal>
          <c:yVal>
            <c:numRef>
              <c:f>2810力效!$G$19:$G$25</c:f>
              <c:numCache>
                <c:formatCode>General</c:formatCode>
                <c:ptCount val="7"/>
                <c:pt idx="0">
                  <c:v>44.4</c:v>
                </c:pt>
                <c:pt idx="1">
                  <c:v>133.2</c:v>
                </c:pt>
                <c:pt idx="2">
                  <c:v>222</c:v>
                </c:pt>
                <c:pt idx="3">
                  <c:v>310.8</c:v>
                </c:pt>
                <c:pt idx="4">
                  <c:v>399.6</c:v>
                </c:pt>
                <c:pt idx="5">
                  <c:v>488.4</c:v>
                </c:pt>
                <c:pt idx="6">
                  <c:v>577.2</c:v>
                </c:pt>
              </c:numCache>
            </c:numRef>
          </c:yVal>
          <c:smooth val="1"/>
        </c:ser>
        <c:axId val="50200760"/>
        <c:axId val="22092071"/>
      </c:scatterChart>
      <c:valAx>
        <c:axId val="50200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092071"/>
        <c:crosses val="autoZero"/>
        <c:crossBetween val="midCat"/>
      </c:valAx>
      <c:valAx>
        <c:axId val="22092071"/>
        <c:scaling>
          <c:orientation val="minMax"/>
        </c:scaling>
        <c:delete val="0"/>
        <c:axPos val="l"/>
        <c:majorGridlines>
          <c:spPr>
            <a:ln w="6480">
              <a:solidFill>
                <a:srgbClr val="808080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20076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8b8b8b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bmp"/><Relationship Id="rId2" Type="http://schemas.openxmlformats.org/officeDocument/2006/relationships/image" Target="../media/image2.bmp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19080</xdr:colOff>
      <xdr:row>26</xdr:row>
      <xdr:rowOff>128520</xdr:rowOff>
    </xdr:from>
    <xdr:to>
      <xdr:col>8</xdr:col>
      <xdr:colOff>608040</xdr:colOff>
      <xdr:row>52</xdr:row>
      <xdr:rowOff>36720</xdr:rowOff>
    </xdr:to>
    <xdr:graphicFrame>
      <xdr:nvGraphicFramePr>
        <xdr:cNvPr id="0" name="图表 3"/>
        <xdr:cNvGraphicFramePr/>
      </xdr:nvGraphicFramePr>
      <xdr:xfrm>
        <a:off x="815760" y="4338360"/>
        <a:ext cx="8700480" cy="411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595800</xdr:colOff>
      <xdr:row>1</xdr:row>
      <xdr:rowOff>37440</xdr:rowOff>
    </xdr:from>
    <xdr:to>
      <xdr:col>16</xdr:col>
      <xdr:colOff>104400</xdr:colOff>
      <xdr:row>13</xdr:row>
      <xdr:rowOff>161280</xdr:rowOff>
    </xdr:to>
    <xdr:pic>
      <xdr:nvPicPr>
        <xdr:cNvPr id="1" name="图片 1" descr=""/>
        <xdr:cNvPicPr/>
      </xdr:nvPicPr>
      <xdr:blipFill>
        <a:blip r:embed="rId1"/>
        <a:stretch/>
      </xdr:blipFill>
      <xdr:spPr>
        <a:xfrm>
          <a:off x="8968680" y="199080"/>
          <a:ext cx="5087160" cy="2067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249480</xdr:colOff>
      <xdr:row>16</xdr:row>
      <xdr:rowOff>104040</xdr:rowOff>
    </xdr:from>
    <xdr:to>
      <xdr:col>15</xdr:col>
      <xdr:colOff>21240</xdr:colOff>
      <xdr:row>20</xdr:row>
      <xdr:rowOff>153000</xdr:rowOff>
    </xdr:to>
    <xdr:pic>
      <xdr:nvPicPr>
        <xdr:cNvPr id="2" name="图片 2" descr=""/>
        <xdr:cNvPicPr/>
      </xdr:nvPicPr>
      <xdr:blipFill>
        <a:blip r:embed="rId2"/>
        <a:stretch/>
      </xdr:blipFill>
      <xdr:spPr>
        <a:xfrm>
          <a:off x="10216440" y="2694600"/>
          <a:ext cx="2959200" cy="6966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R39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J29" activeCellId="0" sqref="J29"/>
    </sheetView>
  </sheetViews>
  <sheetFormatPr defaultRowHeight="12.75" zeroHeight="false" outlineLevelRow="0" outlineLevelCol="0"/>
  <cols>
    <col collapsed="false" customWidth="true" hidden="false" outlineLevel="0" max="1" min="1" style="0" width="9.5"/>
    <col collapsed="false" customWidth="true" hidden="false" outlineLevel="0" max="2" min="2" style="0" width="13.4"/>
    <col collapsed="false" customWidth="true" hidden="false" outlineLevel="0" max="3" min="3" style="0" width="9.5"/>
    <col collapsed="false" customWidth="true" hidden="false" outlineLevel="0" max="7" min="4" style="0" width="13.2"/>
    <col collapsed="false" customWidth="true" hidden="false" outlineLevel="0" max="8" min="8" style="0" width="9.5"/>
    <col collapsed="false" customWidth="true" hidden="false" outlineLevel="0" max="9" min="9" style="0" width="13.8"/>
    <col collapsed="false" customWidth="true" hidden="false" outlineLevel="0" max="1025" min="10" style="0" width="9.5"/>
  </cols>
  <sheetData>
    <row r="3" customFormat="false" ht="12.75" hidden="false" customHeight="false" outlineLevel="0" collapsed="false">
      <c r="B3" s="1"/>
      <c r="C3" s="1"/>
      <c r="D3" s="1"/>
      <c r="E3" s="1"/>
    </row>
    <row r="4" customFormat="false" ht="12.75" hidden="false" customHeight="false" outlineLevel="0" collapsed="false">
      <c r="B4" s="1"/>
      <c r="C4" s="1"/>
      <c r="D4" s="1"/>
      <c r="E4" s="1"/>
    </row>
    <row r="5" customFormat="false" ht="12.75" hidden="false" customHeight="false" outlineLevel="0" collapsed="false">
      <c r="B5" s="1"/>
      <c r="C5" s="1"/>
      <c r="D5" s="1"/>
      <c r="E5" s="1"/>
    </row>
    <row r="6" customFormat="false" ht="12.75" hidden="false" customHeight="false" outlineLevel="0" collapsed="false">
      <c r="B6" s="1"/>
      <c r="C6" s="1"/>
      <c r="D6" s="1"/>
      <c r="E6" s="1"/>
    </row>
    <row r="7" customFormat="false" ht="12.75" hidden="false" customHeight="false" outlineLevel="0" collapsed="false">
      <c r="B7" s="1"/>
      <c r="C7" s="1"/>
      <c r="D7" s="1"/>
      <c r="E7" s="1"/>
    </row>
    <row r="8" customFormat="false" ht="12.75" hidden="false" customHeight="false" outlineLevel="0" collapsed="false">
      <c r="B8" s="1"/>
      <c r="C8" s="1"/>
      <c r="D8" s="1"/>
      <c r="E8" s="1"/>
    </row>
    <row r="9" customFormat="false" ht="12.75" hidden="false" customHeight="false" outlineLevel="0" collapsed="false">
      <c r="B9" s="1"/>
      <c r="C9" s="1"/>
      <c r="D9" s="1"/>
      <c r="E9" s="1"/>
      <c r="O9" s="1"/>
      <c r="P9" s="1"/>
      <c r="Q9" s="1"/>
      <c r="R9" s="1"/>
    </row>
    <row r="10" customFormat="false" ht="12.75" hidden="false" customHeight="false" outlineLevel="0" collapsed="false">
      <c r="B10" s="1"/>
      <c r="C10" s="1"/>
      <c r="D10" s="1"/>
      <c r="E10" s="1"/>
      <c r="O10" s="1"/>
      <c r="P10" s="1"/>
      <c r="Q10" s="1"/>
      <c r="R10" s="1"/>
    </row>
    <row r="11" customFormat="false" ht="12.75" hidden="false" customHeight="false" outlineLevel="0" collapsed="false">
      <c r="B11" s="1"/>
      <c r="C11" s="1"/>
      <c r="D11" s="1"/>
      <c r="E11" s="1"/>
      <c r="O11" s="1"/>
      <c r="P11" s="1"/>
      <c r="Q11" s="1"/>
      <c r="R11" s="1"/>
    </row>
    <row r="12" customFormat="false" ht="12.75" hidden="false" customHeight="false" outlineLevel="0" collapsed="false">
      <c r="O12" s="1"/>
      <c r="P12" s="1"/>
      <c r="Q12" s="1"/>
      <c r="R12" s="1"/>
    </row>
    <row r="13" customFormat="false" ht="12.75" hidden="false" customHeight="false" outlineLevel="0" collapsed="false">
      <c r="O13" s="1"/>
      <c r="P13" s="1"/>
      <c r="Q13" s="1"/>
      <c r="R13" s="1"/>
    </row>
    <row r="14" customFormat="false" ht="15" hidden="false" customHeight="false" outlineLevel="0" collapsed="false">
      <c r="B14" s="1"/>
      <c r="C14" s="1"/>
      <c r="D14" s="1"/>
      <c r="E14" s="1"/>
      <c r="O14" s="1"/>
      <c r="P14" s="1"/>
      <c r="Q14" s="1"/>
      <c r="R14" s="1"/>
    </row>
    <row r="15" customFormat="false" ht="12.75" hidden="false" customHeight="false" outlineLevel="0" collapsed="false">
      <c r="B15" s="1"/>
      <c r="C15" s="1"/>
      <c r="D15" s="1"/>
      <c r="E15" s="1"/>
      <c r="O15" s="1"/>
      <c r="P15" s="1"/>
      <c r="Q15" s="1"/>
      <c r="R15" s="1"/>
    </row>
    <row r="16" customFormat="false" ht="12.75" hidden="false" customHeight="false" outlineLevel="0" collapsed="false">
      <c r="I16" s="2" t="s">
        <v>0</v>
      </c>
      <c r="J16" s="2" t="n">
        <v>430</v>
      </c>
      <c r="K16" s="2" t="n">
        <v>1</v>
      </c>
      <c r="L16" s="2" t="n">
        <f aca="false">J16*K16</f>
        <v>430</v>
      </c>
      <c r="O16" s="1"/>
      <c r="P16" s="1"/>
      <c r="Q16" s="1"/>
      <c r="R16" s="1"/>
    </row>
    <row r="17" customFormat="false" ht="15" hidden="false" customHeight="false" outlineLevel="0" collapsed="false">
      <c r="B17" s="1"/>
      <c r="C17" s="1"/>
      <c r="D17" s="1"/>
      <c r="E17" s="1"/>
      <c r="F17" s="1"/>
      <c r="I17" s="2" t="s">
        <v>1</v>
      </c>
      <c r="J17" s="2" t="n">
        <v>86.6</v>
      </c>
      <c r="K17" s="2" t="n">
        <v>4</v>
      </c>
      <c r="L17" s="2" t="n">
        <f aca="false">J17*K17</f>
        <v>346.4</v>
      </c>
      <c r="O17" s="1"/>
      <c r="P17" s="1"/>
      <c r="Q17" s="1"/>
      <c r="R17" s="1"/>
    </row>
    <row r="18" customFormat="false" ht="12.75" hidden="false" customHeight="false" outlineLevel="0" collapsed="false">
      <c r="B18" s="1"/>
      <c r="C18" s="1"/>
      <c r="D18" s="1"/>
      <c r="E18" s="1"/>
      <c r="F18" s="1"/>
      <c r="I18" s="2" t="s">
        <v>2</v>
      </c>
      <c r="J18" s="2" t="n">
        <v>12</v>
      </c>
      <c r="K18" s="2" t="n">
        <v>4</v>
      </c>
      <c r="L18" s="2" t="n">
        <f aca="false">J18*K18</f>
        <v>48</v>
      </c>
      <c r="O18" s="1"/>
      <c r="P18" s="1"/>
      <c r="Q18" s="1"/>
      <c r="R18" s="1"/>
    </row>
    <row r="19" customFormat="false" ht="15" hidden="false" customHeight="false" outlineLevel="0" collapsed="false">
      <c r="B19" s="1"/>
      <c r="C19" s="1"/>
      <c r="D19" s="1"/>
      <c r="E19" s="1"/>
      <c r="F19" s="1"/>
      <c r="I19" s="2" t="s">
        <v>3</v>
      </c>
      <c r="J19" s="2" t="n">
        <v>15.3</v>
      </c>
      <c r="K19" s="2" t="n">
        <v>4</v>
      </c>
      <c r="L19" s="2" t="n">
        <f aca="false">J19*K19</f>
        <v>61.2</v>
      </c>
      <c r="O19" s="1"/>
      <c r="P19" s="1"/>
      <c r="Q19" s="1"/>
      <c r="R19" s="1"/>
    </row>
    <row r="20" customFormat="false" ht="12.75" hidden="false" customHeight="false" outlineLevel="0" collapsed="false">
      <c r="B20" s="1"/>
      <c r="C20" s="1"/>
      <c r="D20" s="1"/>
      <c r="E20" s="1"/>
      <c r="F20" s="1"/>
      <c r="I20" s="3" t="s">
        <v>4</v>
      </c>
      <c r="J20" s="3" t="n">
        <f aca="false">18</f>
        <v>18</v>
      </c>
      <c r="K20" s="3" t="n">
        <v>1</v>
      </c>
      <c r="L20" s="3" t="n">
        <f aca="false">J20*K20</f>
        <v>18</v>
      </c>
      <c r="O20" s="1"/>
      <c r="P20" s="1"/>
      <c r="Q20" s="1"/>
      <c r="R20" s="1"/>
    </row>
    <row r="21" customFormat="false" ht="12.75" hidden="false" customHeight="false" outlineLevel="0" collapsed="false">
      <c r="B21" s="1"/>
      <c r="C21" s="1"/>
      <c r="D21" s="1"/>
      <c r="E21" s="1"/>
      <c r="F21" s="1"/>
      <c r="I21" s="3" t="s">
        <v>5</v>
      </c>
      <c r="J21" s="3" t="n">
        <v>21.3</v>
      </c>
      <c r="K21" s="3" t="n">
        <v>1</v>
      </c>
      <c r="L21" s="3" t="n">
        <f aca="false">J21*K21</f>
        <v>21.3</v>
      </c>
    </row>
    <row r="22" customFormat="false" ht="12.75" hidden="false" customHeight="false" outlineLevel="0" collapsed="false">
      <c r="B22" s="1"/>
      <c r="C22" s="1"/>
      <c r="D22" s="1"/>
      <c r="E22" s="1"/>
      <c r="F22" s="1"/>
      <c r="I22" s="3" t="s">
        <v>6</v>
      </c>
      <c r="J22" s="3" t="n">
        <v>34</v>
      </c>
      <c r="K22" s="3" t="n">
        <v>1</v>
      </c>
      <c r="L22" s="3" t="n">
        <f aca="false">J22*K22</f>
        <v>34</v>
      </c>
    </row>
    <row r="23" customFormat="false" ht="12.75" hidden="false" customHeight="false" outlineLevel="0" collapsed="false">
      <c r="B23" s="1"/>
      <c r="C23" s="1"/>
      <c r="D23" s="1"/>
      <c r="E23" s="1"/>
      <c r="F23" s="1"/>
      <c r="I23" s="3" t="s">
        <v>7</v>
      </c>
      <c r="J23" s="3" t="n">
        <v>15</v>
      </c>
      <c r="K23" s="3" t="n">
        <v>1</v>
      </c>
      <c r="L23" s="3" t="n">
        <f aca="false">J23*K23</f>
        <v>15</v>
      </c>
    </row>
    <row r="24" customFormat="false" ht="12.75" hidden="false" customHeight="false" outlineLevel="0" collapsed="false">
      <c r="I24" s="3" t="s">
        <v>8</v>
      </c>
      <c r="J24" s="3" t="n">
        <v>35</v>
      </c>
      <c r="K24" s="3" t="n">
        <v>1</v>
      </c>
      <c r="L24" s="3" t="n">
        <f aca="false">J24*K24</f>
        <v>35</v>
      </c>
    </row>
    <row r="25" customFormat="false" ht="12.75" hidden="false" customHeight="false" outlineLevel="0" collapsed="false">
      <c r="B25" s="1"/>
      <c r="C25" s="1"/>
      <c r="D25" s="1"/>
      <c r="E25" s="1"/>
      <c r="F25" s="1"/>
      <c r="I25" s="4" t="s">
        <v>9</v>
      </c>
      <c r="J25" s="4" t="n">
        <v>60</v>
      </c>
      <c r="K25" s="4" t="n">
        <v>1</v>
      </c>
      <c r="L25" s="4" t="n">
        <f aca="false">J25*K25</f>
        <v>60</v>
      </c>
    </row>
    <row r="26" customFormat="false" ht="12.75" hidden="false" customHeight="false" outlineLevel="0" collapsed="false">
      <c r="B26" s="1"/>
      <c r="C26" s="1"/>
      <c r="D26" s="1"/>
      <c r="E26" s="1"/>
      <c r="F26" s="5"/>
      <c r="I26" s="4" t="s">
        <v>10</v>
      </c>
      <c r="J26" s="4" t="n">
        <v>161.5</v>
      </c>
      <c r="K26" s="4" t="n">
        <v>1</v>
      </c>
      <c r="L26" s="4" t="n">
        <f aca="false">J26*K26</f>
        <v>161.5</v>
      </c>
    </row>
    <row r="27" customFormat="false" ht="12.75" hidden="false" customHeight="false" outlineLevel="0" collapsed="false">
      <c r="B27" s="1"/>
      <c r="C27" s="1"/>
      <c r="D27" s="1"/>
      <c r="E27" s="1"/>
      <c r="F27" s="5"/>
      <c r="I27" s="6" t="s">
        <v>11</v>
      </c>
      <c r="J27" s="6" t="n">
        <v>413</v>
      </c>
      <c r="K27" s="6" t="n">
        <v>1</v>
      </c>
      <c r="L27" s="6" t="n">
        <f aca="false">J27*K27</f>
        <v>413</v>
      </c>
      <c r="N27" s="0" t="s">
        <v>12</v>
      </c>
      <c r="O27" s="0" t="n">
        <f aca="false">SUM(L16:L26)</f>
        <v>1230.4</v>
      </c>
    </row>
    <row r="28" customFormat="false" ht="12.75" hidden="false" customHeight="false" outlineLevel="0" collapsed="false">
      <c r="B28" s="1"/>
      <c r="C28" s="1"/>
      <c r="D28" s="1"/>
      <c r="E28" s="1"/>
      <c r="F28" s="5"/>
      <c r="I28" s="1"/>
      <c r="J28" s="1"/>
      <c r="K28" s="1"/>
      <c r="L28" s="1" t="n">
        <f aca="false">SUM(L16:L27)</f>
        <v>1643.4</v>
      </c>
    </row>
    <row r="29" customFormat="false" ht="12.75" hidden="false" customHeight="false" outlineLevel="0" collapsed="false">
      <c r="B29" s="1"/>
      <c r="C29" s="1"/>
      <c r="D29" s="1"/>
      <c r="E29" s="1"/>
      <c r="F29" s="5"/>
    </row>
    <row r="31" customFormat="false" ht="12.75" hidden="false" customHeight="false" outlineLevel="0" collapsed="false">
      <c r="B31" s="1"/>
      <c r="C31" s="1"/>
      <c r="D31" s="1"/>
      <c r="E31" s="1"/>
      <c r="F31" s="1"/>
      <c r="I31" s="1" t="s">
        <v>13</v>
      </c>
      <c r="J31" s="1"/>
    </row>
    <row r="32" customFormat="false" ht="12.75" hidden="false" customHeight="false" outlineLevel="0" collapsed="false">
      <c r="B32" s="1"/>
      <c r="C32" s="1"/>
      <c r="D32" s="1"/>
      <c r="E32" s="1"/>
      <c r="F32" s="5"/>
      <c r="I32" s="1" t="s">
        <v>14</v>
      </c>
      <c r="J32" s="1" t="n">
        <v>2900</v>
      </c>
    </row>
    <row r="33" customFormat="false" ht="12.75" hidden="false" customHeight="false" outlineLevel="0" collapsed="false">
      <c r="B33" s="1"/>
      <c r="C33" s="1"/>
      <c r="D33" s="1"/>
      <c r="E33" s="1"/>
      <c r="F33" s="5"/>
      <c r="I33" s="1" t="s">
        <v>15</v>
      </c>
      <c r="J33" s="1" t="n">
        <v>45</v>
      </c>
    </row>
    <row r="34" customFormat="false" ht="12.75" hidden="false" customHeight="false" outlineLevel="0" collapsed="false">
      <c r="B34" s="1"/>
      <c r="C34" s="1"/>
      <c r="D34" s="1"/>
      <c r="E34" s="1"/>
      <c r="F34" s="5"/>
      <c r="I34" s="1"/>
      <c r="J34" s="1"/>
    </row>
    <row r="35" customFormat="false" ht="12.75" hidden="false" customHeight="false" outlineLevel="0" collapsed="false">
      <c r="B35" s="1"/>
      <c r="C35" s="1"/>
      <c r="D35" s="1"/>
      <c r="E35" s="1"/>
      <c r="F35" s="5"/>
      <c r="I35" s="1" t="s">
        <v>16</v>
      </c>
      <c r="J35" s="1"/>
      <c r="M35" s="3"/>
      <c r="N35" s="3"/>
      <c r="O35" s="3"/>
      <c r="P35" s="3"/>
    </row>
    <row r="36" customFormat="false" ht="12.75" hidden="false" customHeight="false" outlineLevel="0" collapsed="false">
      <c r="I36" s="1" t="s">
        <v>14</v>
      </c>
      <c r="J36" s="1" t="n">
        <f aca="false">J32*3</f>
        <v>8700</v>
      </c>
      <c r="M36" s="4"/>
      <c r="N36" s="4"/>
      <c r="O36" s="4"/>
      <c r="P36" s="4"/>
    </row>
    <row r="37" customFormat="false" ht="12.75" hidden="false" customHeight="false" outlineLevel="0" collapsed="false">
      <c r="I37" s="1" t="s">
        <v>17</v>
      </c>
      <c r="J37" s="1" t="n">
        <f aca="false">J33*9</f>
        <v>405</v>
      </c>
      <c r="M37" s="4"/>
      <c r="N37" s="4"/>
      <c r="O37" s="4"/>
      <c r="P37" s="4"/>
    </row>
    <row r="38" customFormat="false" ht="12.75" hidden="false" customHeight="false" outlineLevel="0" collapsed="false">
      <c r="I38" s="1" t="s">
        <v>18</v>
      </c>
      <c r="J38" s="1" t="s">
        <v>19</v>
      </c>
      <c r="M38" s="6"/>
      <c r="N38" s="6"/>
      <c r="O38" s="6"/>
      <c r="P38" s="6"/>
    </row>
    <row r="39" customFormat="false" ht="12.75" hidden="false" customHeight="false" outlineLevel="0" collapsed="false">
      <c r="M39" s="1"/>
      <c r="N39" s="1"/>
      <c r="O39" s="1"/>
      <c r="P39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V65"/>
  <sheetViews>
    <sheetView showFormulas="false" showGridLines="true" showRowColHeaders="true" showZeros="true" rightToLeft="false" tabSelected="false" showOutlineSymbols="true" defaultGridColor="true" view="normal" topLeftCell="C29" colorId="64" zoomScale="100" zoomScaleNormal="100" zoomScalePageLayoutView="100" workbookViewId="0">
      <selection pane="topLeft" activeCell="L69" activeCellId="0" sqref="L69"/>
    </sheetView>
  </sheetViews>
  <sheetFormatPr defaultRowHeight="12.75" zeroHeight="false" outlineLevelRow="0" outlineLevelCol="0"/>
  <cols>
    <col collapsed="false" customWidth="true" hidden="false" outlineLevel="0" max="2" min="1" style="0" width="9.5"/>
    <col collapsed="false" customWidth="true" hidden="false" outlineLevel="0" max="3" min="3" style="0" width="25.7"/>
    <col collapsed="false" customWidth="true" hidden="false" outlineLevel="0" max="4" min="4" style="0" width="9.5"/>
    <col collapsed="false" customWidth="true" hidden="false" outlineLevel="0" max="5" min="5" style="0" width="13.2"/>
    <col collapsed="false" customWidth="true" hidden="false" outlineLevel="0" max="6" min="6" style="0" width="13.4"/>
    <col collapsed="false" customWidth="true" hidden="false" outlineLevel="0" max="7" min="7" style="0" width="12"/>
    <col collapsed="false" customWidth="true" hidden="false" outlineLevel="0" max="8" min="8" style="0" width="13.4"/>
    <col collapsed="false" customWidth="true" hidden="false" outlineLevel="0" max="10" min="9" style="0" width="9.5"/>
    <col collapsed="false" customWidth="true" hidden="false" outlineLevel="0" max="11" min="11" style="0" width="11.79"/>
    <col collapsed="false" customWidth="true" hidden="false" outlineLevel="0" max="12" min="12" style="0" width="13.4"/>
    <col collapsed="false" customWidth="true" hidden="false" outlineLevel="0" max="13" min="13" style="0" width="12.4"/>
    <col collapsed="false" customWidth="true" hidden="false" outlineLevel="0" max="14" min="14" style="0" width="13.2"/>
    <col collapsed="false" customWidth="true" hidden="false" outlineLevel="0" max="15" min="15" style="0" width="12.63"/>
    <col collapsed="false" customWidth="true" hidden="false" outlineLevel="0" max="16" min="16" style="0" width="13.2"/>
    <col collapsed="false" customWidth="true" hidden="false" outlineLevel="0" max="18" min="17" style="0" width="9.5"/>
    <col collapsed="false" customWidth="true" hidden="false" outlineLevel="0" max="19" min="19" style="0" width="12.63"/>
    <col collapsed="false" customWidth="true" hidden="false" outlineLevel="0" max="21" min="20" style="0" width="9.5"/>
    <col collapsed="false" customWidth="true" hidden="false" outlineLevel="0" max="22" min="22" style="0" width="12.63"/>
    <col collapsed="false" customWidth="true" hidden="false" outlineLevel="0" max="1025" min="23" style="0" width="9.5"/>
  </cols>
  <sheetData>
    <row r="5" customFormat="false" ht="12.75" hidden="false" customHeight="false" outlineLevel="0" collapsed="false">
      <c r="B5" s="1" t="s">
        <v>20</v>
      </c>
      <c r="C5" s="1" t="s">
        <v>21</v>
      </c>
      <c r="D5" s="1"/>
      <c r="E5" s="1"/>
      <c r="F5" s="7"/>
      <c r="G5" s="7"/>
      <c r="Q5" s="7"/>
      <c r="R5" s="7"/>
      <c r="S5" s="7"/>
    </row>
    <row r="6" customFormat="false" ht="12.75" hidden="false" customHeight="false" outlineLevel="0" collapsed="false">
      <c r="B6" s="1" t="s">
        <v>22</v>
      </c>
      <c r="C6" s="1" t="s">
        <v>23</v>
      </c>
      <c r="D6" s="1" t="s">
        <v>24</v>
      </c>
      <c r="E6" s="1" t="s">
        <v>25</v>
      </c>
      <c r="F6" s="1" t="s">
        <v>26</v>
      </c>
      <c r="G6" s="1" t="s">
        <v>27</v>
      </c>
      <c r="Q6" s="7"/>
      <c r="R6" s="7"/>
      <c r="S6" s="7"/>
    </row>
    <row r="7" customFormat="false" ht="12.75" hidden="false" customHeight="false" outlineLevel="0" collapsed="false">
      <c r="B7" s="1" t="n">
        <v>1</v>
      </c>
      <c r="C7" s="1" t="n">
        <v>210</v>
      </c>
      <c r="D7" s="1" t="n">
        <v>14.8</v>
      </c>
      <c r="E7" s="1" t="n">
        <f aca="false">C7/D7</f>
        <v>14.1891891891892</v>
      </c>
      <c r="F7" s="7" t="n">
        <f aca="false">C7*4</f>
        <v>840</v>
      </c>
      <c r="G7" s="7" t="n">
        <f aca="false">D7*4</f>
        <v>59.2</v>
      </c>
      <c r="Q7" s="7"/>
      <c r="R7" s="7"/>
      <c r="S7" s="7"/>
    </row>
    <row r="8" customFormat="false" ht="12.75" hidden="false" customHeight="false" outlineLevel="0" collapsed="false">
      <c r="B8" s="1" t="n">
        <v>3</v>
      </c>
      <c r="C8" s="1" t="n">
        <v>430</v>
      </c>
      <c r="D8" s="1" t="n">
        <v>44.4</v>
      </c>
      <c r="E8" s="1" t="n">
        <f aca="false">C8/D8</f>
        <v>9.68468468468469</v>
      </c>
      <c r="F8" s="7" t="n">
        <f aca="false">C8*4</f>
        <v>1720</v>
      </c>
      <c r="G8" s="7" t="n">
        <f aca="false">D8*4</f>
        <v>177.6</v>
      </c>
      <c r="Q8" s="7"/>
      <c r="R8" s="7"/>
      <c r="S8" s="7"/>
    </row>
    <row r="9" customFormat="false" ht="12.75" hidden="false" customHeight="false" outlineLevel="0" collapsed="false">
      <c r="B9" s="1" t="n">
        <v>5</v>
      </c>
      <c r="C9" s="1" t="n">
        <v>615</v>
      </c>
      <c r="D9" s="1" t="n">
        <v>74</v>
      </c>
      <c r="E9" s="1" t="n">
        <f aca="false">C9/D9</f>
        <v>8.31081081081081</v>
      </c>
      <c r="F9" s="7" t="n">
        <f aca="false">C9*4</f>
        <v>2460</v>
      </c>
      <c r="G9" s="7" t="n">
        <f aca="false">D9*4</f>
        <v>296</v>
      </c>
    </row>
    <row r="10" customFormat="false" ht="12.75" hidden="false" customHeight="false" outlineLevel="0" collapsed="false">
      <c r="B10" s="1" t="n">
        <v>7</v>
      </c>
      <c r="C10" s="1" t="n">
        <v>810</v>
      </c>
      <c r="D10" s="1" t="n">
        <v>103.6</v>
      </c>
      <c r="E10" s="1" t="n">
        <f aca="false">C10/D10</f>
        <v>7.81853281853282</v>
      </c>
      <c r="F10" s="7" t="n">
        <f aca="false">C10*4</f>
        <v>3240</v>
      </c>
      <c r="G10" s="7" t="n">
        <f aca="false">D10*4</f>
        <v>414.4</v>
      </c>
    </row>
    <row r="11" customFormat="false" ht="12.75" hidden="false" customHeight="false" outlineLevel="0" collapsed="false">
      <c r="B11" s="1" t="n">
        <v>9</v>
      </c>
      <c r="C11" s="1" t="n">
        <v>965</v>
      </c>
      <c r="D11" s="1" t="n">
        <v>133.2</v>
      </c>
      <c r="E11" s="1" t="n">
        <f aca="false">C11/D11</f>
        <v>7.24474474474475</v>
      </c>
      <c r="F11" s="7" t="n">
        <f aca="false">C11*4</f>
        <v>3860</v>
      </c>
      <c r="G11" s="7" t="n">
        <f aca="false">D11*4</f>
        <v>532.8</v>
      </c>
    </row>
    <row r="12" customFormat="false" ht="12.75" hidden="false" customHeight="false" outlineLevel="0" collapsed="false">
      <c r="B12" s="1" t="n">
        <v>11</v>
      </c>
      <c r="C12" s="1" t="n">
        <v>1120</v>
      </c>
      <c r="D12" s="1" t="n">
        <v>162.8</v>
      </c>
      <c r="E12" s="1" t="n">
        <f aca="false">C12/D12</f>
        <v>6.87960687960688</v>
      </c>
      <c r="F12" s="7" t="n">
        <f aca="false">C12*4</f>
        <v>4480</v>
      </c>
      <c r="G12" s="7" t="n">
        <f aca="false">D12*4</f>
        <v>651.2</v>
      </c>
    </row>
    <row r="13" customFormat="false" ht="12.75" hidden="false" customHeight="false" outlineLevel="0" collapsed="false">
      <c r="B13" s="8"/>
      <c r="C13" s="8" t="n">
        <v>1250</v>
      </c>
      <c r="D13" s="0" t="n">
        <v>192.4</v>
      </c>
      <c r="E13" s="1" t="n">
        <f aca="false">C13/D13</f>
        <v>6.4968814968815</v>
      </c>
      <c r="F13" s="7" t="n">
        <f aca="false">C13*4</f>
        <v>5000</v>
      </c>
      <c r="G13" s="7" t="n">
        <f aca="false">D13*4</f>
        <v>769.6</v>
      </c>
    </row>
    <row r="14" customFormat="false" ht="12.75" hidden="false" customHeight="false" outlineLevel="0" collapsed="false">
      <c r="C14" s="0" t="n">
        <v>1340</v>
      </c>
      <c r="D14" s="0" t="n">
        <v>222</v>
      </c>
      <c r="E14" s="1" t="n">
        <f aca="false">C14/D14</f>
        <v>6.03603603603604</v>
      </c>
      <c r="F14" s="7" t="n">
        <f aca="false">C14*4</f>
        <v>5360</v>
      </c>
      <c r="G14" s="7" t="n">
        <f aca="false">D14*4</f>
        <v>888</v>
      </c>
    </row>
    <row r="15" customFormat="false" ht="12.75" hidden="false" customHeight="false" outlineLevel="0" collapsed="false">
      <c r="C15" s="0" t="n">
        <v>1420</v>
      </c>
      <c r="D15" s="0" t="n">
        <v>251.6</v>
      </c>
      <c r="E15" s="1" t="n">
        <f aca="false">C15/D15</f>
        <v>5.64387917329094</v>
      </c>
      <c r="F15" s="7" t="n">
        <f aca="false">C15*4</f>
        <v>5680</v>
      </c>
      <c r="G15" s="7" t="n">
        <f aca="false">D15*4</f>
        <v>1006.4</v>
      </c>
    </row>
    <row r="16" customFormat="false" ht="12.75" hidden="false" customHeight="false" outlineLevel="0" collapsed="false">
      <c r="C16" s="0" t="n">
        <v>1525</v>
      </c>
      <c r="D16" s="0" t="n">
        <v>288.6</v>
      </c>
      <c r="E16" s="1" t="n">
        <f aca="false">C16/D16</f>
        <v>5.28413028413028</v>
      </c>
      <c r="F16" s="7" t="n">
        <f aca="false">C16*4</f>
        <v>6100</v>
      </c>
      <c r="G16" s="7" t="n">
        <f aca="false">D16*4</f>
        <v>1154.4</v>
      </c>
    </row>
    <row r="17" customFormat="false" ht="12.75" hidden="false" customHeight="false" outlineLevel="0" collapsed="false">
      <c r="B17" s="1" t="s">
        <v>28</v>
      </c>
      <c r="C17" s="1"/>
      <c r="D17" s="1"/>
      <c r="E17" s="1"/>
      <c r="F17" s="7"/>
      <c r="G17" s="7"/>
    </row>
    <row r="18" customFormat="false" ht="12.75" hidden="false" customHeight="false" outlineLevel="0" collapsed="false">
      <c r="B18" s="1" t="s">
        <v>22</v>
      </c>
      <c r="C18" s="1" t="s">
        <v>23</v>
      </c>
      <c r="D18" s="1" t="s">
        <v>24</v>
      </c>
      <c r="E18" s="1" t="s">
        <v>25</v>
      </c>
      <c r="F18" s="1" t="s">
        <v>26</v>
      </c>
      <c r="G18" s="1" t="s">
        <v>27</v>
      </c>
    </row>
    <row r="19" customFormat="false" ht="12.75" hidden="false" customHeight="false" outlineLevel="0" collapsed="false">
      <c r="B19" s="1" t="n">
        <v>1</v>
      </c>
      <c r="C19" s="1" t="n">
        <v>170</v>
      </c>
      <c r="D19" s="1" t="n">
        <v>11.1</v>
      </c>
      <c r="E19" s="1" t="n">
        <f aca="false">C19/D19</f>
        <v>15.3153153153153</v>
      </c>
      <c r="F19" s="7" t="n">
        <f aca="false">C19*4</f>
        <v>680</v>
      </c>
      <c r="G19" s="7" t="n">
        <f aca="false">D19*4</f>
        <v>44.4</v>
      </c>
    </row>
    <row r="20" customFormat="false" ht="12.75" hidden="false" customHeight="false" outlineLevel="0" collapsed="false">
      <c r="B20" s="1" t="n">
        <v>3</v>
      </c>
      <c r="C20" s="1" t="n">
        <v>380</v>
      </c>
      <c r="D20" s="1" t="n">
        <v>33.3</v>
      </c>
      <c r="E20" s="1" t="n">
        <f aca="false">C20/D20</f>
        <v>11.4114114114114</v>
      </c>
      <c r="F20" s="7" t="n">
        <f aca="false">C20*4</f>
        <v>1520</v>
      </c>
      <c r="G20" s="7" t="n">
        <f aca="false">D20*4</f>
        <v>133.2</v>
      </c>
    </row>
    <row r="21" customFormat="false" ht="12.75" hidden="false" customHeight="false" outlineLevel="0" collapsed="false">
      <c r="B21" s="1" t="n">
        <v>5</v>
      </c>
      <c r="C21" s="1" t="n">
        <v>515</v>
      </c>
      <c r="D21" s="1" t="n">
        <v>55.5</v>
      </c>
      <c r="E21" s="1" t="n">
        <f aca="false">C21/D21</f>
        <v>9.27927927927928</v>
      </c>
      <c r="F21" s="7" t="n">
        <f aca="false">C21*4</f>
        <v>2060</v>
      </c>
      <c r="G21" s="7" t="n">
        <f aca="false">D21*4</f>
        <v>222</v>
      </c>
    </row>
    <row r="22" customFormat="false" ht="12.75" hidden="false" customHeight="false" outlineLevel="0" collapsed="false">
      <c r="B22" s="1" t="n">
        <v>7</v>
      </c>
      <c r="C22" s="1" t="n">
        <v>645</v>
      </c>
      <c r="D22" s="1" t="n">
        <v>77.7</v>
      </c>
      <c r="E22" s="1" t="n">
        <f aca="false">C22/D22</f>
        <v>8.3011583011583</v>
      </c>
      <c r="F22" s="7" t="n">
        <f aca="false">C22*4</f>
        <v>2580</v>
      </c>
      <c r="G22" s="7" t="n">
        <f aca="false">D22*4</f>
        <v>310.8</v>
      </c>
      <c r="I22" s="7"/>
      <c r="J22" s="7"/>
      <c r="K22" s="7"/>
      <c r="L22" s="7"/>
      <c r="M22" s="7"/>
      <c r="N22" s="7"/>
    </row>
    <row r="23" customFormat="false" ht="12.75" hidden="false" customHeight="false" outlineLevel="0" collapsed="false">
      <c r="B23" s="1" t="n">
        <v>9</v>
      </c>
      <c r="C23" s="1" t="n">
        <v>760</v>
      </c>
      <c r="D23" s="1" t="n">
        <v>99.9</v>
      </c>
      <c r="E23" s="1" t="n">
        <f aca="false">C23/D23</f>
        <v>7.60760760760761</v>
      </c>
      <c r="F23" s="7" t="n">
        <f aca="false">C23*4</f>
        <v>3040</v>
      </c>
      <c r="G23" s="7" t="n">
        <f aca="false">D23*4</f>
        <v>399.6</v>
      </c>
      <c r="I23" s="7"/>
      <c r="J23" s="7"/>
      <c r="K23" s="7"/>
      <c r="L23" s="7"/>
      <c r="M23" s="7"/>
      <c r="N23" s="7"/>
    </row>
    <row r="24" customFormat="false" ht="12.75" hidden="false" customHeight="false" outlineLevel="0" collapsed="false">
      <c r="B24" s="1" t="n">
        <v>11</v>
      </c>
      <c r="C24" s="1" t="n">
        <v>875</v>
      </c>
      <c r="D24" s="1" t="n">
        <v>122.1</v>
      </c>
      <c r="E24" s="1" t="n">
        <f aca="false">C24/D24</f>
        <v>7.16625716625717</v>
      </c>
      <c r="F24" s="7" t="n">
        <f aca="false">C24*4</f>
        <v>3500</v>
      </c>
      <c r="G24" s="7" t="n">
        <f aca="false">D24*4</f>
        <v>488.4</v>
      </c>
      <c r="I24" s="7"/>
      <c r="J24" s="7"/>
      <c r="K24" s="7"/>
      <c r="L24" s="7"/>
      <c r="M24" s="7"/>
      <c r="N24" s="7"/>
    </row>
    <row r="25" customFormat="false" ht="12.75" hidden="false" customHeight="false" outlineLevel="0" collapsed="false">
      <c r="B25" s="1" t="n">
        <v>13</v>
      </c>
      <c r="C25" s="1" t="n">
        <v>980</v>
      </c>
      <c r="D25" s="1" t="n">
        <v>144.3</v>
      </c>
      <c r="E25" s="1" t="n">
        <f aca="false">C25/D25</f>
        <v>6.79140679140679</v>
      </c>
      <c r="F25" s="7" t="n">
        <f aca="false">C25*4</f>
        <v>3920</v>
      </c>
      <c r="G25" s="7" t="n">
        <f aca="false">D25*4</f>
        <v>577.2</v>
      </c>
    </row>
    <row r="29" customFormat="false" ht="12.75" hidden="false" customHeight="false" outlineLevel="0" collapsed="false">
      <c r="Q29" s="0" t="n">
        <v>14.8</v>
      </c>
    </row>
    <row r="30" customFormat="false" ht="12.75" hidden="false" customHeight="false" outlineLevel="0" collapsed="false">
      <c r="R30" s="0" t="n">
        <f aca="false">14.8*5.2</f>
        <v>76.96</v>
      </c>
      <c r="S30" s="0" t="s">
        <v>29</v>
      </c>
      <c r="U30" s="0" t="s">
        <v>24</v>
      </c>
      <c r="V30" s="0" t="n">
        <f aca="false">14.8*13</f>
        <v>192.4</v>
      </c>
    </row>
    <row r="31" customFormat="false" ht="12.75" hidden="false" customHeight="false" outlineLevel="0" collapsed="false">
      <c r="U31" s="0" t="s">
        <v>25</v>
      </c>
      <c r="V31" s="9" t="n">
        <f aca="false">1800/V30</f>
        <v>9.35550935550935</v>
      </c>
    </row>
    <row r="33" customFormat="false" ht="12.75" hidden="false" customHeight="false" outlineLevel="0" collapsed="false">
      <c r="O33" s="0" t="s">
        <v>30</v>
      </c>
      <c r="P33" s="0" t="s">
        <v>31</v>
      </c>
    </row>
    <row r="34" customFormat="false" ht="12.75" hidden="false" customHeight="false" outlineLevel="0" collapsed="false">
      <c r="O34" s="10" t="n">
        <v>0.64</v>
      </c>
      <c r="P34" s="0" t="n">
        <v>16</v>
      </c>
    </row>
    <row r="35" customFormat="false" ht="12.75" hidden="false" customHeight="false" outlineLevel="0" collapsed="false">
      <c r="K35" s="0" t="s">
        <v>32</v>
      </c>
      <c r="O35" s="10" t="n">
        <v>1</v>
      </c>
      <c r="P35" s="0" t="n">
        <f aca="false">P34*O35/O34</f>
        <v>25</v>
      </c>
    </row>
    <row r="36" customFormat="false" ht="12.75" hidden="false" customHeight="false" outlineLevel="0" collapsed="false">
      <c r="O36" s="10" t="n">
        <v>0.8</v>
      </c>
      <c r="P36" s="0" t="n">
        <f aca="false">P34*O36/O34</f>
        <v>20</v>
      </c>
    </row>
    <row r="38" customFormat="false" ht="12.75" hidden="false" customHeight="false" outlineLevel="0" collapsed="false">
      <c r="S38" s="0" t="n">
        <v>1800</v>
      </c>
    </row>
    <row r="43" customFormat="false" ht="12.75" hidden="false" customHeight="false" outlineLevel="0" collapsed="false">
      <c r="L43" s="0" t="s">
        <v>33</v>
      </c>
      <c r="N43" s="0" t="n">
        <v>1238</v>
      </c>
    </row>
    <row r="45" customFormat="false" ht="12.75" hidden="false" customHeight="false" outlineLevel="0" collapsed="false">
      <c r="L45" s="7" t="s">
        <v>34</v>
      </c>
      <c r="M45" s="7"/>
      <c r="N45" s="7"/>
      <c r="O45" s="7"/>
    </row>
    <row r="46" customFormat="false" ht="12.75" hidden="false" customHeight="false" outlineLevel="0" collapsed="false">
      <c r="L46" s="7" t="s">
        <v>35</v>
      </c>
      <c r="M46" s="7" t="s">
        <v>36</v>
      </c>
      <c r="N46" s="7" t="s">
        <v>37</v>
      </c>
      <c r="O46" s="7" t="s">
        <v>38</v>
      </c>
    </row>
    <row r="47" customFormat="false" ht="12.75" hidden="false" customHeight="false" outlineLevel="0" collapsed="false">
      <c r="L47" s="7" t="n">
        <v>1257</v>
      </c>
      <c r="M47" s="7" t="n">
        <v>410</v>
      </c>
      <c r="N47" s="7" t="n">
        <f aca="false">60*(0.1523*M47-3.7147)/(-0.000000005*(M47+L47)^3+0.00005*(M47+L47)^2+0.0159*(M47+L47)+10.921)</f>
        <v>22.9993320598099</v>
      </c>
      <c r="O47" s="7" t="n">
        <f aca="false">N47*0.8</f>
        <v>18.399465647848</v>
      </c>
    </row>
    <row r="49" customFormat="false" ht="12.75" hidden="false" customHeight="false" outlineLevel="0" collapsed="false">
      <c r="K49" s="0" t="s">
        <v>39</v>
      </c>
      <c r="L49" s="0" t="n">
        <f aca="false">SUM(L47:M47)</f>
        <v>1667</v>
      </c>
    </row>
    <row r="51" customFormat="false" ht="12.75" hidden="false" customHeight="false" outlineLevel="0" collapsed="false">
      <c r="S51" s="0" t="n">
        <f aca="false">4.6/5.2</f>
        <v>0.884615384615384</v>
      </c>
    </row>
    <row r="54" customFormat="false" ht="12.75" hidden="false" customHeight="false" outlineLevel="0" collapsed="false">
      <c r="L54" s="7"/>
      <c r="M54" s="7"/>
      <c r="N54" s="7" t="s">
        <v>40</v>
      </c>
      <c r="O54" s="7" t="n">
        <v>1238</v>
      </c>
      <c r="P54" s="7"/>
    </row>
    <row r="55" customFormat="false" ht="12.75" hidden="false" customHeight="false" outlineLevel="0" collapsed="false">
      <c r="K55" s="0" t="s">
        <v>39</v>
      </c>
      <c r="L55" s="7" t="s">
        <v>35</v>
      </c>
      <c r="M55" s="7" t="s">
        <v>41</v>
      </c>
      <c r="N55" s="7" t="s">
        <v>42</v>
      </c>
      <c r="O55" s="7" t="s">
        <v>43</v>
      </c>
      <c r="P55" s="7" t="s">
        <v>38</v>
      </c>
    </row>
    <row r="56" customFormat="false" ht="12.75" hidden="false" customHeight="false" outlineLevel="0" collapsed="false">
      <c r="K56" s="0" t="n">
        <f aca="false">L56+M56</f>
        <v>1657</v>
      </c>
      <c r="L56" s="7" t="n">
        <v>1247</v>
      </c>
      <c r="M56" s="7" t="n">
        <v>410</v>
      </c>
      <c r="N56" s="7" t="n">
        <v>5.2</v>
      </c>
      <c r="O56" s="7" t="n">
        <f aca="false">60*N56*11.1/(-0.000000005*(L56+M56)^3+0.00005*(L56+M56)^2+0.0159*(L56+M56)+10.921)</f>
        <v>22.8139214511883</v>
      </c>
      <c r="P56" s="7" t="n">
        <f aca="false">O56*0.9</f>
        <v>20.5325293060694</v>
      </c>
    </row>
    <row r="57" customFormat="false" ht="12.75" hidden="false" customHeight="false" outlineLevel="0" collapsed="false">
      <c r="K57" s="0" t="n">
        <f aca="false">L57+M57</f>
        <v>1780</v>
      </c>
      <c r="L57" s="7" t="n">
        <v>1247</v>
      </c>
      <c r="M57" s="7" t="n">
        <v>533</v>
      </c>
      <c r="N57" s="7" t="n">
        <v>7</v>
      </c>
      <c r="O57" s="7" t="n">
        <f aca="false">60*N57*11.1/(-0.000000005*(L57+M57)^3+0.00005*(L57+M57)^2+0.0159*(L57+M57)+10.921)</f>
        <v>27.513475819538</v>
      </c>
      <c r="P57" s="7" t="n">
        <f aca="false">O57*0.8</f>
        <v>22.0107806556304</v>
      </c>
    </row>
    <row r="59" customFormat="false" ht="12.75" hidden="false" customHeight="false" outlineLevel="0" collapsed="false">
      <c r="C59" s="0" t="s">
        <v>44</v>
      </c>
    </row>
    <row r="61" customFormat="false" ht="12.75" hidden="false" customHeight="false" outlineLevel="0" collapsed="false">
      <c r="H61" s="0" t="s">
        <v>14</v>
      </c>
      <c r="I61" s="0" t="s">
        <v>15</v>
      </c>
      <c r="J61" s="0" t="s">
        <v>45</v>
      </c>
      <c r="K61" s="0" t="s">
        <v>46</v>
      </c>
      <c r="L61" s="0" t="s">
        <v>47</v>
      </c>
      <c r="M61" s="0" t="s">
        <v>48</v>
      </c>
      <c r="O61" s="7" t="s">
        <v>32</v>
      </c>
      <c r="P61" s="7" t="n">
        <v>935</v>
      </c>
      <c r="Q61" s="7" t="s">
        <v>49</v>
      </c>
      <c r="R61" s="7"/>
      <c r="S61" s="7"/>
    </row>
    <row r="62" customFormat="false" ht="12.75" hidden="false" customHeight="false" outlineLevel="0" collapsed="false">
      <c r="C62" s="0" t="s">
        <v>50</v>
      </c>
      <c r="G62" s="0" t="s">
        <v>51</v>
      </c>
      <c r="H62" s="0" t="n">
        <v>6</v>
      </c>
      <c r="I62" s="0" t="n">
        <v>400</v>
      </c>
      <c r="J62" s="0" t="n">
        <f aca="false">3.7*4</f>
        <v>14.8</v>
      </c>
      <c r="K62" s="0" t="n">
        <f aca="false">D65*4/2</f>
        <v>0.03</v>
      </c>
      <c r="L62" s="0" t="n">
        <f aca="false">K62*15</f>
        <v>0.45</v>
      </c>
      <c r="M62" s="0" t="n">
        <f aca="false">15*15*K62</f>
        <v>6.75</v>
      </c>
      <c r="O62" s="7" t="s">
        <v>2</v>
      </c>
      <c r="P62" s="7" t="n">
        <v>86.8</v>
      </c>
      <c r="Q62" s="7"/>
      <c r="R62" s="7"/>
      <c r="S62" s="7"/>
    </row>
    <row r="63" customFormat="false" ht="12.75" hidden="false" customHeight="false" outlineLevel="0" collapsed="false">
      <c r="C63" s="0" t="s">
        <v>52</v>
      </c>
      <c r="G63" s="0" t="s">
        <v>53</v>
      </c>
      <c r="H63" s="0" t="n">
        <v>9</v>
      </c>
      <c r="I63" s="0" t="n">
        <v>450</v>
      </c>
      <c r="J63" s="0" t="n">
        <f aca="false">3.7*3</f>
        <v>11.1</v>
      </c>
      <c r="K63" s="0" t="n">
        <f aca="false">D65*3/3</f>
        <v>0.015</v>
      </c>
      <c r="L63" s="0" t="n">
        <f aca="false">K63*15</f>
        <v>0.225</v>
      </c>
      <c r="M63" s="0" t="n">
        <f aca="false">15*15*K63</f>
        <v>3.375</v>
      </c>
      <c r="O63" s="7" t="s">
        <v>10</v>
      </c>
      <c r="P63" s="7" t="n">
        <v>45</v>
      </c>
      <c r="Q63" s="7"/>
      <c r="R63" s="7"/>
      <c r="S63" s="7"/>
    </row>
    <row r="64" customFormat="false" ht="12.75" hidden="false" customHeight="false" outlineLevel="0" collapsed="false">
      <c r="O64" s="7" t="s">
        <v>54</v>
      </c>
      <c r="P64" s="7" t="n">
        <v>62</v>
      </c>
      <c r="Q64" s="7"/>
      <c r="R64" s="7" t="n">
        <f aca="false">SUM(P61:P64)</f>
        <v>1128.8</v>
      </c>
      <c r="S64" s="7"/>
    </row>
    <row r="65" customFormat="false" ht="12.75" hidden="false" customHeight="false" outlineLevel="0" collapsed="false">
      <c r="C65" s="0" t="s">
        <v>55</v>
      </c>
      <c r="D65" s="0" t="n">
        <v>0.015</v>
      </c>
      <c r="O65" s="7" t="s">
        <v>11</v>
      </c>
      <c r="P65" s="7" t="n">
        <v>410</v>
      </c>
      <c r="Q65" s="7"/>
      <c r="R65" s="7" t="n">
        <f aca="false">SUM(P61:P65)</f>
        <v>1538.8</v>
      </c>
      <c r="S65" s="7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G2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8" activeCellId="0" sqref="D18"/>
    </sheetView>
  </sheetViews>
  <sheetFormatPr defaultRowHeight="12.75" zeroHeight="false" outlineLevelRow="0" outlineLevelCol="0"/>
  <cols>
    <col collapsed="false" customWidth="true" hidden="false" outlineLevel="0" max="2" min="1" style="0" width="9.5"/>
    <col collapsed="false" customWidth="true" hidden="false" outlineLevel="0" max="3" min="3" style="0" width="12.2"/>
    <col collapsed="false" customWidth="true" hidden="false" outlineLevel="0" max="4" min="4" style="0" width="16"/>
    <col collapsed="false" customWidth="true" hidden="false" outlineLevel="0" max="5" min="5" style="0" width="9.5"/>
    <col collapsed="false" customWidth="true" hidden="false" outlineLevel="0" max="6" min="6" style="0" width="14.61"/>
    <col collapsed="false" customWidth="true" hidden="false" outlineLevel="0" max="1025" min="7" style="0" width="9.5"/>
  </cols>
  <sheetData>
    <row r="5" customFormat="false" ht="12.75" hidden="false" customHeight="false" outlineLevel="0" collapsed="false">
      <c r="C5" s="7" t="s">
        <v>56</v>
      </c>
      <c r="D5" s="7"/>
    </row>
    <row r="6" customFormat="false" ht="12.75" hidden="false" customHeight="false" outlineLevel="0" collapsed="false">
      <c r="C6" s="7"/>
      <c r="D6" s="7"/>
    </row>
    <row r="7" customFormat="false" ht="12.75" hidden="false" customHeight="false" outlineLevel="0" collapsed="false">
      <c r="C7" s="7" t="s">
        <v>57</v>
      </c>
      <c r="D7" s="7" t="n">
        <v>4370</v>
      </c>
    </row>
    <row r="8" customFormat="false" ht="12.75" hidden="false" customHeight="false" outlineLevel="0" collapsed="false">
      <c r="C8" s="7" t="s">
        <v>58</v>
      </c>
      <c r="D8" s="7" t="n">
        <v>3983</v>
      </c>
    </row>
    <row r="9" customFormat="false" ht="12.75" hidden="false" customHeight="false" outlineLevel="0" collapsed="false">
      <c r="C9" s="7"/>
      <c r="D9" s="7"/>
    </row>
    <row r="10" customFormat="false" ht="12.75" hidden="false" customHeight="false" outlineLevel="0" collapsed="false">
      <c r="C10" s="7" t="s">
        <v>59</v>
      </c>
      <c r="D10" s="7" t="n">
        <v>17</v>
      </c>
    </row>
    <row r="11" customFormat="false" ht="12.75" hidden="false" customHeight="false" outlineLevel="0" collapsed="false">
      <c r="C11" s="7" t="s">
        <v>60</v>
      </c>
      <c r="D11" s="7" t="n">
        <f aca="false">(D8*D10)/D7</f>
        <v>15.4945080091533</v>
      </c>
    </row>
    <row r="16" customFormat="false" ht="12.75" hidden="false" customHeight="false" outlineLevel="0" collapsed="false">
      <c r="B16" s="7"/>
      <c r="C16" s="7"/>
      <c r="D16" s="7" t="s">
        <v>61</v>
      </c>
      <c r="E16" s="7" t="s">
        <v>62</v>
      </c>
      <c r="F16" s="7" t="s">
        <v>63</v>
      </c>
      <c r="G16" s="7" t="s">
        <v>64</v>
      </c>
    </row>
    <row r="17" customFormat="false" ht="12.75" hidden="false" customHeight="false" outlineLevel="0" collapsed="false">
      <c r="B17" s="11" t="n">
        <v>42585</v>
      </c>
      <c r="C17" s="12" t="n">
        <v>0.7</v>
      </c>
      <c r="D17" s="7" t="n">
        <v>4</v>
      </c>
      <c r="E17" s="7" t="n">
        <f aca="false">C17*5.2</f>
        <v>3.64</v>
      </c>
      <c r="F17" s="7" t="n">
        <v>15.49450801</v>
      </c>
      <c r="G17" s="7" t="n">
        <f aca="false">F17*D17/E17</f>
        <v>17.0269318791209</v>
      </c>
    </row>
    <row r="18" customFormat="false" ht="12.75" hidden="false" customHeight="false" outlineLevel="0" collapsed="false">
      <c r="B18" s="7"/>
      <c r="C18" s="12" t="n">
        <v>0.57</v>
      </c>
      <c r="D18" s="7" t="n">
        <v>3.37</v>
      </c>
      <c r="E18" s="7" t="n">
        <f aca="false">C18*5.2</f>
        <v>2.964</v>
      </c>
      <c r="F18" s="7" t="n">
        <v>15.49450801</v>
      </c>
      <c r="G18" s="7" t="n">
        <f aca="false">F18*D18/E18</f>
        <v>17.6169001328273</v>
      </c>
    </row>
    <row r="21" customFormat="false" ht="12.75" hidden="false" customHeight="false" outlineLevel="0" collapsed="false">
      <c r="D21" s="0" t="n">
        <v>18</v>
      </c>
      <c r="E21" s="0" t="n">
        <f aca="false">E22*D21/D22</f>
        <v>20.2987951807229</v>
      </c>
    </row>
    <row r="22" customFormat="false" ht="12.75" hidden="false" customHeight="false" outlineLevel="0" collapsed="false">
      <c r="D22" s="0" t="n">
        <v>4.15</v>
      </c>
      <c r="E22" s="0" t="n">
        <f aca="false">5.2*0.9</f>
        <v>4.68</v>
      </c>
    </row>
    <row r="27" customFormat="false" ht="12.75" hidden="false" customHeight="false" outlineLevel="0" collapsed="false">
      <c r="E27" s="0" t="s">
        <v>65</v>
      </c>
      <c r="F27" s="0" t="n">
        <v>14.7</v>
      </c>
    </row>
    <row r="28" customFormat="false" ht="12.75" hidden="false" customHeight="false" outlineLevel="0" collapsed="false">
      <c r="E28" s="0" t="s">
        <v>66</v>
      </c>
      <c r="F28" s="0" t="n">
        <v>47</v>
      </c>
    </row>
    <row r="29" customFormat="false" ht="12.75" hidden="false" customHeight="false" outlineLevel="0" collapsed="false">
      <c r="E29" s="0" t="s">
        <v>67</v>
      </c>
      <c r="F29" s="0" t="n">
        <f aca="false">1.22*(F27+F28)/F27</f>
        <v>5.12068027210884</v>
      </c>
    </row>
  </sheetData>
  <printOptions headings="false" gridLines="false" gridLinesSet="true" horizontalCentered="false" verticalCentered="false"/>
  <pageMargins left="0.697916666666667" right="0.69791666666666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6:H1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4" activeCellId="0" sqref="G14"/>
    </sheetView>
  </sheetViews>
  <sheetFormatPr defaultRowHeight="12.75" zeroHeight="false" outlineLevelRow="0" outlineLevelCol="0"/>
  <cols>
    <col collapsed="false" customWidth="true" hidden="false" outlineLevel="0" max="3" min="1" style="0" width="9"/>
    <col collapsed="false" customWidth="true" hidden="false" outlineLevel="0" max="4" min="4" style="0" width="11"/>
    <col collapsed="false" customWidth="true" hidden="false" outlineLevel="0" max="1025" min="5" style="0" width="9"/>
  </cols>
  <sheetData>
    <row r="6" customFormat="false" ht="12.75" hidden="false" customHeight="false" outlineLevel="0" collapsed="false">
      <c r="D6" s="0" t="s">
        <v>68</v>
      </c>
      <c r="F6" s="0" t="s">
        <v>69</v>
      </c>
      <c r="G6" s="0" t="s">
        <v>70</v>
      </c>
      <c r="H6" s="0" t="s">
        <v>71</v>
      </c>
    </row>
    <row r="7" customFormat="false" ht="12.75" hidden="false" customHeight="false" outlineLevel="0" collapsed="false">
      <c r="D7" s="0" t="n">
        <v>299792458</v>
      </c>
      <c r="F7" s="0" t="n">
        <v>439650</v>
      </c>
      <c r="G7" s="0" t="n">
        <v>435000</v>
      </c>
      <c r="H7" s="0" t="n">
        <f aca="false">(F7+G7)/2</f>
        <v>437325</v>
      </c>
    </row>
    <row r="10" customFormat="false" ht="12.75" hidden="false" customHeight="false" outlineLevel="0" collapsed="false">
      <c r="D10" s="0" t="s">
        <v>72</v>
      </c>
      <c r="E10" s="0" t="n">
        <f aca="false">D7/H7</f>
        <v>685.514109643858</v>
      </c>
    </row>
    <row r="11" customFormat="false" ht="12.75" hidden="false" customHeight="false" outlineLevel="0" collapsed="false">
      <c r="D11" s="13" t="s">
        <v>73</v>
      </c>
      <c r="E11" s="0" t="n">
        <f aca="false">E10/4</f>
        <v>171.378527410964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F20:K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2" activeCellId="0" sqref="J32"/>
    </sheetView>
  </sheetViews>
  <sheetFormatPr defaultRowHeight="12.75" zeroHeight="false" outlineLevelRow="0" outlineLevelCol="0"/>
  <cols>
    <col collapsed="false" customWidth="true" hidden="false" outlineLevel="0" max="1025" min="1" style="0" width="9"/>
  </cols>
  <sheetData>
    <row r="20" customFormat="false" ht="12.75" hidden="false" customHeight="false" outlineLevel="0" collapsed="false">
      <c r="F20" s="0" t="s">
        <v>32</v>
      </c>
      <c r="G20" s="0" t="n">
        <v>907</v>
      </c>
      <c r="J20" s="0" t="s">
        <v>74</v>
      </c>
      <c r="K20" s="0" t="n">
        <v>992</v>
      </c>
    </row>
    <row r="21" customFormat="false" ht="12.75" hidden="false" customHeight="false" outlineLevel="0" collapsed="false">
      <c r="F21" s="0" t="s">
        <v>75</v>
      </c>
      <c r="G21" s="0" t="n">
        <f aca="false">14.5*4</f>
        <v>58</v>
      </c>
      <c r="J21" s="0" t="s">
        <v>10</v>
      </c>
      <c r="K21" s="0" t="n">
        <v>163.7</v>
      </c>
    </row>
    <row r="22" customFormat="false" ht="12.75" hidden="false" customHeight="false" outlineLevel="0" collapsed="false">
      <c r="F22" s="0" t="s">
        <v>54</v>
      </c>
      <c r="G22" s="0" t="n">
        <v>62.6</v>
      </c>
      <c r="J22" s="0" t="s">
        <v>54</v>
      </c>
      <c r="K22" s="0" t="n">
        <v>62.6</v>
      </c>
    </row>
    <row r="23" customFormat="false" ht="12.75" hidden="false" customHeight="false" outlineLevel="0" collapsed="false">
      <c r="F23" s="0" t="s">
        <v>76</v>
      </c>
      <c r="G23" s="0" t="n">
        <v>200</v>
      </c>
      <c r="J23" s="0" t="s">
        <v>77</v>
      </c>
      <c r="K23" s="0" t="n">
        <v>30</v>
      </c>
    </row>
    <row r="24" customFormat="false" ht="12.75" hidden="false" customHeight="false" outlineLevel="0" collapsed="false">
      <c r="F24" s="0" t="s">
        <v>77</v>
      </c>
      <c r="G24" s="0" t="n">
        <v>30</v>
      </c>
      <c r="H24" s="0" t="n">
        <f aca="false">SUM(G20:G24)</f>
        <v>1257.6</v>
      </c>
      <c r="J24" s="0" t="s">
        <v>11</v>
      </c>
      <c r="K24" s="0" t="n">
        <v>533</v>
      </c>
    </row>
    <row r="25" customFormat="false" ht="12.75" hidden="false" customHeight="false" outlineLevel="0" collapsed="false">
      <c r="F25" s="0" t="s">
        <v>78</v>
      </c>
      <c r="G25" s="0" t="n">
        <v>533</v>
      </c>
      <c r="K25" s="0" t="n">
        <f aca="false">SUM(K20:K24)</f>
        <v>1781.3</v>
      </c>
    </row>
    <row r="26" customFormat="false" ht="12.75" hidden="false" customHeight="false" outlineLevel="0" collapsed="false">
      <c r="G26" s="0" t="n">
        <f aca="false">SUM(G20:G25)</f>
        <v>1790.6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O40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J37" activeCellId="0" sqref="J37"/>
    </sheetView>
  </sheetViews>
  <sheetFormatPr defaultRowHeight="12.75" zeroHeight="false" outlineLevelRow="0" outlineLevelCol="0"/>
  <cols>
    <col collapsed="false" customWidth="true" hidden="false" outlineLevel="0" max="4" min="1" style="0" width="9"/>
    <col collapsed="false" customWidth="true" hidden="false" outlineLevel="0" max="5" min="5" style="0" width="12.63"/>
    <col collapsed="false" customWidth="true" hidden="false" outlineLevel="0" max="6" min="6" style="0" width="9.37"/>
    <col collapsed="false" customWidth="true" hidden="false" outlineLevel="0" max="8" min="7" style="0" width="9"/>
    <col collapsed="false" customWidth="true" hidden="false" outlineLevel="0" max="9" min="9" style="0" width="12.63"/>
    <col collapsed="false" customWidth="true" hidden="false" outlineLevel="0" max="13" min="10" style="0" width="9"/>
    <col collapsed="false" customWidth="true" hidden="false" outlineLevel="0" max="14" min="14" style="0" width="12.63"/>
    <col collapsed="false" customWidth="true" hidden="false" outlineLevel="0" max="1025" min="15" style="0" width="9"/>
  </cols>
  <sheetData>
    <row r="2" customFormat="false" ht="12.75" hidden="false" customHeight="false" outlineLevel="0" collapsed="false">
      <c r="B2" s="0" t="n">
        <v>2216</v>
      </c>
      <c r="C2" s="0" t="s">
        <v>79</v>
      </c>
    </row>
    <row r="4" customFormat="false" ht="12.75" hidden="false" customHeight="false" outlineLevel="0" collapsed="false">
      <c r="L4" s="0" t="n">
        <v>2216</v>
      </c>
      <c r="M4" s="0" t="s">
        <v>80</v>
      </c>
      <c r="N4" s="0" t="n">
        <v>16.6</v>
      </c>
      <c r="O4" s="0" t="n">
        <v>1238</v>
      </c>
    </row>
    <row r="5" customFormat="false" ht="12.75" hidden="false" customHeight="false" outlineLevel="0" collapsed="false">
      <c r="C5" s="0" t="s">
        <v>81</v>
      </c>
      <c r="D5" s="0" t="s">
        <v>25</v>
      </c>
      <c r="E5" s="0" t="n">
        <v>9</v>
      </c>
    </row>
    <row r="6" customFormat="false" ht="12.75" hidden="false" customHeight="false" outlineLevel="0" collapsed="false">
      <c r="L6" s="0" t="s">
        <v>82</v>
      </c>
      <c r="M6" s="0" t="s">
        <v>83</v>
      </c>
      <c r="N6" s="0" t="s">
        <v>25</v>
      </c>
    </row>
    <row r="7" customFormat="false" ht="12.75" hidden="false" customHeight="false" outlineLevel="0" collapsed="false">
      <c r="C7" s="0" t="s">
        <v>39</v>
      </c>
      <c r="E7" s="0" t="n">
        <v>1600</v>
      </c>
      <c r="L7" s="0" t="n">
        <v>368</v>
      </c>
      <c r="M7" s="0" t="n">
        <v>1.1</v>
      </c>
      <c r="N7" s="0" t="n">
        <f aca="false">L7/M7/16.6</f>
        <v>20.1533406352683</v>
      </c>
    </row>
    <row r="8" customFormat="false" ht="12.75" hidden="false" customHeight="false" outlineLevel="0" collapsed="false">
      <c r="C8" s="0" t="s">
        <v>27</v>
      </c>
      <c r="E8" s="0" t="n">
        <f aca="false">E7/E5</f>
        <v>177.777777777778</v>
      </c>
      <c r="L8" s="0" t="n">
        <v>476</v>
      </c>
      <c r="M8" s="0" t="n">
        <v>2.3</v>
      </c>
      <c r="N8" s="0" t="n">
        <f aca="false">L8/M8/16.6</f>
        <v>12.4672603457307</v>
      </c>
    </row>
    <row r="9" customFormat="false" ht="12.75" hidden="false" customHeight="false" outlineLevel="0" collapsed="false">
      <c r="C9" s="0" t="s">
        <v>84</v>
      </c>
      <c r="E9" s="0" t="n">
        <f aca="false">15*5.3</f>
        <v>79.5</v>
      </c>
      <c r="L9" s="0" t="n">
        <v>554</v>
      </c>
      <c r="M9" s="0" t="n">
        <v>3.2</v>
      </c>
      <c r="N9" s="0" t="n">
        <f aca="false">L9/M9/16.6</f>
        <v>10.4292168674699</v>
      </c>
    </row>
    <row r="10" customFormat="false" ht="12.75" hidden="false" customHeight="false" outlineLevel="0" collapsed="false">
      <c r="C10" s="0" t="s">
        <v>31</v>
      </c>
      <c r="E10" s="0" t="n">
        <f aca="false">60*E9/E8</f>
        <v>26.83125</v>
      </c>
      <c r="L10" s="0" t="n">
        <v>742</v>
      </c>
      <c r="M10" s="0" t="n">
        <v>5.8</v>
      </c>
      <c r="N10" s="0" t="n">
        <f aca="false">L10/M10/16.6</f>
        <v>7.70668882426257</v>
      </c>
    </row>
    <row r="11" customFormat="false" ht="12.75" hidden="false" customHeight="false" outlineLevel="0" collapsed="false">
      <c r="C11" s="10" t="n">
        <v>0.8</v>
      </c>
      <c r="E11" s="0" t="n">
        <f aca="false">E10*0.8</f>
        <v>21.465</v>
      </c>
      <c r="L11" s="0" t="n">
        <v>940</v>
      </c>
      <c r="M11" s="0" t="n">
        <v>9.4</v>
      </c>
      <c r="N11" s="0" t="n">
        <f aca="false">L11/M11/16.6</f>
        <v>6.02409638554217</v>
      </c>
    </row>
    <row r="18" customFormat="false" ht="12.75" hidden="false" customHeight="false" outlineLevel="0" collapsed="false">
      <c r="C18" s="0" t="s">
        <v>85</v>
      </c>
      <c r="H18" s="7"/>
      <c r="I18" s="7" t="s">
        <v>86</v>
      </c>
      <c r="J18" s="7"/>
    </row>
    <row r="19" customFormat="false" ht="12.75" hidden="false" customHeight="false" outlineLevel="0" collapsed="false">
      <c r="C19" s="2" t="s">
        <v>0</v>
      </c>
      <c r="D19" s="2" t="n">
        <v>206</v>
      </c>
      <c r="E19" s="2" t="n">
        <v>1</v>
      </c>
      <c r="F19" s="2" t="n">
        <f aca="false">D19*E19</f>
        <v>206</v>
      </c>
      <c r="H19" s="12" t="n">
        <v>1</v>
      </c>
      <c r="I19" s="7" t="n">
        <f aca="false">15*5.2</f>
        <v>78</v>
      </c>
      <c r="J19" s="7"/>
    </row>
    <row r="20" customFormat="false" ht="12.75" hidden="false" customHeight="false" outlineLevel="0" collapsed="false">
      <c r="C20" s="2" t="s">
        <v>1</v>
      </c>
      <c r="D20" s="2" t="n">
        <v>60</v>
      </c>
      <c r="E20" s="2" t="n">
        <v>4</v>
      </c>
      <c r="F20" s="2" t="n">
        <f aca="false">D20*E20</f>
        <v>240</v>
      </c>
      <c r="H20" s="12" t="n">
        <v>0.8</v>
      </c>
      <c r="I20" s="7" t="n">
        <f aca="false">I19*0.8</f>
        <v>62.4</v>
      </c>
      <c r="J20" s="7"/>
    </row>
    <row r="21" customFormat="false" ht="12.75" hidden="false" customHeight="false" outlineLevel="0" collapsed="false">
      <c r="C21" s="2" t="s">
        <v>2</v>
      </c>
      <c r="D21" s="2" t="n">
        <v>14.5</v>
      </c>
      <c r="E21" s="2" t="n">
        <v>4</v>
      </c>
      <c r="F21" s="2" t="n">
        <f aca="false">D21*E21</f>
        <v>58</v>
      </c>
      <c r="H21" s="7"/>
      <c r="I21" s="7"/>
      <c r="J21" s="7"/>
      <c r="M21" s="0" t="s">
        <v>87</v>
      </c>
    </row>
    <row r="22" customFormat="false" ht="12.75" hidden="false" customHeight="false" outlineLevel="0" collapsed="false">
      <c r="C22" s="2" t="s">
        <v>3</v>
      </c>
      <c r="D22" s="2" t="n">
        <v>11</v>
      </c>
      <c r="E22" s="2" t="n">
        <v>4</v>
      </c>
      <c r="F22" s="2" t="n">
        <f aca="false">D22*E22</f>
        <v>44</v>
      </c>
      <c r="H22" s="7"/>
      <c r="I22" s="7"/>
      <c r="J22" s="7"/>
      <c r="M22" s="0" t="n">
        <v>1.37</v>
      </c>
      <c r="N22" s="0" t="n">
        <v>12</v>
      </c>
    </row>
    <row r="23" customFormat="false" ht="12.75" hidden="false" customHeight="false" outlineLevel="0" collapsed="false">
      <c r="C23" s="3" t="s">
        <v>4</v>
      </c>
      <c r="D23" s="3" t="n">
        <f aca="false">18</f>
        <v>18</v>
      </c>
      <c r="E23" s="3" t="n">
        <v>1</v>
      </c>
      <c r="F23" s="3" t="n">
        <f aca="false">D23*E23</f>
        <v>18</v>
      </c>
      <c r="H23" s="7"/>
      <c r="I23" s="7"/>
      <c r="J23" s="7"/>
      <c r="M23" s="0" t="n">
        <f aca="false">5.2*0.8</f>
        <v>4.16</v>
      </c>
      <c r="N23" s="0" t="n">
        <f aca="false">M23*N22/M22</f>
        <v>36.4379562043796</v>
      </c>
    </row>
    <row r="24" customFormat="false" ht="12.75" hidden="false" customHeight="false" outlineLevel="0" collapsed="false">
      <c r="C24" s="3" t="s">
        <v>5</v>
      </c>
      <c r="D24" s="3" t="n">
        <v>16</v>
      </c>
      <c r="E24" s="3" t="n">
        <v>1</v>
      </c>
      <c r="F24" s="3" t="n">
        <f aca="false">D24*E24</f>
        <v>16</v>
      </c>
      <c r="H24" s="7"/>
      <c r="I24" s="7"/>
      <c r="J24" s="7"/>
    </row>
    <row r="25" customFormat="false" ht="12.75" hidden="false" customHeight="false" outlineLevel="0" collapsed="false">
      <c r="C25" s="3" t="s">
        <v>6</v>
      </c>
      <c r="D25" s="3" t="n">
        <v>8</v>
      </c>
      <c r="E25" s="3" t="n">
        <v>1</v>
      </c>
      <c r="F25" s="3" t="n">
        <f aca="false">D25*E25</f>
        <v>8</v>
      </c>
      <c r="H25" s="7"/>
      <c r="I25" s="7"/>
      <c r="J25" s="7"/>
    </row>
    <row r="26" customFormat="false" ht="12.75" hidden="false" customHeight="false" outlineLevel="0" collapsed="false">
      <c r="C26" s="3" t="s">
        <v>7</v>
      </c>
      <c r="D26" s="3" t="n">
        <v>15</v>
      </c>
      <c r="E26" s="3" t="n">
        <v>1</v>
      </c>
      <c r="F26" s="3" t="n">
        <f aca="false">D26*E26</f>
        <v>15</v>
      </c>
      <c r="H26" s="7"/>
      <c r="I26" s="7"/>
      <c r="J26" s="7"/>
    </row>
    <row r="27" customFormat="false" ht="12.75" hidden="false" customHeight="false" outlineLevel="0" collapsed="false">
      <c r="C27" s="3" t="s">
        <v>88</v>
      </c>
      <c r="D27" s="3" t="n">
        <v>20</v>
      </c>
      <c r="E27" s="3" t="n">
        <v>1</v>
      </c>
      <c r="F27" s="3" t="n">
        <f aca="false">D27*E27</f>
        <v>20</v>
      </c>
      <c r="H27" s="7" t="s">
        <v>25</v>
      </c>
      <c r="I27" s="7" t="n">
        <v>9.68</v>
      </c>
      <c r="J27" s="7"/>
    </row>
    <row r="28" customFormat="false" ht="12.75" hidden="false" customHeight="false" outlineLevel="0" collapsed="false">
      <c r="C28" s="4" t="s">
        <v>9</v>
      </c>
      <c r="D28" s="4" t="n">
        <v>65</v>
      </c>
      <c r="E28" s="4" t="n">
        <v>1</v>
      </c>
      <c r="F28" s="4" t="n">
        <f aca="false">D28*E28</f>
        <v>65</v>
      </c>
      <c r="H28" s="7" t="s">
        <v>89</v>
      </c>
      <c r="I28" s="7" t="n">
        <f aca="false">F31/I27</f>
        <v>136.363636363636</v>
      </c>
      <c r="J28" s="7"/>
      <c r="M28" s="0" t="s">
        <v>90</v>
      </c>
    </row>
    <row r="29" customFormat="false" ht="15" hidden="false" customHeight="false" outlineLevel="0" collapsed="false">
      <c r="C29" s="4" t="s">
        <v>10</v>
      </c>
      <c r="D29" s="4" t="n">
        <v>161.5</v>
      </c>
      <c r="E29" s="4" t="n">
        <v>1</v>
      </c>
      <c r="F29" s="4" t="n">
        <f aca="false">D29*E29</f>
        <v>161.5</v>
      </c>
      <c r="H29" s="7" t="s">
        <v>91</v>
      </c>
      <c r="I29" s="7" t="n">
        <f aca="false">60*I20/I28</f>
        <v>27.456</v>
      </c>
      <c r="J29" s="12" t="n">
        <f aca="false">H20</f>
        <v>0.8</v>
      </c>
      <c r="M29" s="0" t="s">
        <v>0</v>
      </c>
      <c r="N29" s="0" t="n">
        <v>609</v>
      </c>
    </row>
    <row r="30" customFormat="false" ht="15" hidden="false" customHeight="false" outlineLevel="0" collapsed="false">
      <c r="C30" s="6" t="s">
        <v>11</v>
      </c>
      <c r="D30" s="6" t="n">
        <v>533</v>
      </c>
      <c r="E30" s="6" t="n">
        <v>1</v>
      </c>
      <c r="F30" s="6" t="n">
        <f aca="false">D30*E30</f>
        <v>533</v>
      </c>
      <c r="H30" s="7" t="s">
        <v>91</v>
      </c>
      <c r="I30" s="7" t="n">
        <f aca="false">60*I19/I28</f>
        <v>34.32</v>
      </c>
      <c r="J30" s="14" t="n">
        <f aca="false">H19</f>
        <v>1</v>
      </c>
      <c r="M30" s="0" t="s">
        <v>10</v>
      </c>
      <c r="N30" s="0" t="n">
        <v>165</v>
      </c>
    </row>
    <row r="31" customFormat="false" ht="12.75" hidden="false" customHeight="false" outlineLevel="0" collapsed="false">
      <c r="C31" s="1"/>
      <c r="D31" s="1"/>
      <c r="E31" s="1"/>
      <c r="F31" s="1" t="n">
        <f aca="false">N34</f>
        <v>1320</v>
      </c>
      <c r="M31" s="0" t="s">
        <v>2</v>
      </c>
      <c r="N31" s="0" t="n">
        <v>70</v>
      </c>
    </row>
    <row r="32" customFormat="false" ht="12.75" hidden="false" customHeight="false" outlineLevel="0" collapsed="false">
      <c r="M32" s="0" t="s">
        <v>11</v>
      </c>
      <c r="N32" s="0" t="n">
        <v>509</v>
      </c>
    </row>
    <row r="33" customFormat="false" ht="12.75" hidden="false" customHeight="false" outlineLevel="0" collapsed="false">
      <c r="M33" s="0" t="s">
        <v>54</v>
      </c>
      <c r="N33" s="0" t="n">
        <v>52.5</v>
      </c>
      <c r="O33" s="0" t="n">
        <f aca="false">N34-N32</f>
        <v>811</v>
      </c>
    </row>
    <row r="34" customFormat="false" ht="12.75" hidden="false" customHeight="false" outlineLevel="0" collapsed="false">
      <c r="N34" s="0" t="n">
        <f aca="false">1320</f>
        <v>1320</v>
      </c>
    </row>
    <row r="35" customFormat="false" ht="12.75" hidden="false" customHeight="false" outlineLevel="0" collapsed="false">
      <c r="D35" s="7"/>
      <c r="E35" s="7" t="s">
        <v>92</v>
      </c>
      <c r="F35" s="7" t="s">
        <v>93</v>
      </c>
      <c r="H35" s="7"/>
      <c r="I35" s="7"/>
      <c r="J35" s="7"/>
    </row>
    <row r="36" customFormat="false" ht="12.75" hidden="false" customHeight="false" outlineLevel="0" collapsed="false">
      <c r="B36" s="0" t="n">
        <v>1159</v>
      </c>
      <c r="D36" s="7" t="s">
        <v>39</v>
      </c>
      <c r="E36" s="7" t="n">
        <v>1620</v>
      </c>
      <c r="F36" s="7"/>
      <c r="H36" s="7"/>
      <c r="I36" s="7"/>
      <c r="J36" s="7"/>
    </row>
    <row r="37" customFormat="false" ht="12.75" hidden="false" customHeight="false" outlineLevel="0" collapsed="false">
      <c r="B37" s="0" t="n">
        <v>533</v>
      </c>
      <c r="D37" s="7" t="s">
        <v>25</v>
      </c>
      <c r="E37" s="7" t="n">
        <v>9.68</v>
      </c>
      <c r="F37" s="7"/>
      <c r="H37" s="7"/>
      <c r="I37" s="7"/>
      <c r="J37" s="7"/>
    </row>
    <row r="38" customFormat="false" ht="12.75" hidden="false" customHeight="false" outlineLevel="0" collapsed="false">
      <c r="B38" s="0" t="n">
        <f aca="false">SUM(B36:B37)</f>
        <v>1692</v>
      </c>
      <c r="D38" s="7" t="s">
        <v>89</v>
      </c>
      <c r="E38" s="7" t="n">
        <f aca="false">E36/E37</f>
        <v>167.355371900826</v>
      </c>
      <c r="F38" s="7"/>
      <c r="H38" s="7"/>
      <c r="I38" s="7"/>
      <c r="J38" s="7"/>
    </row>
    <row r="39" customFormat="false" ht="12.75" hidden="false" customHeight="false" outlineLevel="0" collapsed="false">
      <c r="D39" s="7" t="s">
        <v>91</v>
      </c>
      <c r="E39" s="7" t="n">
        <f aca="false">60*I20/E38</f>
        <v>22.3715555555556</v>
      </c>
      <c r="F39" s="12" t="n">
        <f aca="false">H20</f>
        <v>0.8</v>
      </c>
      <c r="H39" s="7"/>
      <c r="I39" s="7"/>
      <c r="J39" s="12"/>
    </row>
    <row r="40" customFormat="false" ht="12.75" hidden="false" customHeight="false" outlineLevel="0" collapsed="false">
      <c r="D40" s="7" t="s">
        <v>91</v>
      </c>
      <c r="E40" s="7" t="n">
        <f aca="false">60*I19/E38</f>
        <v>27.9644444444445</v>
      </c>
      <c r="F40" s="14" t="n">
        <f aca="false">H19</f>
        <v>1</v>
      </c>
      <c r="H40" s="7"/>
      <c r="I40" s="7"/>
      <c r="J40" s="1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LibreOffice/6.0.2.1.0$Linux_X86_64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2016-03-21T18:20:00Z</dcterms:created>
  <dc:creator>danny</dc:creator>
  <dc:description/>
  <dc:language>zh-CN</dc:language>
  <cp:lastModifiedBy/>
  <dcterms:modified xsi:type="dcterms:W3CDTF">2018-03-21T20:57:44Z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2052-10.1.0.5707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