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ink/ink1.xml" ContentType="application/inkml+xml"/>
  <Override PartName="/xl/ink/ink2.xml" ContentType="application/inkml+xml"/>
  <Override PartName="/xl/ink/ink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osullivan/Desktop/"/>
    </mc:Choice>
  </mc:AlternateContent>
  <xr:revisionPtr revIDLastSave="0" documentId="13_ncr:1_{87C73BF9-9F17-4744-9D82-20B606E2D6A0}" xr6:coauthVersionLast="47" xr6:coauthVersionMax="47" xr10:uidLastSave="{00000000-0000-0000-0000-000000000000}"/>
  <bookViews>
    <workbookView xWindow="0" yWindow="0" windowWidth="25600" windowHeight="16000" firstSheet="1" activeTab="7" xr2:uid="{F4473807-481A-814C-9A86-F4FE7D9C3979}"/>
  </bookViews>
  <sheets>
    <sheet name="epsion v small" sheetId="2" r:id="rId1"/>
    <sheet name="Test Cases" sheetId="3" r:id="rId2"/>
    <sheet name="TVD mass vs TVD" sheetId="1" r:id="rId3"/>
    <sheet name="kernel integration part 1" sheetId="4" r:id="rId4"/>
    <sheet name="kernel integration 2" sheetId="5" r:id="rId5"/>
    <sheet name="moments errors" sheetId="6" r:id="rId6"/>
    <sheet name="ANNvsKernel Timing" sheetId="7" r:id="rId7"/>
    <sheet name="ANN_timings_accuracy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8" l="1"/>
  <c r="P4" i="8"/>
  <c r="P5" i="8"/>
  <c r="P6" i="8"/>
  <c r="P7" i="8"/>
  <c r="P8" i="8"/>
  <c r="P9" i="8"/>
  <c r="P10" i="8"/>
  <c r="P11" i="8"/>
  <c r="P12" i="8"/>
  <c r="P13" i="8"/>
  <c r="P14" i="8"/>
  <c r="P3" i="8"/>
  <c r="K7" i="8"/>
  <c r="J2" i="8"/>
  <c r="K12" i="8" s="1"/>
  <c r="J14" i="8"/>
  <c r="L14" i="8"/>
  <c r="J13" i="8"/>
  <c r="E13" i="8"/>
  <c r="E3" i="8"/>
  <c r="E4" i="8"/>
  <c r="E5" i="8"/>
  <c r="E6" i="8"/>
  <c r="E7" i="8"/>
  <c r="E8" i="8"/>
  <c r="E12" i="8"/>
  <c r="E11" i="8"/>
  <c r="J12" i="8"/>
  <c r="J11" i="8"/>
  <c r="K11" i="8" s="1"/>
  <c r="L10" i="8"/>
  <c r="J10" i="8"/>
  <c r="K10" i="8" s="1"/>
  <c r="J9" i="8"/>
  <c r="K9" i="8" s="1"/>
  <c r="J8" i="8"/>
  <c r="K8" i="8" s="1"/>
  <c r="L8" i="8"/>
  <c r="L7" i="8"/>
  <c r="J7" i="8"/>
  <c r="K6" i="8"/>
  <c r="J6" i="8"/>
  <c r="L6" i="8"/>
  <c r="K5" i="8"/>
  <c r="J5" i="8"/>
  <c r="K4" i="8"/>
  <c r="J4" i="8"/>
  <c r="L4" i="8"/>
  <c r="K3" i="8"/>
  <c r="F2" i="8"/>
  <c r="J3" i="8"/>
  <c r="F3" i="8"/>
  <c r="L3" i="8"/>
  <c r="F7" i="7"/>
  <c r="E8" i="7"/>
  <c r="F8" i="7" s="1"/>
  <c r="F3" i="7"/>
  <c r="F4" i="7"/>
  <c r="F5" i="7"/>
  <c r="F6" i="7"/>
  <c r="F9" i="7"/>
  <c r="F10" i="7"/>
  <c r="F11" i="7"/>
  <c r="F12" i="7"/>
  <c r="F2" i="7"/>
  <c r="E5" i="7"/>
  <c r="D5" i="7"/>
  <c r="E6" i="7"/>
  <c r="D6" i="7"/>
  <c r="E11" i="7"/>
  <c r="D11" i="7"/>
  <c r="D10" i="7"/>
  <c r="E9" i="7"/>
  <c r="D9" i="7"/>
  <c r="D8" i="7"/>
  <c r="E7" i="7"/>
  <c r="D7" i="7"/>
  <c r="E4" i="7"/>
  <c r="D4" i="7"/>
  <c r="E3" i="7"/>
  <c r="D3" i="7"/>
  <c r="E2" i="7"/>
  <c r="D2" i="7"/>
  <c r="D11" i="6"/>
  <c r="E7" i="6"/>
  <c r="D7" i="6"/>
  <c r="F7" i="6"/>
  <c r="H7" i="6"/>
  <c r="D9" i="6"/>
  <c r="E9" i="6"/>
  <c r="F9" i="6"/>
  <c r="H9" i="6"/>
  <c r="D5" i="6"/>
  <c r="H5" i="6"/>
  <c r="F5" i="6"/>
  <c r="E5" i="6"/>
  <c r="F11" i="6"/>
  <c r="H11" i="6"/>
  <c r="F10" i="6"/>
  <c r="D10" i="6"/>
  <c r="H10" i="6"/>
  <c r="F8" i="6"/>
  <c r="D8" i="6"/>
  <c r="E8" i="6"/>
  <c r="H8" i="6"/>
  <c r="F6" i="6"/>
  <c r="E6" i="6"/>
  <c r="D6" i="6"/>
  <c r="H6" i="6"/>
  <c r="H4" i="6"/>
  <c r="H3" i="6"/>
  <c r="F4" i="6"/>
  <c r="E4" i="6"/>
  <c r="D4" i="6"/>
  <c r="F3" i="6"/>
  <c r="E3" i="6"/>
  <c r="D3" i="6"/>
  <c r="B39" i="5"/>
  <c r="B38" i="5"/>
  <c r="B29" i="5"/>
  <c r="B28" i="5"/>
  <c r="B19" i="5"/>
  <c r="B18" i="5"/>
  <c r="B9" i="5"/>
  <c r="B8" i="5"/>
  <c r="E7" i="5"/>
  <c r="E6" i="5"/>
  <c r="E5" i="5"/>
  <c r="E4" i="5"/>
  <c r="C7" i="5"/>
  <c r="C6" i="5"/>
  <c r="C5" i="5"/>
  <c r="C4" i="5"/>
  <c r="B14" i="4"/>
  <c r="B13" i="4"/>
  <c r="E4" i="4"/>
  <c r="K4" i="3"/>
  <c r="K3" i="3"/>
  <c r="K2" i="3"/>
  <c r="E6" i="2"/>
  <c r="G6" i="2"/>
  <c r="F6" i="2"/>
  <c r="G5" i="2"/>
  <c r="F5" i="2"/>
  <c r="E5" i="2"/>
  <c r="G4" i="2"/>
  <c r="F4" i="2"/>
  <c r="E4" i="2"/>
  <c r="E3" i="2"/>
  <c r="G3" i="2"/>
  <c r="F3" i="2"/>
  <c r="E6" i="1"/>
  <c r="G6" i="1"/>
  <c r="F6" i="1"/>
  <c r="E3" i="1"/>
  <c r="G3" i="1"/>
  <c r="F3" i="1"/>
  <c r="G4" i="1"/>
  <c r="F4" i="1"/>
  <c r="G5" i="1"/>
  <c r="F5" i="1"/>
  <c r="E5" i="1"/>
  <c r="E4" i="1"/>
  <c r="K13" i="8" l="1"/>
  <c r="K14" i="8"/>
</calcChain>
</file>

<file path=xl/sharedStrings.xml><?xml version="1.0" encoding="utf-8"?>
<sst xmlns="http://schemas.openxmlformats.org/spreadsheetml/2006/main" count="220" uniqueCount="108">
  <si>
    <t>No Grid points</t>
  </si>
  <si>
    <t>TVD Zeroth Mom error</t>
  </si>
  <si>
    <t>TVD mass Zeroth Mom error</t>
  </si>
  <si>
    <t>TVD mass First Mom error</t>
  </si>
  <si>
    <t>TVD First Mom error</t>
  </si>
  <si>
    <t>Vmin</t>
  </si>
  <si>
    <t>Vmax</t>
  </si>
  <si>
    <t>Test Case</t>
  </si>
  <si>
    <t>Agg</t>
  </si>
  <si>
    <t>Break</t>
  </si>
  <si>
    <t>Growth</t>
  </si>
  <si>
    <t>CONST</t>
  </si>
  <si>
    <t>none</t>
  </si>
  <si>
    <t>points</t>
  </si>
  <si>
    <t>10^-5</t>
  </si>
  <si>
    <t>2*10^2</t>
  </si>
  <si>
    <t>tmax</t>
  </si>
  <si>
    <t>success or not?</t>
  </si>
  <si>
    <t>YES</t>
  </si>
  <si>
    <t>%error M_0</t>
  </si>
  <si>
    <t>%error M_1</t>
  </si>
  <si>
    <t>%error M_2_3</t>
  </si>
  <si>
    <t>SUM</t>
  </si>
  <si>
    <t>Larry</t>
  </si>
  <si>
    <t>2D GQ</t>
  </si>
  <si>
    <t>3D GQ</t>
  </si>
  <si>
    <t>brownian</t>
  </si>
  <si>
    <t>free mol</t>
  </si>
  <si>
    <t>vmin</t>
  </si>
  <si>
    <t>vmax</t>
  </si>
  <si>
    <t>Free Mol</t>
  </si>
  <si>
    <t>2D Gauss</t>
  </si>
  <si>
    <t>3D Gauss</t>
  </si>
  <si>
    <t>Max. % error</t>
  </si>
  <si>
    <t>Av. % error</t>
  </si>
  <si>
    <t>Browian</t>
  </si>
  <si>
    <t>Shear</t>
  </si>
  <si>
    <t>Gravitational</t>
  </si>
  <si>
    <t>test case</t>
  </si>
  <si>
    <t>% errors in moments</t>
  </si>
  <si>
    <t>CONST AGG</t>
  </si>
  <si>
    <t>MO (%)</t>
  </si>
  <si>
    <t>M23 (%)</t>
  </si>
  <si>
    <t>M1 (%)</t>
  </si>
  <si>
    <t>no grid points</t>
  </si>
  <si>
    <t>SUM AGG</t>
  </si>
  <si>
    <t>no cells</t>
  </si>
  <si>
    <t>TERNARY BREAK</t>
  </si>
  <si>
    <t>BINARY BREAK</t>
  </si>
  <si>
    <t>AGG-GROWTH</t>
  </si>
  <si>
    <t>Implementation</t>
  </si>
  <si>
    <t>Activation fcn</t>
  </si>
  <si>
    <t>ANN-5441</t>
  </si>
  <si>
    <t>tanh</t>
  </si>
  <si>
    <t>No. Cells</t>
  </si>
  <si>
    <t>Kernel Time (s)</t>
  </si>
  <si>
    <t>Agg Map time (s)</t>
  </si>
  <si>
    <t>alCoag</t>
  </si>
  <si>
    <t xml:space="preserve">% time </t>
  </si>
  <si>
    <t>Net Name</t>
  </si>
  <si>
    <t>act. Fcn</t>
  </si>
  <si>
    <t>no. nodes</t>
  </si>
  <si>
    <t>no. connections</t>
  </si>
  <si>
    <t>rel. error  (%)</t>
  </si>
  <si>
    <t>RELU</t>
  </si>
  <si>
    <t>arch</t>
  </si>
  <si>
    <t>beta_comb_relu_all_6:40:2</t>
  </si>
  <si>
    <t>6:40:2</t>
  </si>
  <si>
    <t>trained mse</t>
  </si>
  <si>
    <t>training data sample size</t>
  </si>
  <si>
    <t>iter till stop</t>
  </si>
  <si>
    <t>fortran = matlab</t>
  </si>
  <si>
    <t>time_1 (s)</t>
  </si>
  <si>
    <t>mean time (s)</t>
  </si>
  <si>
    <t>exact</t>
  </si>
  <si>
    <t>yes</t>
  </si>
  <si>
    <t>time_delta to exact</t>
  </si>
  <si>
    <t>beta_comb_relu_all_6:20:20:2</t>
  </si>
  <si>
    <t>6:20:20:2</t>
  </si>
  <si>
    <t>beta_comb_relu_maxTC_6:22:18:2</t>
  </si>
  <si>
    <t>6:22:18:2</t>
  </si>
  <si>
    <t>beta_comb_relu_maxTC_6:17:13:2</t>
  </si>
  <si>
    <t>6:17:13:2</t>
  </si>
  <si>
    <t>beta_comb_relu_maxTC_6:12:8:2</t>
  </si>
  <si>
    <t>6:12:8:2</t>
  </si>
  <si>
    <t>beta_comb_relu_maxTC_6:12:12:12:12:12:2</t>
  </si>
  <si>
    <t>6:12:12:12:12:12:2</t>
  </si>
  <si>
    <t>beta_comb_tanh_6:8:2</t>
  </si>
  <si>
    <t>TANH</t>
  </si>
  <si>
    <t>beta_comb_relu_6:7:3:2</t>
  </si>
  <si>
    <t>6:8:2</t>
  </si>
  <si>
    <t>6:7:3:2</t>
  </si>
  <si>
    <t>beta_comb_relu_6:8:7:2</t>
  </si>
  <si>
    <t>6:8:7:2</t>
  </si>
  <si>
    <t>beta_comb_relu_6:15:2</t>
  </si>
  <si>
    <t>6:15:2</t>
  </si>
  <si>
    <t>beta_comb_relu_6:12:2</t>
  </si>
  <si>
    <t>6:12:2</t>
  </si>
  <si>
    <t>beta_comb_relu_6:10:2</t>
  </si>
  <si>
    <t>6:10:2</t>
  </si>
  <si>
    <t>Notes</t>
  </si>
  <si>
    <t xml:space="preserve">Everything below the line satisfies the speed up target compared to the </t>
  </si>
  <si>
    <t>error is needed to show any speed up at all</t>
  </si>
  <si>
    <t xml:space="preserve">exact subroutine. The error viewed as cost shows that at least ~5% </t>
  </si>
  <si>
    <t xml:space="preserve">rel_speed(error) shows a Pareto distribution, the lower to the bottom </t>
  </si>
  <si>
    <t>left corner the better.</t>
  </si>
  <si>
    <t>All data here shown with ifort -O3 on intel Xeon</t>
  </si>
  <si>
    <t>HP Z820 workstation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</si>
</sst>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%"/>
    <numFmt numFmtId="165" formatCode="0.0000%"/>
    <numFmt numFmtId="166" formatCode="0.000000000%"/>
    <numFmt numFmtId="167" formatCode="0.00000%"/>
    <numFmt numFmtId="168" formatCode="0.000000%"/>
    <numFmt numFmtId="169" formatCode="0.0000000%"/>
    <numFmt numFmtId="170" formatCode="0.00000000%"/>
    <numFmt numFmtId="171" formatCode="0.0000"/>
    <numFmt numFmtId="172" formatCode="0.0%"/>
  </numFmts>
  <fonts count="5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2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11" fontId="0" fillId="0" borderId="0" xfId="0" applyNumberFormat="1"/>
    <xf numFmtId="166" fontId="0" fillId="0" borderId="0" xfId="0" applyNumberFormat="1"/>
    <xf numFmtId="0" fontId="0" fillId="2" borderId="2" xfId="0" applyFill="1" applyBorder="1" applyAlignment="1"/>
    <xf numFmtId="0" fontId="0" fillId="0" borderId="3" xfId="0" applyFill="1" applyBorder="1" applyAlignment="1"/>
    <xf numFmtId="0" fontId="0" fillId="0" borderId="0" xfId="0" applyFill="1" applyBorder="1" applyAlignment="1">
      <alignment horizontal="center"/>
    </xf>
    <xf numFmtId="10" fontId="0" fillId="0" borderId="0" xfId="0" applyNumberFormat="1" applyFill="1" applyBorder="1" applyAlignment="1">
      <alignment horizontal="center"/>
    </xf>
    <xf numFmtId="0" fontId="0" fillId="2" borderId="3" xfId="0" applyFill="1" applyBorder="1"/>
    <xf numFmtId="0" fontId="0" fillId="0" borderId="1" xfId="0" applyFill="1" applyBorder="1" applyAlignment="1">
      <alignment horizontal="center"/>
    </xf>
    <xf numFmtId="0" fontId="0" fillId="0" borderId="8" xfId="0" applyBorder="1"/>
    <xf numFmtId="0" fontId="0" fillId="0" borderId="8" xfId="0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7" fontId="0" fillId="0" borderId="0" xfId="0" applyNumberFormat="1"/>
    <xf numFmtId="164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8" fontId="0" fillId="0" borderId="0" xfId="0" applyNumberFormat="1"/>
    <xf numFmtId="164" fontId="0" fillId="0" borderId="0" xfId="0" applyNumberFormat="1" applyFill="1" applyBorder="1" applyAlignment="1">
      <alignment horizontal="right"/>
    </xf>
    <xf numFmtId="165" fontId="0" fillId="3" borderId="0" xfId="0" applyNumberFormat="1" applyFill="1"/>
    <xf numFmtId="10" fontId="1" fillId="0" borderId="0" xfId="0" applyNumberFormat="1" applyFont="1" applyFill="1" applyBorder="1" applyAlignment="1">
      <alignment horizontal="center"/>
    </xf>
    <xf numFmtId="167" fontId="0" fillId="3" borderId="0" xfId="0" applyNumberFormat="1" applyFill="1"/>
    <xf numFmtId="168" fontId="0" fillId="3" borderId="0" xfId="0" applyNumberFormat="1" applyFill="1"/>
    <xf numFmtId="10" fontId="1" fillId="3" borderId="0" xfId="0" applyNumberFormat="1" applyFont="1" applyFill="1"/>
    <xf numFmtId="10" fontId="0" fillId="3" borderId="0" xfId="0" applyNumberFormat="1" applyFill="1"/>
    <xf numFmtId="164" fontId="0" fillId="3" borderId="0" xfId="0" applyNumberFormat="1" applyFill="1" applyBorder="1" applyAlignment="1">
      <alignment horizontal="right"/>
    </xf>
    <xf numFmtId="170" fontId="0" fillId="3" borderId="0" xfId="0" applyNumberFormat="1" applyFill="1"/>
    <xf numFmtId="10" fontId="0" fillId="3" borderId="0" xfId="0" applyNumberFormat="1" applyFill="1" applyBorder="1" applyAlignment="1">
      <alignment horizontal="center"/>
    </xf>
    <xf numFmtId="169" fontId="0" fillId="3" borderId="0" xfId="0" applyNumberFormat="1" applyFill="1"/>
    <xf numFmtId="164" fontId="0" fillId="3" borderId="0" xfId="0" applyNumberFormat="1" applyFill="1"/>
    <xf numFmtId="0" fontId="0" fillId="3" borderId="2" xfId="0" applyFill="1" applyBorder="1"/>
    <xf numFmtId="0" fontId="0" fillId="0" borderId="0" xfId="0" applyFill="1"/>
    <xf numFmtId="0" fontId="0" fillId="4" borderId="0" xfId="0" applyFill="1"/>
    <xf numFmtId="10" fontId="0" fillId="4" borderId="0" xfId="0" applyNumberFormat="1" applyFill="1"/>
    <xf numFmtId="166" fontId="0" fillId="4" borderId="0" xfId="0" applyNumberFormat="1" applyFill="1"/>
    <xf numFmtId="11" fontId="0" fillId="4" borderId="0" xfId="0" applyNumberFormat="1" applyFill="1"/>
    <xf numFmtId="49" fontId="0" fillId="0" borderId="0" xfId="0" applyNumberFormat="1"/>
    <xf numFmtId="171" fontId="0" fillId="0" borderId="0" xfId="0" applyNumberFormat="1"/>
    <xf numFmtId="9" fontId="0" fillId="0" borderId="0" xfId="0" applyNumberFormat="1"/>
    <xf numFmtId="2" fontId="3" fillId="0" borderId="0" xfId="0" applyNumberFormat="1" applyFont="1"/>
    <xf numFmtId="172" fontId="3" fillId="0" borderId="0" xfId="0" applyNumberFormat="1" applyFont="1"/>
    <xf numFmtId="10" fontId="3" fillId="0" borderId="0" xfId="0" applyNumberFormat="1" applyFont="1"/>
    <xf numFmtId="0" fontId="4" fillId="0" borderId="0" xfId="0" applyFont="1"/>
    <xf numFmtId="0" fontId="2" fillId="0" borderId="0" xfId="0" applyFont="1"/>
    <xf numFmtId="0" fontId="0" fillId="5" borderId="0" xfId="0" applyFill="1"/>
    <xf numFmtId="0" fontId="4" fillId="5" borderId="0" xfId="0" applyFont="1" applyFill="1"/>
    <xf numFmtId="10" fontId="0" fillId="5" borderId="0" xfId="0" applyNumberFormat="1" applyFill="1"/>
    <xf numFmtId="2" fontId="3" fillId="5" borderId="0" xfId="0" applyNumberFormat="1" applyFont="1" applyFill="1"/>
    <xf numFmtId="11" fontId="0" fillId="5" borderId="0" xfId="0" applyNumberFormat="1" applyFill="1"/>
    <xf numFmtId="49" fontId="0" fillId="5" borderId="0" xfId="0" applyNumberFormat="1" applyFill="1"/>
    <xf numFmtId="10" fontId="3" fillId="5" borderId="0" xfId="0" applyNumberFormat="1" applyFont="1" applyFill="1"/>
    <xf numFmtId="0" fontId="0" fillId="5" borderId="15" xfId="0" applyFill="1" applyBorder="1"/>
    <xf numFmtId="49" fontId="0" fillId="5" borderId="16" xfId="0" applyNumberFormat="1" applyFill="1" applyBorder="1"/>
    <xf numFmtId="0" fontId="0" fillId="5" borderId="16" xfId="0" applyFill="1" applyBorder="1"/>
    <xf numFmtId="0" fontId="4" fillId="5" borderId="16" xfId="0" applyFont="1" applyFill="1" applyBorder="1"/>
    <xf numFmtId="10" fontId="0" fillId="5" borderId="16" xfId="0" applyNumberFormat="1" applyFill="1" applyBorder="1"/>
    <xf numFmtId="2" fontId="3" fillId="5" borderId="16" xfId="0" applyNumberFormat="1" applyFont="1" applyFill="1" applyBorder="1"/>
    <xf numFmtId="10" fontId="3" fillId="5" borderId="16" xfId="0" applyNumberFormat="1" applyFont="1" applyFill="1" applyBorder="1"/>
    <xf numFmtId="11" fontId="0" fillId="5" borderId="16" xfId="0" applyNumberFormat="1" applyFill="1" applyBorder="1"/>
    <xf numFmtId="0" fontId="0" fillId="5" borderId="17" xfId="0" applyFill="1" applyBorder="1"/>
    <xf numFmtId="0" fontId="3" fillId="6" borderId="18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0" fontId="0" fillId="0" borderId="20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Zeroth moment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TVD original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'epsion v small'!$A$3:$A$6</c:f>
              <c:numCache>
                <c:formatCode>General</c:formatCode>
                <c:ptCount val="4"/>
                <c:pt idx="0">
                  <c:v>1000</c:v>
                </c:pt>
                <c:pt idx="1">
                  <c:v>200</c:v>
                </c:pt>
                <c:pt idx="2">
                  <c:v>100</c:v>
                </c:pt>
                <c:pt idx="3">
                  <c:v>50</c:v>
                </c:pt>
              </c:numCache>
            </c:numRef>
          </c:xVal>
          <c:yVal>
            <c:numRef>
              <c:f>'epsion v small'!$B$3:$B$6</c:f>
              <c:numCache>
                <c:formatCode>0.00%</c:formatCode>
                <c:ptCount val="4"/>
                <c:pt idx="0" formatCode="0.000%">
                  <c:v>3.8000000000000002E-5</c:v>
                </c:pt>
                <c:pt idx="1">
                  <c:v>1.1000000000000001E-3</c:v>
                </c:pt>
                <c:pt idx="2">
                  <c:v>4.7000000000000002E-3</c:v>
                </c:pt>
                <c:pt idx="3">
                  <c:v>1.9775999999999998E-2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3E-9F49-84CB-62173406DF39}"/>
            </c:ext>
          </c:extLst>
        </c:ser>
        <c:ser>
          <c:idx val="1"/>
          <c:order val="1"/>
          <c:tx>
            <c:v>TVD mass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'epsion v small'!$A$3:$A$6</c:f>
              <c:numCache>
                <c:formatCode>General</c:formatCode>
                <c:ptCount val="4"/>
                <c:pt idx="0">
                  <c:v>1000</c:v>
                </c:pt>
                <c:pt idx="1">
                  <c:v>200</c:v>
                </c:pt>
                <c:pt idx="2">
                  <c:v>100</c:v>
                </c:pt>
                <c:pt idx="3">
                  <c:v>50</c:v>
                </c:pt>
              </c:numCache>
            </c:numRef>
          </c:xVal>
          <c:yVal>
            <c:numRef>
              <c:f>'epsion v small'!$C$3:$C$6</c:f>
              <c:numCache>
                <c:formatCode>0.00%</c:formatCode>
                <c:ptCount val="4"/>
                <c:pt idx="0" formatCode="0.000%">
                  <c:v>8.7999999999999998E-5</c:v>
                </c:pt>
                <c:pt idx="1">
                  <c:v>2.7000000000000001E-3</c:v>
                </c:pt>
                <c:pt idx="2">
                  <c:v>1.18E-2</c:v>
                </c:pt>
                <c:pt idx="3">
                  <c:v>3.9E-2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3E-9F49-84CB-62173406D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570064"/>
        <c:axId val="2104543760"/>
      </c:scatterChart>
      <c:valAx>
        <c:axId val="210457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543760"/>
        <c:crosses val="autoZero"/>
        <c:crossBetween val="midCat"/>
      </c:valAx>
      <c:valAx>
        <c:axId val="210454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57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Gravitational</a:t>
            </a:r>
            <a:r>
              <a:rPr lang="en-GB" baseline="0"/>
              <a:t> average error %</a:t>
            </a:r>
            <a:endParaRPr lang="en-GB"/>
          </a:p>
        </c:rich>
      </c:tx>
      <c:layout>
        <c:manualLayout>
          <c:xMode val="edge"/>
          <c:yMode val="edge"/>
          <c:x val="0.42739650647117389"/>
          <c:y val="2.66222961730449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1-point kernel eval.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'kernel integration 2'!$C$31:$I$31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</c:numCache>
            </c:numRef>
          </c:xVal>
          <c:yVal>
            <c:numRef>
              <c:f>'kernel integration 2'!$C$33:$I$33</c:f>
              <c:numCache>
                <c:formatCode>0.00%</c:formatCode>
                <c:ptCount val="7"/>
                <c:pt idx="0">
                  <c:v>4.2430000000000002E-2</c:v>
                </c:pt>
                <c:pt idx="1">
                  <c:v>2.3040000000000001E-2</c:v>
                </c:pt>
                <c:pt idx="2">
                  <c:v>1.469E-2</c:v>
                </c:pt>
                <c:pt idx="3">
                  <c:v>6.4866999999999998E-3</c:v>
                </c:pt>
                <c:pt idx="4">
                  <c:v>3.839E-3</c:v>
                </c:pt>
                <c:pt idx="5">
                  <c:v>1.7141999999999999E-3</c:v>
                </c:pt>
                <c:pt idx="6">
                  <c:v>9.8510999999999998E-4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B4-D941-840D-C602C84BE4D7}"/>
            </c:ext>
          </c:extLst>
        </c:ser>
        <c:ser>
          <c:idx val="1"/>
          <c:order val="1"/>
          <c:tx>
            <c:v>2D gauss kernel eval.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'kernel integration 2'!$C$31:$I$31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</c:numCache>
            </c:numRef>
          </c:xVal>
          <c:yVal>
            <c:numRef>
              <c:f>'kernel integration 2'!$C$35:$I$35</c:f>
              <c:numCache>
                <c:formatCode>0.0000%</c:formatCode>
                <c:ptCount val="7"/>
                <c:pt idx="0">
                  <c:v>5.0020000000000002E-4</c:v>
                </c:pt>
                <c:pt idx="1">
                  <c:v>1.7751999999999999E-4</c:v>
                </c:pt>
                <c:pt idx="2" formatCode="0.000000%">
                  <c:v>9.6000000000000002E-5</c:v>
                </c:pt>
                <c:pt idx="3" formatCode="0.000000%">
                  <c:v>3.0899999999999999E-5</c:v>
                </c:pt>
                <c:pt idx="4" formatCode="0.00000%">
                  <c:v>1.7479E-5</c:v>
                </c:pt>
                <c:pt idx="5" formatCode="0.00000%">
                  <c:v>7.6990000000000003E-6</c:v>
                </c:pt>
                <c:pt idx="6" formatCode="0.0000000%">
                  <c:v>4.6372000000000003E-6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B4-D941-840D-C602C84BE4D7}"/>
            </c:ext>
          </c:extLst>
        </c:ser>
        <c:ser>
          <c:idx val="2"/>
          <c:order val="2"/>
          <c:tx>
            <c:v>3D Gauss kernel eval.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'kernel integration 2'!$C$31:$I$31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</c:numCache>
            </c:numRef>
          </c:xVal>
          <c:yVal>
            <c:numRef>
              <c:f>'kernel integration 2'!$C$37:$I$37</c:f>
              <c:numCache>
                <c:formatCode>0.0000%</c:formatCode>
                <c:ptCount val="7"/>
                <c:pt idx="0">
                  <c:v>2.6372000000000001E-5</c:v>
                </c:pt>
                <c:pt idx="1">
                  <c:v>5.0200000000000002E-6</c:v>
                </c:pt>
                <c:pt idx="2" formatCode="0.00000%">
                  <c:v>1.8563999999999999E-6</c:v>
                </c:pt>
                <c:pt idx="3" formatCode="0.00000%">
                  <c:v>4.6507000000000002E-7</c:v>
                </c:pt>
                <c:pt idx="4" formatCode="0.00000%">
                  <c:v>2.5590000000000001E-7</c:v>
                </c:pt>
                <c:pt idx="5" formatCode="0.00000%">
                  <c:v>1.3510000000000001E-7</c:v>
                </c:pt>
                <c:pt idx="6" formatCode="0.000000%">
                  <c:v>9.2535000000000001E-8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B4-D941-840D-C602C84BE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465583"/>
        <c:axId val="707360383"/>
      </c:scatterChart>
      <c:valAx>
        <c:axId val="707465583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360383"/>
        <c:crosses val="autoZero"/>
        <c:crossBetween val="midCat"/>
      </c:valAx>
      <c:valAx>
        <c:axId val="707360383"/>
        <c:scaling>
          <c:logBase val="10"/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465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ANN-5441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'ANNvsKernel Timing'!$C$7:$C$12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xVal>
          <c:yVal>
            <c:numRef>
              <c:f>'ANNvsKernel Timing'!$D$7:$D$12</c:f>
              <c:numCache>
                <c:formatCode>General</c:formatCode>
                <c:ptCount val="6"/>
                <c:pt idx="0">
                  <c:v>8.3080000000000001E-2</c:v>
                </c:pt>
                <c:pt idx="1">
                  <c:v>9.9430000000000004E-2</c:v>
                </c:pt>
                <c:pt idx="2">
                  <c:v>8.3249999999999991E-2</c:v>
                </c:pt>
                <c:pt idx="3">
                  <c:v>0.36149999999999999</c:v>
                </c:pt>
                <c:pt idx="4">
                  <c:v>0.30459999999999998</c:v>
                </c:pt>
                <c:pt idx="5">
                  <c:v>0.39960000000000001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5A-F347-9842-3E0DF1034BA8}"/>
            </c:ext>
          </c:extLst>
        </c:ser>
        <c:ser>
          <c:idx val="1"/>
          <c:order val="1"/>
          <c:tx>
            <c:v>alCoag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'ANNvsKernel Timing'!$C$2:$C$6</c:f>
              <c:numCache>
                <c:formatCode>General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100</c:v>
                </c:pt>
                <c:pt idx="4">
                  <c:v>100</c:v>
                </c:pt>
              </c:numCache>
            </c:numRef>
          </c:xVal>
          <c:yVal>
            <c:numRef>
              <c:f>'ANNvsKernel Timing'!$D$2:$D$6</c:f>
              <c:numCache>
                <c:formatCode>General</c:formatCode>
                <c:ptCount val="5"/>
                <c:pt idx="0">
                  <c:v>1.034E-2</c:v>
                </c:pt>
                <c:pt idx="1">
                  <c:v>1.0525E-2</c:v>
                </c:pt>
                <c:pt idx="2">
                  <c:v>1.0780000000000001E-2</c:v>
                </c:pt>
                <c:pt idx="3">
                  <c:v>5.1535000000000004E-2</c:v>
                </c:pt>
                <c:pt idx="4">
                  <c:v>4.2611000000000003E-2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5A-F347-9842-3E0DF1034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890304"/>
        <c:axId val="1647156304"/>
      </c:scatterChart>
      <c:valAx>
        <c:axId val="161889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156304"/>
        <c:crosses val="autoZero"/>
        <c:crossBetween val="midCat"/>
      </c:valAx>
      <c:valAx>
        <c:axId val="164715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89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error(Total Connections)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ANN_timings_accuracy!$E$3:$E$14</c:f>
              <c:numCache>
                <c:formatCode>General</c:formatCode>
                <c:ptCount val="12"/>
                <c:pt idx="0">
                  <c:v>320</c:v>
                </c:pt>
                <c:pt idx="1">
                  <c:v>560</c:v>
                </c:pt>
                <c:pt idx="2">
                  <c:v>564</c:v>
                </c:pt>
                <c:pt idx="3">
                  <c:v>349</c:v>
                </c:pt>
                <c:pt idx="4">
                  <c:v>184</c:v>
                </c:pt>
                <c:pt idx="5">
                  <c:v>672</c:v>
                </c:pt>
                <c:pt idx="6">
                  <c:v>64</c:v>
                </c:pt>
                <c:pt idx="7">
                  <c:v>69</c:v>
                </c:pt>
                <c:pt idx="8">
                  <c:v>118</c:v>
                </c:pt>
                <c:pt idx="9">
                  <c:v>120</c:v>
                </c:pt>
                <c:pt idx="10">
                  <c:v>96</c:v>
                </c:pt>
                <c:pt idx="11">
                  <c:v>80</c:v>
                </c:pt>
              </c:numCache>
            </c:numRef>
          </c:xVal>
          <c:yVal>
            <c:numRef>
              <c:f>ANN_timings_accuracy!$F$3:$F$14</c:f>
              <c:numCache>
                <c:formatCode>0.00%</c:formatCode>
                <c:ptCount val="12"/>
                <c:pt idx="0">
                  <c:v>4.765896E-2</c:v>
                </c:pt>
                <c:pt idx="1">
                  <c:v>2.8129439999999999E-2</c:v>
                </c:pt>
                <c:pt idx="2">
                  <c:v>2.63889E-2</c:v>
                </c:pt>
                <c:pt idx="3">
                  <c:v>2.98099E-2</c:v>
                </c:pt>
                <c:pt idx="4">
                  <c:v>5.9024E-2</c:v>
                </c:pt>
                <c:pt idx="5">
                  <c:v>4.0290270000000003E-2</c:v>
                </c:pt>
                <c:pt idx="6">
                  <c:v>0.12834999999999999</c:v>
                </c:pt>
                <c:pt idx="7">
                  <c:v>0.1943</c:v>
                </c:pt>
                <c:pt idx="8">
                  <c:v>0.101205</c:v>
                </c:pt>
                <c:pt idx="9">
                  <c:v>9.1980000000000006E-2</c:v>
                </c:pt>
                <c:pt idx="10">
                  <c:v>0.1178</c:v>
                </c:pt>
                <c:pt idx="11">
                  <c:v>0.1628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AE-B949-B8BB-1CF91603E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050256"/>
        <c:axId val="1651498704"/>
      </c:scatterChart>
      <c:valAx>
        <c:axId val="165105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</a:t>
                </a:r>
                <a:r>
                  <a:rPr lang="en-GB" baseline="0"/>
                  <a:t> Connections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498704"/>
        <c:crosses val="autoZero"/>
        <c:crossBetween val="midCat"/>
      </c:valAx>
      <c:valAx>
        <c:axId val="165149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05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rel_speed_up(error)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speed(error)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ANN_timings_accuracy!$F$3:$F$14</c:f>
              <c:numCache>
                <c:formatCode>0.00%</c:formatCode>
                <c:ptCount val="12"/>
                <c:pt idx="0">
                  <c:v>4.765896E-2</c:v>
                </c:pt>
                <c:pt idx="1">
                  <c:v>2.8129439999999999E-2</c:v>
                </c:pt>
                <c:pt idx="2">
                  <c:v>2.63889E-2</c:v>
                </c:pt>
                <c:pt idx="3">
                  <c:v>2.98099E-2</c:v>
                </c:pt>
                <c:pt idx="4">
                  <c:v>5.9024E-2</c:v>
                </c:pt>
                <c:pt idx="5">
                  <c:v>4.0290270000000003E-2</c:v>
                </c:pt>
                <c:pt idx="6">
                  <c:v>0.12834999999999999</c:v>
                </c:pt>
                <c:pt idx="7">
                  <c:v>0.1943</c:v>
                </c:pt>
                <c:pt idx="8">
                  <c:v>0.101205</c:v>
                </c:pt>
                <c:pt idx="9">
                  <c:v>9.1980000000000006E-2</c:v>
                </c:pt>
                <c:pt idx="10">
                  <c:v>0.1178</c:v>
                </c:pt>
                <c:pt idx="11">
                  <c:v>0.1628</c:v>
                </c:pt>
              </c:numCache>
            </c:numRef>
          </c:xVal>
          <c:yVal>
            <c:numRef>
              <c:f>ANN_timings_accuracy!$K$3:$K$14</c:f>
              <c:numCache>
                <c:formatCode>0.0%</c:formatCode>
                <c:ptCount val="12"/>
                <c:pt idx="0">
                  <c:v>1.0155061851155675E-2</c:v>
                </c:pt>
                <c:pt idx="1">
                  <c:v>0.19395268066916543</c:v>
                </c:pt>
                <c:pt idx="2">
                  <c:v>0.26380980546370342</c:v>
                </c:pt>
                <c:pt idx="3">
                  <c:v>0.10757465034827662</c:v>
                </c:pt>
                <c:pt idx="4">
                  <c:v>-0.23654415016004798</c:v>
                </c:pt>
                <c:pt idx="5">
                  <c:v>0.57456677046031368</c:v>
                </c:pt>
                <c:pt idx="6" formatCode="0.00%">
                  <c:v>-6.570180720955103E-2</c:v>
                </c:pt>
                <c:pt idx="7" formatCode="0.00%">
                  <c:v>-0.41989352043334743</c:v>
                </c:pt>
                <c:pt idx="8" formatCode="0.00%">
                  <c:v>-0.29921108256131007</c:v>
                </c:pt>
                <c:pt idx="9" formatCode="0.00%">
                  <c:v>-0.34300764415566054</c:v>
                </c:pt>
                <c:pt idx="10" formatCode="0.00%">
                  <c:v>-0.39124133058740929</c:v>
                </c:pt>
                <c:pt idx="11" formatCode="0.00%">
                  <c:v>-0.40220431132950879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AD-8540-B70F-94574B57B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121232"/>
        <c:axId val="1668096208"/>
      </c:scatterChart>
      <c:valAx>
        <c:axId val="166812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rel</a:t>
                </a:r>
                <a:r>
                  <a:rPr lang="en-GB" baseline="0"/>
                  <a:t> error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096208"/>
        <c:crosses val="autoZero"/>
        <c:crossBetween val="midCat"/>
      </c:valAx>
      <c:valAx>
        <c:axId val="166809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time_delta</a:t>
                </a:r>
                <a:r>
                  <a:rPr lang="en-GB" baseline="0"/>
                  <a:t> to exact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12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First</a:t>
            </a:r>
            <a:r>
              <a:rPr lang="en-GB" baseline="0"/>
              <a:t> moment error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TVD original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'epsion v small'!$A$3:$A$6</c:f>
              <c:numCache>
                <c:formatCode>General</c:formatCode>
                <c:ptCount val="4"/>
                <c:pt idx="0">
                  <c:v>1000</c:v>
                </c:pt>
                <c:pt idx="1">
                  <c:v>200</c:v>
                </c:pt>
                <c:pt idx="2">
                  <c:v>100</c:v>
                </c:pt>
                <c:pt idx="3">
                  <c:v>50</c:v>
                </c:pt>
              </c:numCache>
            </c:numRef>
          </c:xVal>
          <c:yVal>
            <c:numRef>
              <c:f>'epsion v small'!$D$3:$D$6</c:f>
              <c:numCache>
                <c:formatCode>0.00%</c:formatCode>
                <c:ptCount val="4"/>
                <c:pt idx="0">
                  <c:v>2.1000000000000001E-4</c:v>
                </c:pt>
                <c:pt idx="1">
                  <c:v>8.3820000000000006E-3</c:v>
                </c:pt>
                <c:pt idx="2">
                  <c:v>3.8469999999999997E-2</c:v>
                </c:pt>
                <c:pt idx="3">
                  <c:v>0.107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02-2E4C-A699-D7FACE2B53D0}"/>
            </c:ext>
          </c:extLst>
        </c:ser>
        <c:ser>
          <c:idx val="1"/>
          <c:order val="1"/>
          <c:tx>
            <c:v>TVD mass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'epsion v small'!$A$3:$A$6</c:f>
              <c:numCache>
                <c:formatCode>General</c:formatCode>
                <c:ptCount val="4"/>
                <c:pt idx="0">
                  <c:v>1000</c:v>
                </c:pt>
                <c:pt idx="1">
                  <c:v>200</c:v>
                </c:pt>
                <c:pt idx="2">
                  <c:v>100</c:v>
                </c:pt>
                <c:pt idx="3">
                  <c:v>50</c:v>
                </c:pt>
              </c:numCache>
            </c:numRef>
          </c:xVal>
          <c:yVal>
            <c:numRef>
              <c:f>'epsion v small'!$E$3:$E$6</c:f>
              <c:numCache>
                <c:formatCode>0.0000%</c:formatCode>
                <c:ptCount val="4"/>
                <c:pt idx="0">
                  <c:v>1.2900000000000001E-9</c:v>
                </c:pt>
                <c:pt idx="1">
                  <c:v>1.2900000000000001E-9</c:v>
                </c:pt>
                <c:pt idx="2">
                  <c:v>1.2900000000000001E-9</c:v>
                </c:pt>
                <c:pt idx="3">
                  <c:v>1.2900000000000001E-9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02-2E4C-A699-D7FACE2B5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273616"/>
        <c:axId val="2136625600"/>
      </c:scatterChart>
      <c:valAx>
        <c:axId val="21402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625600"/>
        <c:crosses val="autoZero"/>
        <c:crossBetween val="midCat"/>
      </c:valAx>
      <c:valAx>
        <c:axId val="21366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27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Zeroth moment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TVD original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'TVD mass vs TVD'!$A$3:$A$6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51</c:v>
                </c:pt>
                <c:pt idx="3">
                  <c:v>200</c:v>
                </c:pt>
              </c:numCache>
            </c:numRef>
          </c:xVal>
          <c:yVal>
            <c:numRef>
              <c:f>'TVD mass vs TVD'!$B$3:$B$6</c:f>
              <c:numCache>
                <c:formatCode>0.00%</c:formatCode>
                <c:ptCount val="4"/>
                <c:pt idx="0">
                  <c:v>3.7100000000000002E-3</c:v>
                </c:pt>
                <c:pt idx="1">
                  <c:v>1.5599999999999999E-2</c:v>
                </c:pt>
                <c:pt idx="2">
                  <c:v>1.4923000000000001E-2</c:v>
                </c:pt>
                <c:pt idx="3">
                  <c:v>8.6700000000000004E-4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80-F04B-8D9F-390E8B1762CC}"/>
            </c:ext>
          </c:extLst>
        </c:ser>
        <c:ser>
          <c:idx val="1"/>
          <c:order val="1"/>
          <c:tx>
            <c:v>TVD mass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'TVD mass vs TVD'!$A$3:$A$6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51</c:v>
                </c:pt>
                <c:pt idx="3">
                  <c:v>200</c:v>
                </c:pt>
              </c:numCache>
            </c:numRef>
          </c:xVal>
          <c:yVal>
            <c:numRef>
              <c:f>'TVD mass vs TVD'!$C$3:$C$6</c:f>
              <c:numCache>
                <c:formatCode>0.00%</c:formatCode>
                <c:ptCount val="4"/>
                <c:pt idx="0">
                  <c:v>9.2499999999999995E-3</c:v>
                </c:pt>
                <c:pt idx="1">
                  <c:v>3.3000000000000002E-2</c:v>
                </c:pt>
                <c:pt idx="2">
                  <c:v>3.1899999999999998E-2</c:v>
                </c:pt>
                <c:pt idx="3">
                  <c:v>2.0899999999999998E-3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80-F04B-8D9F-390E8B176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570064"/>
        <c:axId val="2104543760"/>
      </c:scatterChart>
      <c:valAx>
        <c:axId val="210457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543760"/>
        <c:crosses val="autoZero"/>
        <c:crossBetween val="midCat"/>
      </c:valAx>
      <c:valAx>
        <c:axId val="210454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57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First</a:t>
            </a:r>
            <a:r>
              <a:rPr lang="en-GB" baseline="0"/>
              <a:t> moment error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TVD original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'TVD mass vs TVD'!$A$3:$A$6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51</c:v>
                </c:pt>
                <c:pt idx="3">
                  <c:v>200</c:v>
                </c:pt>
              </c:numCache>
            </c:numRef>
          </c:xVal>
          <c:yVal>
            <c:numRef>
              <c:f>'TVD mass vs TVD'!$D$3:$D$6</c:f>
              <c:numCache>
                <c:formatCode>0.00%</c:formatCode>
                <c:ptCount val="4"/>
                <c:pt idx="0">
                  <c:v>3.0522000000000001E-2</c:v>
                </c:pt>
                <c:pt idx="1">
                  <c:v>9.3200000000000005E-2</c:v>
                </c:pt>
                <c:pt idx="2">
                  <c:v>9.0800000000000006E-2</c:v>
                </c:pt>
                <c:pt idx="3">
                  <c:v>6.1999999999999998E-3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A4-464F-92FE-BC2FEB89A9A0}"/>
            </c:ext>
          </c:extLst>
        </c:ser>
        <c:ser>
          <c:idx val="1"/>
          <c:order val="1"/>
          <c:tx>
            <c:v>TVD mass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'TVD mass vs TVD'!$A$3:$A$6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51</c:v>
                </c:pt>
                <c:pt idx="3">
                  <c:v>200</c:v>
                </c:pt>
              </c:numCache>
            </c:numRef>
          </c:xVal>
          <c:yVal>
            <c:numRef>
              <c:f>'TVD mass vs TVD'!$E$3:$E$6</c:f>
              <c:numCache>
                <c:formatCode>0.0000%</c:formatCode>
                <c:ptCount val="4"/>
                <c:pt idx="0">
                  <c:v>1.1000000000000001E-8</c:v>
                </c:pt>
                <c:pt idx="1">
                  <c:v>1.8199999999999999E-7</c:v>
                </c:pt>
                <c:pt idx="2">
                  <c:v>1.6E-7</c:v>
                </c:pt>
                <c:pt idx="3">
                  <c:v>2.7999999999999998E-9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A4-464F-92FE-BC2FEB89A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273616"/>
        <c:axId val="2136625600"/>
      </c:scatterChart>
      <c:valAx>
        <c:axId val="21402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625600"/>
        <c:crosses val="autoZero"/>
        <c:crossBetween val="midCat"/>
      </c:valAx>
      <c:valAx>
        <c:axId val="21366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27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freemol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'kernel integration part 1'!$A$2</c:f>
              <c:strCache>
                <c:ptCount val="1"/>
                <c:pt idx="0">
                  <c:v>Larry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'kernel integration part 1'!$B$1:$E$1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</c:numCache>
            </c:numRef>
          </c:xVal>
          <c:yVal>
            <c:numRef>
              <c:f>'kernel integration part 1'!$B$2:$E$2</c:f>
              <c:numCache>
                <c:formatCode>General</c:formatCode>
                <c:ptCount val="4"/>
                <c:pt idx="0">
                  <c:v>25.97</c:v>
                </c:pt>
                <c:pt idx="1">
                  <c:v>14.25</c:v>
                </c:pt>
                <c:pt idx="2">
                  <c:v>6.6760000000000002</c:v>
                </c:pt>
                <c:pt idx="3">
                  <c:v>3.3127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EE-3D42-BD34-A9586CCC807D}"/>
            </c:ext>
          </c:extLst>
        </c:ser>
        <c:ser>
          <c:idx val="1"/>
          <c:order val="1"/>
          <c:tx>
            <c:strRef>
              <c:f>'kernel integration part 1'!$A$3</c:f>
              <c:strCache>
                <c:ptCount val="1"/>
                <c:pt idx="0">
                  <c:v>2D GQ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'kernel integration part 1'!$B$1:$E$1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</c:numCache>
            </c:numRef>
          </c:xVal>
          <c:yVal>
            <c:numRef>
              <c:f>'kernel integration part 1'!$B$3:$E$3</c:f>
              <c:numCache>
                <c:formatCode>General</c:formatCode>
                <c:ptCount val="4"/>
                <c:pt idx="0">
                  <c:v>0.87919999999999998</c:v>
                </c:pt>
                <c:pt idx="1">
                  <c:v>0.14849999999999999</c:v>
                </c:pt>
                <c:pt idx="2">
                  <c:v>3.1699999999999999E-2</c:v>
                </c:pt>
                <c:pt idx="3">
                  <c:v>1.1299999999999999E-2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EE-3D42-BD34-A9586CCC807D}"/>
            </c:ext>
          </c:extLst>
        </c:ser>
        <c:ser>
          <c:idx val="2"/>
          <c:order val="2"/>
          <c:tx>
            <c:strRef>
              <c:f>'kernel integration part 1'!$A$4</c:f>
              <c:strCache>
                <c:ptCount val="1"/>
                <c:pt idx="0">
                  <c:v>3D GQ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'kernel integration part 1'!$B$1:$E$1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</c:numCache>
            </c:numRef>
          </c:xVal>
          <c:yVal>
            <c:numRef>
              <c:f>'kernel integration part 1'!$B$4:$E$4</c:f>
              <c:numCache>
                <c:formatCode>General</c:formatCode>
                <c:ptCount val="4"/>
                <c:pt idx="0">
                  <c:v>0.14779999999999999</c:v>
                </c:pt>
                <c:pt idx="1">
                  <c:v>7.7999999999999996E-3</c:v>
                </c:pt>
                <c:pt idx="2">
                  <c:v>1.1999999999999999E-3</c:v>
                </c:pt>
                <c:pt idx="3">
                  <c:v>4.6570000000000004E-4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EE-3D42-BD34-A9586CCC8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418703"/>
        <c:axId val="1913420847"/>
      </c:scatterChart>
      <c:valAx>
        <c:axId val="191341870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420847"/>
        <c:crosses val="autoZero"/>
        <c:crossBetween val="midCat"/>
      </c:valAx>
      <c:valAx>
        <c:axId val="19134208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418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'kernel integration part 1'!$A$8</c:f>
              <c:strCache>
                <c:ptCount val="1"/>
                <c:pt idx="0">
                  <c:v>Larry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'kernel integration part 1'!$B$7:$E$7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160</c:v>
                </c:pt>
              </c:numCache>
            </c:numRef>
          </c:xVal>
          <c:yVal>
            <c:numRef>
              <c:f>'kernel integration part 1'!$B$8:$E$8</c:f>
              <c:numCache>
                <c:formatCode>General</c:formatCode>
                <c:ptCount val="4"/>
                <c:pt idx="0">
                  <c:v>20.238900000000001</c:v>
                </c:pt>
                <c:pt idx="1">
                  <c:v>11</c:v>
                </c:pt>
                <c:pt idx="2">
                  <c:v>5.1875999999999998</c:v>
                </c:pt>
                <c:pt idx="3">
                  <c:v>1.6901999999999999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D1-0641-AFFE-259EF60A2408}"/>
            </c:ext>
          </c:extLst>
        </c:ser>
        <c:ser>
          <c:idx val="1"/>
          <c:order val="1"/>
          <c:tx>
            <c:strRef>
              <c:f>'kernel integration part 1'!$A$9</c:f>
              <c:strCache>
                <c:ptCount val="1"/>
                <c:pt idx="0">
                  <c:v>2D GQ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'kernel integration part 1'!$B$7:$E$7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160</c:v>
                </c:pt>
              </c:numCache>
            </c:numRef>
          </c:xVal>
          <c:yVal>
            <c:numRef>
              <c:f>'kernel integration part 1'!$B$9:$E$9</c:f>
              <c:numCache>
                <c:formatCode>General</c:formatCode>
                <c:ptCount val="4"/>
                <c:pt idx="0">
                  <c:v>0.90800000000000003</c:v>
                </c:pt>
                <c:pt idx="1">
                  <c:v>0.25469999999999998</c:v>
                </c:pt>
                <c:pt idx="2">
                  <c:v>7.6100000000000001E-2</c:v>
                </c:pt>
                <c:pt idx="3">
                  <c:v>4.3E-3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D1-0641-AFFE-259EF60A2408}"/>
            </c:ext>
          </c:extLst>
        </c:ser>
        <c:ser>
          <c:idx val="2"/>
          <c:order val="2"/>
          <c:tx>
            <c:strRef>
              <c:f>'kernel integration part 1'!$A$10</c:f>
              <c:strCache>
                <c:ptCount val="1"/>
                <c:pt idx="0">
                  <c:v>3D GQ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'kernel integration part 1'!$B$7:$E$7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160</c:v>
                </c:pt>
              </c:numCache>
            </c:numRef>
          </c:xVal>
          <c:yVal>
            <c:numRef>
              <c:f>'kernel integration part 1'!$B$10:$E$10</c:f>
              <c:numCache>
                <c:formatCode>General</c:formatCode>
                <c:ptCount val="4"/>
                <c:pt idx="0">
                  <c:v>0.69889999999999997</c:v>
                </c:pt>
                <c:pt idx="1">
                  <c:v>0.21690000000000001</c:v>
                </c:pt>
                <c:pt idx="2">
                  <c:v>6.83E-2</c:v>
                </c:pt>
                <c:pt idx="3">
                  <c:v>1.1000000000000001E-3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D1-0641-AFFE-259EF60A2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983551"/>
        <c:axId val="1980942783"/>
      </c:scatterChart>
      <c:valAx>
        <c:axId val="191698355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942783"/>
        <c:crosses val="autoZero"/>
        <c:crossBetween val="midCat"/>
      </c:valAx>
      <c:valAx>
        <c:axId val="1980942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983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Free mol average %error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39459516335514"/>
          <c:y val="0.27924049242798626"/>
          <c:w val="0.81346509303263592"/>
          <c:h val="0.6900761045036734"/>
        </c:manualLayout>
      </c:layout>
      <c:scatterChart>
        <c:scatterStyle val="lineMarker"/>
        <c:varyColors val="0"/>
        <c:ser>
          <c:idx val="0"/>
          <c:order val="0"/>
          <c:tx>
            <c:v>1-point kernel evaluation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'kernel integration 2'!$C$1:$I$1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</c:numCache>
            </c:numRef>
          </c:xVal>
          <c:yVal>
            <c:numRef>
              <c:f>'kernel integration 2'!$C$3:$I$3</c:f>
              <c:numCache>
                <c:formatCode>0.00%</c:formatCode>
                <c:ptCount val="7"/>
                <c:pt idx="0">
                  <c:v>6.8858000000000003E-2</c:v>
                </c:pt>
                <c:pt idx="1">
                  <c:v>4.0306000000000002E-2</c:v>
                </c:pt>
                <c:pt idx="2">
                  <c:v>2.5840999999999999E-2</c:v>
                </c:pt>
                <c:pt idx="3">
                  <c:v>1.3161000000000001E-2</c:v>
                </c:pt>
                <c:pt idx="4">
                  <c:v>8.0426000000000004E-3</c:v>
                </c:pt>
                <c:pt idx="5">
                  <c:v>4.1362999999999999E-3</c:v>
                </c:pt>
                <c:pt idx="6" formatCode="0.0000%">
                  <c:v>2.6302000000000001E-3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1-7944-AEFE-18CD29FB71E2}"/>
            </c:ext>
          </c:extLst>
        </c:ser>
        <c:ser>
          <c:idx val="1"/>
          <c:order val="1"/>
          <c:tx>
            <c:v>2D Gauss kernel evaluation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'kernel integration 2'!$C$1:$I$1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</c:numCache>
            </c:numRef>
          </c:xVal>
          <c:yVal>
            <c:numRef>
              <c:f>'kernel integration 2'!$C$5:$I$5</c:f>
              <c:numCache>
                <c:formatCode>0.00%</c:formatCode>
                <c:ptCount val="7"/>
                <c:pt idx="0">
                  <c:v>1.2351000000000001E-2</c:v>
                </c:pt>
                <c:pt idx="1">
                  <c:v>4.3917000000000001E-3</c:v>
                </c:pt>
                <c:pt idx="2">
                  <c:v>2.055E-3</c:v>
                </c:pt>
                <c:pt idx="3">
                  <c:v>7.3925E-4</c:v>
                </c:pt>
                <c:pt idx="4">
                  <c:v>3.8900000000000002E-4</c:v>
                </c:pt>
                <c:pt idx="5">
                  <c:v>1.8000000000000001E-4</c:v>
                </c:pt>
                <c:pt idx="6" formatCode="0.00000%">
                  <c:v>1.1911E-4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01-7944-AEFE-18CD29FB71E2}"/>
            </c:ext>
          </c:extLst>
        </c:ser>
        <c:ser>
          <c:idx val="2"/>
          <c:order val="2"/>
          <c:tx>
            <c:v>3D Gauss kernel evaluation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'kernel integration 2'!$C$1:$I$1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</c:numCache>
            </c:numRef>
          </c:xVal>
          <c:yVal>
            <c:numRef>
              <c:f>'kernel integration 2'!$C$7:$I$7</c:f>
              <c:numCache>
                <c:formatCode>0.00%</c:formatCode>
                <c:ptCount val="7"/>
                <c:pt idx="0">
                  <c:v>2.5309999999999998E-3</c:v>
                </c:pt>
                <c:pt idx="1">
                  <c:v>4.3669999999999999E-4</c:v>
                </c:pt>
                <c:pt idx="2">
                  <c:v>1.2799999999999999E-4</c:v>
                </c:pt>
                <c:pt idx="3" formatCode="0.0000%">
                  <c:v>2.8634999999999999E-5</c:v>
                </c:pt>
                <c:pt idx="4" formatCode="0.000000%">
                  <c:v>1.375E-5</c:v>
                </c:pt>
                <c:pt idx="5" formatCode="0.000%">
                  <c:v>6.9E-6</c:v>
                </c:pt>
                <c:pt idx="6" formatCode="0.00000%">
                  <c:v>4.8799999999999999E-6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01-7944-AEFE-18CD29FB7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550031"/>
        <c:axId val="653885535"/>
      </c:scatterChart>
      <c:valAx>
        <c:axId val="676550031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885535"/>
        <c:crosses val="autoZero"/>
        <c:crossBetween val="midCat"/>
      </c:valAx>
      <c:valAx>
        <c:axId val="653885535"/>
        <c:scaling>
          <c:logBase val="10"/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550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3.1683727034120729E-2"/>
          <c:y val="8.9511854951185493E-2"/>
          <c:w val="0.9683162729658793"/>
          <c:h val="0.178571036361040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Brownain</a:t>
            </a:r>
            <a:r>
              <a:rPr lang="en-GB" baseline="0"/>
              <a:t> average error%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1-point kernel eval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'kernel integration 2'!$C$11:$I$11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</c:numCache>
            </c:numRef>
          </c:xVal>
          <c:yVal>
            <c:numRef>
              <c:f>'kernel integration 2'!$C$13:$I$13</c:f>
              <c:numCache>
                <c:formatCode>0.0000%</c:formatCode>
                <c:ptCount val="7"/>
                <c:pt idx="0">
                  <c:v>3.5193000000000002E-2</c:v>
                </c:pt>
                <c:pt idx="1">
                  <c:v>2.0462000000000001E-2</c:v>
                </c:pt>
                <c:pt idx="2">
                  <c:v>1.3108E-2</c:v>
                </c:pt>
                <c:pt idx="3">
                  <c:v>6.6949000000000002E-3</c:v>
                </c:pt>
                <c:pt idx="4">
                  <c:v>4.1367000000000001E-3</c:v>
                </c:pt>
                <c:pt idx="5">
                  <c:v>2.1592999999999998E-3</c:v>
                </c:pt>
                <c:pt idx="6">
                  <c:v>1.3906999999999999E-3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7A-8D47-BAE5-154F2E00C0B5}"/>
            </c:ext>
          </c:extLst>
        </c:ser>
        <c:ser>
          <c:idx val="1"/>
          <c:order val="1"/>
          <c:tx>
            <c:v>2D Gauss kernel eval.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'kernel integration 2'!$C$11:$I$11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</c:numCache>
            </c:numRef>
          </c:xVal>
          <c:yVal>
            <c:numRef>
              <c:f>'kernel integration 2'!$C$15:$I$15</c:f>
              <c:numCache>
                <c:formatCode>0.0000%</c:formatCode>
                <c:ptCount val="7"/>
                <c:pt idx="0">
                  <c:v>6.4383000000000001E-3</c:v>
                </c:pt>
                <c:pt idx="1">
                  <c:v>2.2967999999999999E-3</c:v>
                </c:pt>
                <c:pt idx="2">
                  <c:v>1.0736999999999999E-3</c:v>
                </c:pt>
                <c:pt idx="3">
                  <c:v>3.8664999999999999E-4</c:v>
                </c:pt>
                <c:pt idx="4">
                  <c:v>2.04E-4</c:v>
                </c:pt>
                <c:pt idx="5">
                  <c:v>9.7251999999999997E-5</c:v>
                </c:pt>
                <c:pt idx="6">
                  <c:v>6.3058999999999994E-5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7A-8D47-BAE5-154F2E00C0B5}"/>
            </c:ext>
          </c:extLst>
        </c:ser>
        <c:ser>
          <c:idx val="2"/>
          <c:order val="2"/>
          <c:tx>
            <c:v>3D Gauss kernel eval.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'kernel integration 2'!$C$11:$I$11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</c:numCache>
            </c:numRef>
          </c:xVal>
          <c:yVal>
            <c:numRef>
              <c:f>'kernel integration 2'!$C$17:$I$17</c:f>
              <c:numCache>
                <c:formatCode>0.0000%</c:formatCode>
                <c:ptCount val="7"/>
                <c:pt idx="0">
                  <c:v>1.2216E-3</c:v>
                </c:pt>
                <c:pt idx="1">
                  <c:v>2.118E-4</c:v>
                </c:pt>
                <c:pt idx="2">
                  <c:v>6.1109000000000001E-5</c:v>
                </c:pt>
                <c:pt idx="3">
                  <c:v>1.396E-5</c:v>
                </c:pt>
                <c:pt idx="4">
                  <c:v>6.7332000000000002E-6</c:v>
                </c:pt>
                <c:pt idx="5">
                  <c:v>3.4249999999999998E-6</c:v>
                </c:pt>
                <c:pt idx="6">
                  <c:v>2.3999999999999999E-6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7A-8D47-BAE5-154F2E00C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094127"/>
        <c:axId val="734555663"/>
      </c:scatterChart>
      <c:valAx>
        <c:axId val="708094127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555663"/>
        <c:crosses val="autoZero"/>
        <c:crossBetween val="midCat"/>
      </c:valAx>
      <c:valAx>
        <c:axId val="734555663"/>
        <c:scaling>
          <c:logBase val="10"/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094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Shear</a:t>
            </a:r>
            <a:r>
              <a:rPr lang="en-GB" baseline="0"/>
              <a:t> average error %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1-point kernel eval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'kernel integration 2'!$C$21:$I$21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</c:numCache>
            </c:numRef>
          </c:xVal>
          <c:yVal>
            <c:numRef>
              <c:f>'kernel integration 2'!$C$23:$I$23</c:f>
              <c:numCache>
                <c:formatCode>0.00%</c:formatCode>
                <c:ptCount val="7"/>
                <c:pt idx="0">
                  <c:v>2.6017999999999999E-2</c:v>
                </c:pt>
                <c:pt idx="1">
                  <c:v>1.3382E-2</c:v>
                </c:pt>
                <c:pt idx="2">
                  <c:v>7.9396999999999992E-3</c:v>
                </c:pt>
                <c:pt idx="3">
                  <c:v>3.4320000000000002E-3</c:v>
                </c:pt>
                <c:pt idx="4">
                  <c:v>1.9162999999999999E-3</c:v>
                </c:pt>
                <c:pt idx="5">
                  <c:v>8.1194999999999998E-4</c:v>
                </c:pt>
                <c:pt idx="6" formatCode="0.000%">
                  <c:v>4.4828000000000001E-4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7-C44F-AA25-C6ACD75CEE55}"/>
            </c:ext>
          </c:extLst>
        </c:ser>
        <c:ser>
          <c:idx val="1"/>
          <c:order val="1"/>
          <c:tx>
            <c:v>2D Gauss kernel eval.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'kernel integration 2'!$C$21:$I$21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</c:numCache>
            </c:numRef>
          </c:xVal>
          <c:yVal>
            <c:numRef>
              <c:f>'kernel integration 2'!$C$25:$I$25</c:f>
              <c:numCache>
                <c:formatCode>0.00000%</c:formatCode>
                <c:ptCount val="7"/>
                <c:pt idx="0">
                  <c:v>3.4989999999999999E-4</c:v>
                </c:pt>
                <c:pt idx="1">
                  <c:v>1.3563E-4</c:v>
                </c:pt>
                <c:pt idx="2">
                  <c:v>7.0536000000000004E-5</c:v>
                </c:pt>
                <c:pt idx="3">
                  <c:v>2.6100000000000001E-5</c:v>
                </c:pt>
                <c:pt idx="4" formatCode="0.000000%">
                  <c:v>1.4732000000000001E-5</c:v>
                </c:pt>
                <c:pt idx="5" formatCode="0.000000%">
                  <c:v>7.1269999999999997E-6</c:v>
                </c:pt>
                <c:pt idx="6" formatCode="0.000000%">
                  <c:v>4.5799E-6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7-C44F-AA25-C6ACD75CEE55}"/>
            </c:ext>
          </c:extLst>
        </c:ser>
        <c:ser>
          <c:idx val="2"/>
          <c:order val="2"/>
          <c:tx>
            <c:v>3D Gauss kernel eval.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'kernel integration 2'!$C$21:$I$21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</c:numCache>
            </c:numRef>
          </c:xVal>
          <c:yVal>
            <c:numRef>
              <c:f>'kernel integration 2'!$C$27:$I$27</c:f>
              <c:numCache>
                <c:formatCode>0.00000%</c:formatCode>
                <c:ptCount val="7"/>
                <c:pt idx="0">
                  <c:v>2.7274999999999999E-5</c:v>
                </c:pt>
                <c:pt idx="1">
                  <c:v>5.3935000000000001E-6</c:v>
                </c:pt>
                <c:pt idx="2" formatCode="0.000000%">
                  <c:v>1.8528000000000001E-6</c:v>
                </c:pt>
                <c:pt idx="3" formatCode="0.000000%">
                  <c:v>5.1997000000000002E-7</c:v>
                </c:pt>
                <c:pt idx="4" formatCode="0.000000%">
                  <c:v>2.9400000000000001E-7</c:v>
                </c:pt>
                <c:pt idx="5" formatCode="0.000000%">
                  <c:v>1.6180000000000001E-7</c:v>
                </c:pt>
                <c:pt idx="6" formatCode="0.00000000%">
                  <c:v>1.1312E-7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27-C44F-AA25-C6ACD75CE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458847"/>
        <c:axId val="708792863"/>
      </c:scatterChart>
      <c:valAx>
        <c:axId val="679458847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792863"/>
        <c:crosses val="autoZero"/>
        <c:crossBetween val="midCat"/>
      </c:valAx>
      <c:valAx>
        <c:axId val="708792863"/>
        <c:scaling>
          <c:logBase val="10"/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8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customXml" Target="../ink/ink1.xml"/><Relationship Id="rId7" Type="http://schemas.openxmlformats.org/officeDocument/2006/relationships/customXml" Target="../ink/ink3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image" Target="../media/image2.png"/><Relationship Id="rId5" Type="http://schemas.openxmlformats.org/officeDocument/2006/relationships/customXml" Target="../ink/ink2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146050</xdr:colOff>
      <xdr:row>0</xdr:row>
      <xdr:rowOff>120650</xdr:rowOff>
    </xdr:from>
    <xdr:to>
      <xdr:col>20</xdr:col>
      <xdr:colOff>241300</xdr:colOff>
      <xdr:row>24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DBF97D-6B3E-A44E-B1D1-5CE9928A5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234950</xdr:colOff>
      <xdr:row>24</xdr:row>
      <xdr:rowOff>146050</xdr:rowOff>
    </xdr:from>
    <xdr:to>
      <xdr:col>20</xdr:col>
      <xdr:colOff>12700</xdr:colOff>
      <xdr:row>45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783ADD-2E51-254D-9547-5A90E449B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146050</xdr:colOff>
      <xdr:row>0</xdr:row>
      <xdr:rowOff>120650</xdr:rowOff>
    </xdr:from>
    <xdr:to>
      <xdr:col>20</xdr:col>
      <xdr:colOff>241300</xdr:colOff>
      <xdr:row>24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674BD6-BE13-B5F2-5F46-75AA8CA5B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234950</xdr:colOff>
      <xdr:row>24</xdr:row>
      <xdr:rowOff>146050</xdr:rowOff>
    </xdr:from>
    <xdr:to>
      <xdr:col>20</xdr:col>
      <xdr:colOff>12700</xdr:colOff>
      <xdr:row>45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BC01DF-7E18-08BB-510B-A8165C5AC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742950</xdr:colOff>
      <xdr:row>1</xdr:row>
      <xdr:rowOff>88900</xdr:rowOff>
    </xdr:from>
    <xdr:to>
      <xdr:col>17</xdr:col>
      <xdr:colOff>635000</xdr:colOff>
      <xdr:row>29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CDF32B-62CC-823C-2E2B-74A489C6A9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768350</xdr:colOff>
      <xdr:row>30</xdr:row>
      <xdr:rowOff>12700</xdr:rowOff>
    </xdr:from>
    <xdr:to>
      <xdr:col>17</xdr:col>
      <xdr:colOff>381000</xdr:colOff>
      <xdr:row>58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D105AE-0E86-2515-4118-D1CB996EF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660400</xdr:colOff>
      <xdr:row>0</xdr:row>
      <xdr:rowOff>196850</xdr:rowOff>
    </xdr:from>
    <xdr:to>
      <xdr:col>26</xdr:col>
      <xdr:colOff>584200</xdr:colOff>
      <xdr:row>22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3135B0-9BB8-0465-FC55-3CDB4B53B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</xdr:colOff>
      <xdr:row>1</xdr:row>
      <xdr:rowOff>95250</xdr:rowOff>
    </xdr:from>
    <xdr:to>
      <xdr:col>19</xdr:col>
      <xdr:colOff>520700</xdr:colOff>
      <xdr:row>22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13E9E1-BC9D-575C-E7B7-FF34B19DC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44450</xdr:colOff>
      <xdr:row>23</xdr:row>
      <xdr:rowOff>133350</xdr:rowOff>
    </xdr:from>
    <xdr:to>
      <xdr:col>19</xdr:col>
      <xdr:colOff>533400</xdr:colOff>
      <xdr:row>41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32B143-8CB5-E498-9D0A-D6FA01917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647700</xdr:colOff>
      <xdr:row>23</xdr:row>
      <xdr:rowOff>69850</xdr:rowOff>
    </xdr:from>
    <xdr:to>
      <xdr:col>26</xdr:col>
      <xdr:colOff>393700</xdr:colOff>
      <xdr:row>41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FA513B-8410-F63F-4824-33CB892DC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527050</xdr:colOff>
      <xdr:row>1</xdr:row>
      <xdr:rowOff>88900</xdr:rowOff>
    </xdr:from>
    <xdr:to>
      <xdr:col>16</xdr:col>
      <xdr:colOff>800100</xdr:colOff>
      <xdr:row>22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8895F2-D050-7A95-D0B8-9F9FA60BB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295564</xdr:colOff>
      <xdr:row>16</xdr:row>
      <xdr:rowOff>198582</xdr:rowOff>
    </xdr:from>
    <xdr:to>
      <xdr:col>13</xdr:col>
      <xdr:colOff>685801</xdr:colOff>
      <xdr:row>37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709D55-8A7E-A78D-E6E8-173AD4B44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274205</xdr:colOff>
      <xdr:row>16</xdr:row>
      <xdr:rowOff>180109</xdr:rowOff>
    </xdr:from>
    <xdr:to>
      <xdr:col>9</xdr:col>
      <xdr:colOff>64655</xdr:colOff>
      <xdr:row>34</xdr:row>
      <xdr:rowOff>86591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60BBAE-2347-64BB-489F-B275E48F56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323842</xdr:colOff>
      <xdr:row>28</xdr:row>
      <xdr:rowOff>150178</xdr:rowOff>
    </xdr:from>
    <xdr:to>
      <xdr:col>4</xdr:col>
      <xdr:colOff>528322</xdr:colOff>
      <xdr:row>29</xdr:row>
      <xdr:rowOff>195663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766E6AC-DAEA-4795-6406-254F68CDABC1}"/>
                </a:ext>
              </a:extLst>
            </xdr14:cNvPr>
            <xdr14:cNvContentPartPr/>
          </xdr14:nvContentPartPr>
          <xdr14:nvPr macro=""/>
          <xdr14:xfrm>
            <a:off x="7239569" y="6038360"/>
            <a:ext cx="204480" cy="253303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766E6AC-DAEA-4795-6406-254F68CDABC1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428176" y="5470560"/>
              <a:ext cx="222089" cy="26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958172</xdr:colOff>
      <xdr:row>29</xdr:row>
      <xdr:rowOff>181491</xdr:rowOff>
    </xdr:from>
    <xdr:to>
      <xdr:col>5</xdr:col>
      <xdr:colOff>123535</xdr:colOff>
      <xdr:row>30</xdr:row>
      <xdr:rowOff>188884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2B4BCAC6-9C3D-D2B2-1A4F-4A47D6B2A4B1}"/>
                </a:ext>
              </a:extLst>
            </xdr14:cNvPr>
            <xdr14:cNvContentPartPr/>
          </xdr14:nvContentPartPr>
          <xdr14:nvPr macro=""/>
          <xdr14:xfrm>
            <a:off x="7873899" y="6277491"/>
            <a:ext cx="216000" cy="215211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2B4BCAC6-9C3D-D2B2-1A4F-4A47D6B2A4B1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7123695" y="5636160"/>
              <a:ext cx="233611" cy="231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442109</xdr:colOff>
      <xdr:row>30</xdr:row>
      <xdr:rowOff>96680</xdr:rowOff>
    </xdr:from>
    <xdr:to>
      <xdr:col>5</xdr:col>
      <xdr:colOff>633269</xdr:colOff>
      <xdr:row>31</xdr:row>
      <xdr:rowOff>29561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3840D03F-4BBA-6E64-87CF-000091E66B5A}"/>
                </a:ext>
              </a:extLst>
            </xdr14:cNvPr>
            <xdr14:cNvContentPartPr/>
          </xdr14:nvContentPartPr>
          <xdr14:nvPr macro=""/>
          <xdr14:xfrm>
            <a:off x="8408473" y="6400498"/>
            <a:ext cx="191160" cy="140699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3840D03F-4BBA-6E64-87CF-000091E66B5A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7670160" y="5777640"/>
              <a:ext cx="208800" cy="1537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9-22T11:29:17.56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528 0 24575,'-14'0'0,"4"0"0,-9 0 0,4 0 0,-29 0 0,18 0 0,-13 0 0,15 0 0,7 0 0,-9 0 0,6 0 0,-6 0 0,4 0 0,-3 0 0,4 0 0,1 0 0,0 5 0,5 0 0,1 0 0,5-1 0,4 1 0,-3-4 0,7 6 0,-7-2 0,7 4 0,-3-1 0,0 1 0,3 0 0,-7 0 0,3 0 0,-4 0 0,-1 5 0,1-3 0,4 8 0,-4-4 0,8 0 0,-4 4 0,1-9 0,3 4 0,-3-5 0,4 1 0,0-1 0,0 0 0,0 0 0,0 0 0,0 0 0,0 0 0,0 0 0,0 5 0,0 2 0,0 4 0,0 6 0,0-10 0,0 9 0,0-10 0,5 5 0,-4 1 0,7-6 0,-2 4 0,4-4 0,-1 0 0,1 4 0,-1-8 0,1 3 0,-1-5 0,0 0 0,0 0 0,0 0 0,0 0 0,1 0 0,-1 0 0,5 1 0,1 0 0,5-5 0,6 5 0,-4-9 0,9 4 0,-9-5 0,10 5 0,-11-4 0,5 4 0,-10-5 0,3 0 0,-9 0 0,9 0 0,-9 0 0,9 0 0,-9 0 0,9 0 0,-8 0 0,8 0 0,-4-5 0,-4 4 0,-2-3 0</inkml:trace>
  <inkml:trace contextRef="#ctx0" brushRef="#br0" timeOffset="1121">568 573 24575,'0'-18'0,"0"0"0,0-3 0,0 1 0,0 5 0,0-4 0,0 4 0,0-5 0,0-1 0,0 1 0,0 0 0,0 0 0,0 0 0,0 0 0,0 4 0,0-3 0,0 9 0,0-4 0,0 0 0,0 4 0,0-9 0,0 8 0,0-3 0,0 5 0,0 0 0,0 0 0,0-5 0,0 4 0,-4-4 0,3 5 0,-3 0 0,4 0 0,0 0 0,0 4 0,0 1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9-22T11:33:08.20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417 127 24575,'-13'0'0,"1"0"0,7-4 0,-3 3 0,3-3 0,-3 4 0,-1-4 0,0 3 0,0-3 0,0 4 0,0 0 0,4-4 0,-3 2 0,4-2 0,-9 4 0,4 0 0,-9 0 0,3 0 0,-5 0 0,-6 0 0,4 0 0,1 0 0,2 0 0,9 0 0,-3 0 0,1 0 0,2 0 0,-7 0 0,6 4 0,-3 2 0,5 3 0,0 0 0,0 0 0,0-4 0,4 3 0,-3-7 0,7 7 0,-3-4 0,4 5 0,0 0 0,0-1 0,0 1 0,0 0 0,0 0 0,0 0 0,0 0 0,0 0 0,0-1 0,0 1 0,0 0 0,0 0 0,0 0 0,0-1 0,0 1 0,0-1 0,0 1 0,0 0 0,0 0 0,0 0 0,0 0 0,0 0 0,0-1 0,0 6 0,0-4 0,4 4 0,-3-5 0,3 0 0,0 0 0,-3 0 0,3 0 0,0-4 0,-3-1 0,3-4 0</inkml:trace>
  <inkml:trace contextRef="#ctx0" brushRef="#br0" timeOffset="2226">27 474 24575,'8'0'0,"5"0"0,8 0 0,6 5 0,13 1 0,-5 10 0,5 2 0,0 0 0,-16-3 0,20-3 0,-31-3 0,14-3 0,-18 3 0,0-8 0,0 3 0,0-4 0,-1 0 0,1 0 0,-1 0 0,1 0 0,0 0 0,0 0 0,1 0 0,4 0 0,-4 0 0,4 0 0,-5 0 0,0 0 0,0 0 0,0-8 0,0 2 0,-5-12 0,5 3 0,-3-5 0,4 0 0,-5 5 0,5-10 0,-9 8 0,4-9 0,-1 6 0,-3 0 0,4 0 0,-5-1 0,0 1 0,0 5 0,0-4 0,0 4 0,0-5 0,0 4 0,0-2 0,0 2 0,0-4 0,0 0 0,0 0 0,0 0 0,0-1 0,0 6 0,-4 1 0,3 5 0,-7 4 0,7-3 0,-3 3 0,0 0 0,-1 1 0,0 0 0,-8 3 0,7-7 0,-13 7 0,9-7 0,-4 7 0,4-7 0,1 7 0,0-3 0,0 4 0,1 0 0,-1 0 0,1 0 0,-1 4 0,4 1 0,1-1 0,4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9-22T11:33:13.09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79 165 24575,'0'13'0,"0"-1"0,0-3 0,0 0 0,0 0 0,0 0 0,4-3 0,1 1 0,3-6 0,-3 7 0,2-3 0,-2 3 0,9 2 0,1-1 0,6 1 0,-1 0 0,0 1 0,0-1 0,0 0 0,0 0 0,-4-1 0,-2 1 0,-5-1 0,0-4 0,0-1 0,0-4 0,-1 0 0,1 0 0,0 0 0,4 0 0,3 0 0,4 0 0,0 0 0,0 0 0,-5 0 0,4 0 0,-8 0 0,3 0 0,-5 0 0,-4-7 0,-1-4 0,-4-13 0,0 2 0,0-10 0,4 11 0,-3 0 0,4 7 0,-5 0 0,0 3 0,0-3 0,0 0 0,0 4 0,0-4 0,0 5 0,0 0 0,0 0 0,-9-5 0,3 3 0,-13-3 0,8 5 0,-3 3 0,9-2 0,-3 7 0,3-7 0,-4 3 0,-3-4 0,-3 4 0,-4-3 0,4 7 0,1-7 0,0 7 0,4-4 0,-4 5 0,5-3 0,0 2 0,-5-3 0,-1 4 0,-5 0 0,-6 0 0,-1 0 0,-1 0 0,-3 0 0,9 0 0,-4 0 0,11 0 0,1 0 0,9 4 0,1 1 0,0 3 0,3 1 0,-7 0 0,7 0 0,-7 0 0,3 5 0,-5 1 0,4 5 0,-2-4 0,2 3 0,1-4 0,1 0 0,4-1 0,0-5 0,0 0 0,0-4 0,0-1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2B5F6-CA82-B649-B737-9927B1648C8E}">
  <dimension ref="A2:G6"/>
  <sheetViews>
    <sheetView zoomScale="75" workbookViewId="0">
      <selection activeCell="H16" sqref="H16"/>
    </sheetView>
  </sheetViews>
  <sheetFormatPr baseColWidth="10" defaultRowHeight="16" x14ac:dyDescent="0.2"/>
  <cols>
    <col min="1" max="1" width="12.33203125" customWidth="1"/>
    <col min="2" max="2" width="19.83203125" bestFit="1" customWidth="1"/>
    <col min="3" max="3" width="24.83203125" bestFit="1" customWidth="1"/>
    <col min="4" max="4" width="18.1640625" bestFit="1" customWidth="1"/>
    <col min="5" max="5" width="23.1640625" bestFit="1" customWidth="1"/>
  </cols>
  <sheetData>
    <row r="2" spans="1:7" x14ac:dyDescent="0.2">
      <c r="A2" t="s">
        <v>0</v>
      </c>
      <c r="B2" t="s">
        <v>1</v>
      </c>
      <c r="C2" t="s">
        <v>2</v>
      </c>
      <c r="D2" t="s">
        <v>4</v>
      </c>
      <c r="E2" t="s">
        <v>3</v>
      </c>
      <c r="F2" t="s">
        <v>5</v>
      </c>
      <c r="G2" t="s">
        <v>6</v>
      </c>
    </row>
    <row r="3" spans="1:7" x14ac:dyDescent="0.2">
      <c r="A3">
        <v>1000</v>
      </c>
      <c r="B3" s="2">
        <v>3.8000000000000002E-5</v>
      </c>
      <c r="C3" s="2">
        <v>8.7999999999999998E-5</v>
      </c>
      <c r="D3" s="1">
        <v>2.1000000000000001E-4</v>
      </c>
      <c r="E3" s="3">
        <f>1.29*10^-9</f>
        <v>1.2900000000000001E-9</v>
      </c>
      <c r="F3" s="4">
        <f>10^-6</f>
        <v>9.9999999999999995E-7</v>
      </c>
      <c r="G3" s="4">
        <f>10^5</f>
        <v>100000</v>
      </c>
    </row>
    <row r="4" spans="1:7" x14ac:dyDescent="0.2">
      <c r="A4">
        <v>200</v>
      </c>
      <c r="B4" s="1">
        <v>1.1000000000000001E-3</v>
      </c>
      <c r="C4" s="1">
        <v>2.7000000000000001E-3</v>
      </c>
      <c r="D4" s="1">
        <v>8.3820000000000006E-3</v>
      </c>
      <c r="E4" s="3">
        <f>1.29*10^-9</f>
        <v>1.2900000000000001E-9</v>
      </c>
      <c r="F4" s="4">
        <f>10^-6</f>
        <v>9.9999999999999995E-7</v>
      </c>
      <c r="G4" s="4">
        <f>10^5</f>
        <v>100000</v>
      </c>
    </row>
    <row r="5" spans="1:7" x14ac:dyDescent="0.2">
      <c r="A5">
        <v>100</v>
      </c>
      <c r="B5" s="1">
        <v>4.7000000000000002E-3</v>
      </c>
      <c r="C5" s="1">
        <v>1.18E-2</v>
      </c>
      <c r="D5" s="1">
        <v>3.8469999999999997E-2</v>
      </c>
      <c r="E5" s="3">
        <f>1.29*10^-9</f>
        <v>1.2900000000000001E-9</v>
      </c>
      <c r="F5" s="4">
        <f>10^-6</f>
        <v>9.9999999999999995E-7</v>
      </c>
      <c r="G5" s="4">
        <f>10^5</f>
        <v>100000</v>
      </c>
    </row>
    <row r="6" spans="1:7" x14ac:dyDescent="0.2">
      <c r="A6">
        <v>50</v>
      </c>
      <c r="B6" s="1">
        <v>1.9775999999999998E-2</v>
      </c>
      <c r="C6" s="1">
        <v>3.9E-2</v>
      </c>
      <c r="D6" s="1">
        <v>0.107</v>
      </c>
      <c r="E6" s="3">
        <f>1.29*10^-9</f>
        <v>1.2900000000000001E-9</v>
      </c>
      <c r="F6" s="4">
        <f>10^-6</f>
        <v>9.9999999999999995E-7</v>
      </c>
      <c r="G6" s="4">
        <f>10^5</f>
        <v>100000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060E7-C6A8-E14E-9D84-7CD64E0A8206}">
  <dimension ref="A1:L5"/>
  <sheetViews>
    <sheetView workbookViewId="0">
      <selection activeCell="I5" sqref="I5"/>
    </sheetView>
  </sheetViews>
  <sheetFormatPr baseColWidth="10" defaultRowHeight="16" x14ac:dyDescent="0.2"/>
  <cols>
    <col min="9" max="9" width="13.6640625" bestFit="1" customWidth="1"/>
    <col min="11" max="11" width="21.5" bestFit="1" customWidth="1"/>
    <col min="12" max="12" width="13.1640625" bestFit="1" customWidth="1"/>
  </cols>
  <sheetData>
    <row r="1" spans="1:12" x14ac:dyDescent="0.2">
      <c r="A1" t="s">
        <v>7</v>
      </c>
      <c r="B1" t="s">
        <v>8</v>
      </c>
      <c r="C1" t="s">
        <v>9</v>
      </c>
      <c r="D1" t="s">
        <v>10</v>
      </c>
      <c r="E1" t="s">
        <v>5</v>
      </c>
      <c r="F1" t="s">
        <v>6</v>
      </c>
      <c r="G1" t="s">
        <v>13</v>
      </c>
      <c r="H1" t="s">
        <v>16</v>
      </c>
      <c r="I1" t="s">
        <v>17</v>
      </c>
      <c r="J1" t="s">
        <v>19</v>
      </c>
      <c r="K1" t="s">
        <v>20</v>
      </c>
      <c r="L1" t="s">
        <v>21</v>
      </c>
    </row>
    <row r="2" spans="1:12" x14ac:dyDescent="0.2">
      <c r="A2">
        <v>1</v>
      </c>
      <c r="B2" t="s">
        <v>11</v>
      </c>
      <c r="C2" t="s">
        <v>12</v>
      </c>
      <c r="D2" t="s">
        <v>12</v>
      </c>
      <c r="E2" t="s">
        <v>14</v>
      </c>
      <c r="F2" t="s">
        <v>15</v>
      </c>
      <c r="G2">
        <v>80</v>
      </c>
      <c r="H2">
        <v>10</v>
      </c>
      <c r="I2" t="s">
        <v>18</v>
      </c>
      <c r="J2" s="1">
        <v>2.8411E-3</v>
      </c>
      <c r="K2" s="5">
        <f>1.43*10^-9</f>
        <v>1.43E-9</v>
      </c>
      <c r="L2" s="2">
        <v>2.7000000000000001E-3</v>
      </c>
    </row>
    <row r="3" spans="1:12" x14ac:dyDescent="0.2">
      <c r="A3">
        <v>1</v>
      </c>
      <c r="B3" t="s">
        <v>11</v>
      </c>
      <c r="C3" t="s">
        <v>12</v>
      </c>
      <c r="D3" t="s">
        <v>12</v>
      </c>
      <c r="E3" t="s">
        <v>14</v>
      </c>
      <c r="F3" t="s">
        <v>15</v>
      </c>
      <c r="G3">
        <v>40</v>
      </c>
      <c r="H3">
        <v>10</v>
      </c>
      <c r="I3" t="s">
        <v>18</v>
      </c>
      <c r="J3" s="1">
        <v>1.2434000000000001E-2</v>
      </c>
      <c r="K3" s="5">
        <f>1.56*10^-6</f>
        <v>1.5599999999999999E-6</v>
      </c>
      <c r="L3" s="2">
        <v>1.1958E-2</v>
      </c>
    </row>
    <row r="4" spans="1:12" x14ac:dyDescent="0.2">
      <c r="A4">
        <v>1</v>
      </c>
      <c r="B4" t="s">
        <v>11</v>
      </c>
      <c r="C4" t="s">
        <v>12</v>
      </c>
      <c r="D4" t="s">
        <v>12</v>
      </c>
      <c r="E4" t="s">
        <v>14</v>
      </c>
      <c r="F4" t="s">
        <v>15</v>
      </c>
      <c r="G4">
        <v>40</v>
      </c>
      <c r="H4">
        <v>10</v>
      </c>
      <c r="I4" t="s">
        <v>18</v>
      </c>
      <c r="J4" s="1">
        <v>1.7600000000000001E-3</v>
      </c>
      <c r="K4" s="5">
        <f>1.27*10^-9</f>
        <v>1.2700000000000002E-9</v>
      </c>
      <c r="L4" s="2">
        <v>1.671E-3</v>
      </c>
    </row>
    <row r="5" spans="1:12" x14ac:dyDescent="0.2">
      <c r="A5">
        <v>2</v>
      </c>
      <c r="B5" t="s">
        <v>22</v>
      </c>
      <c r="C5" t="s">
        <v>12</v>
      </c>
      <c r="D5" t="s">
        <v>12</v>
      </c>
      <c r="E5" t="s">
        <v>14</v>
      </c>
      <c r="F5" t="s">
        <v>15</v>
      </c>
      <c r="G5">
        <v>80</v>
      </c>
      <c r="H5">
        <v>2.5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C3A80-38EB-0645-8246-796E55CA9334}">
  <dimension ref="A2:G6"/>
  <sheetViews>
    <sheetView topLeftCell="B1" zoomScale="75" workbookViewId="0">
      <selection activeCell="E4" sqref="E4"/>
    </sheetView>
  </sheetViews>
  <sheetFormatPr baseColWidth="10" defaultRowHeight="16" x14ac:dyDescent="0.2"/>
  <cols>
    <col min="1" max="1" width="12.33203125" customWidth="1"/>
    <col min="2" max="2" width="19.83203125" bestFit="1" customWidth="1"/>
    <col min="3" max="3" width="24.83203125" bestFit="1" customWidth="1"/>
    <col min="4" max="4" width="18.1640625" bestFit="1" customWidth="1"/>
    <col min="5" max="5" width="23.1640625" bestFit="1" customWidth="1"/>
  </cols>
  <sheetData>
    <row r="2" spans="1:7" x14ac:dyDescent="0.2">
      <c r="A2" t="s">
        <v>0</v>
      </c>
      <c r="B2" t="s">
        <v>1</v>
      </c>
      <c r="C2" t="s">
        <v>2</v>
      </c>
      <c r="D2" t="s">
        <v>4</v>
      </c>
      <c r="E2" t="s">
        <v>3</v>
      </c>
      <c r="F2" t="s">
        <v>5</v>
      </c>
      <c r="G2" t="s">
        <v>6</v>
      </c>
    </row>
    <row r="3" spans="1:7" x14ac:dyDescent="0.2">
      <c r="A3">
        <v>100</v>
      </c>
      <c r="B3" s="1">
        <v>3.7100000000000002E-3</v>
      </c>
      <c r="C3" s="1">
        <v>9.2499999999999995E-3</v>
      </c>
      <c r="D3" s="1">
        <v>3.0522000000000001E-2</v>
      </c>
      <c r="E3" s="3">
        <f>(1.1*10^-8)</f>
        <v>1.1000000000000001E-8</v>
      </c>
      <c r="F3" s="4">
        <f>1*10^-5</f>
        <v>1.0000000000000001E-5</v>
      </c>
      <c r="G3" s="4">
        <f>1*10^5</f>
        <v>100000</v>
      </c>
    </row>
    <row r="4" spans="1:7" x14ac:dyDescent="0.2">
      <c r="A4">
        <v>50</v>
      </c>
      <c r="B4" s="1">
        <v>1.5599999999999999E-2</v>
      </c>
      <c r="C4" s="1">
        <v>3.3000000000000002E-2</v>
      </c>
      <c r="D4" s="1">
        <v>9.3200000000000005E-2</v>
      </c>
      <c r="E4" s="3">
        <f>(1.82*10^-7)</f>
        <v>1.8199999999999999E-7</v>
      </c>
      <c r="F4" s="4">
        <f>1*10^-5</f>
        <v>1.0000000000000001E-5</v>
      </c>
      <c r="G4" s="4">
        <f>1*10^5</f>
        <v>100000</v>
      </c>
    </row>
    <row r="5" spans="1:7" x14ac:dyDescent="0.2">
      <c r="A5">
        <v>51</v>
      </c>
      <c r="B5" s="1">
        <v>1.4923000000000001E-2</v>
      </c>
      <c r="C5" s="1">
        <v>3.1899999999999998E-2</v>
      </c>
      <c r="D5" s="1">
        <v>9.0800000000000006E-2</v>
      </c>
      <c r="E5" s="3">
        <f>(1.6*10^-7)</f>
        <v>1.6E-7</v>
      </c>
      <c r="F5" s="4">
        <f>1*10^-5</f>
        <v>1.0000000000000001E-5</v>
      </c>
      <c r="G5" s="4">
        <f>1*10^5</f>
        <v>100000</v>
      </c>
    </row>
    <row r="6" spans="1:7" x14ac:dyDescent="0.2">
      <c r="A6">
        <v>200</v>
      </c>
      <c r="B6" s="1">
        <v>8.6700000000000004E-4</v>
      </c>
      <c r="C6" s="1">
        <v>2.0899999999999998E-3</v>
      </c>
      <c r="D6" s="1">
        <v>6.1999999999999998E-3</v>
      </c>
      <c r="E6" s="3">
        <f>(2.8*10^-9)</f>
        <v>2.7999999999999998E-9</v>
      </c>
      <c r="F6" s="4">
        <f>1*10^-5</f>
        <v>1.0000000000000001E-5</v>
      </c>
      <c r="G6" s="4">
        <f>1*10^5</f>
        <v>100000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68474-B6DC-EC48-A0CD-4C8989124854}">
  <dimension ref="A1:E14"/>
  <sheetViews>
    <sheetView topLeftCell="C9" workbookViewId="0">
      <selection sqref="A1:E10"/>
    </sheetView>
  </sheetViews>
  <sheetFormatPr baseColWidth="10" defaultRowHeight="16" x14ac:dyDescent="0.2"/>
  <sheetData>
    <row r="1" spans="1:5" x14ac:dyDescent="0.2">
      <c r="A1" t="s">
        <v>27</v>
      </c>
      <c r="B1">
        <v>10</v>
      </c>
      <c r="C1">
        <v>20</v>
      </c>
      <c r="D1">
        <v>40</v>
      </c>
      <c r="E1">
        <v>80</v>
      </c>
    </row>
    <row r="2" spans="1:5" x14ac:dyDescent="0.2">
      <c r="A2" t="s">
        <v>23</v>
      </c>
      <c r="B2">
        <v>25.97</v>
      </c>
      <c r="C2">
        <v>14.25</v>
      </c>
      <c r="D2">
        <v>6.6760000000000002</v>
      </c>
      <c r="E2">
        <v>3.3127</v>
      </c>
    </row>
    <row r="3" spans="1:5" x14ac:dyDescent="0.2">
      <c r="A3" t="s">
        <v>24</v>
      </c>
      <c r="B3">
        <v>0.87919999999999998</v>
      </c>
      <c r="C3">
        <v>0.14849999999999999</v>
      </c>
      <c r="D3">
        <v>3.1699999999999999E-2</v>
      </c>
      <c r="E3">
        <v>1.1299999999999999E-2</v>
      </c>
    </row>
    <row r="4" spans="1:5" x14ac:dyDescent="0.2">
      <c r="A4" t="s">
        <v>25</v>
      </c>
      <c r="B4">
        <v>0.14779999999999999</v>
      </c>
      <c r="C4">
        <v>7.7999999999999996E-3</v>
      </c>
      <c r="D4">
        <v>1.1999999999999999E-3</v>
      </c>
      <c r="E4">
        <f>4.657*10^-4</f>
        <v>4.6570000000000004E-4</v>
      </c>
    </row>
    <row r="6" spans="1:5" x14ac:dyDescent="0.2">
      <c r="A6" t="s">
        <v>26</v>
      </c>
    </row>
    <row r="7" spans="1:5" x14ac:dyDescent="0.2">
      <c r="B7">
        <v>10</v>
      </c>
      <c r="C7">
        <v>20</v>
      </c>
      <c r="D7">
        <v>40</v>
      </c>
      <c r="E7">
        <v>160</v>
      </c>
    </row>
    <row r="8" spans="1:5" x14ac:dyDescent="0.2">
      <c r="A8" t="s">
        <v>23</v>
      </c>
      <c r="B8">
        <v>20.238900000000001</v>
      </c>
      <c r="C8">
        <v>11</v>
      </c>
      <c r="D8">
        <v>5.1875999999999998</v>
      </c>
      <c r="E8">
        <v>1.6901999999999999</v>
      </c>
    </row>
    <row r="9" spans="1:5" x14ac:dyDescent="0.2">
      <c r="A9" t="s">
        <v>24</v>
      </c>
      <c r="B9">
        <v>0.90800000000000003</v>
      </c>
      <c r="C9">
        <v>0.25469999999999998</v>
      </c>
      <c r="D9">
        <v>7.6100000000000001E-2</v>
      </c>
      <c r="E9">
        <v>4.3E-3</v>
      </c>
    </row>
    <row r="10" spans="1:5" x14ac:dyDescent="0.2">
      <c r="A10" t="s">
        <v>25</v>
      </c>
      <c r="B10">
        <v>0.69889999999999997</v>
      </c>
      <c r="C10">
        <v>0.21690000000000001</v>
      </c>
      <c r="D10">
        <v>6.83E-2</v>
      </c>
      <c r="E10">
        <v>1.1000000000000001E-3</v>
      </c>
    </row>
    <row r="13" spans="1:5" x14ac:dyDescent="0.2">
      <c r="A13" t="s">
        <v>28</v>
      </c>
      <c r="B13" s="4">
        <f>1*10^-4</f>
        <v>1E-4</v>
      </c>
    </row>
    <row r="14" spans="1:5" x14ac:dyDescent="0.2">
      <c r="A14" t="s">
        <v>29</v>
      </c>
      <c r="B14" s="4">
        <f>1*10^4</f>
        <v>10000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07D10-F8EC-D349-B39C-8C7FF764C2D1}">
  <dimension ref="A1:L39"/>
  <sheetViews>
    <sheetView topLeftCell="I4" zoomScale="110" zoomScaleNormal="110" workbookViewId="0">
      <selection activeCell="D2" sqref="D2"/>
    </sheetView>
  </sheetViews>
  <sheetFormatPr baseColWidth="10" defaultRowHeight="16" x14ac:dyDescent="0.2"/>
  <cols>
    <col min="1" max="1" width="11.83203125" bestFit="1" customWidth="1"/>
    <col min="2" max="2" width="11.6640625" bestFit="1" customWidth="1"/>
    <col min="9" max="9" width="12.1640625" bestFit="1" customWidth="1"/>
  </cols>
  <sheetData>
    <row r="1" spans="1:12" ht="17" thickBot="1" x14ac:dyDescent="0.25">
      <c r="A1" s="10" t="s">
        <v>30</v>
      </c>
      <c r="B1" s="6"/>
      <c r="C1" s="6">
        <v>10</v>
      </c>
      <c r="D1" s="6">
        <v>15</v>
      </c>
      <c r="E1" s="6">
        <v>20</v>
      </c>
      <c r="F1" s="6">
        <v>30</v>
      </c>
      <c r="G1" s="6">
        <v>40</v>
      </c>
      <c r="H1" s="6">
        <v>60</v>
      </c>
      <c r="I1" s="6">
        <v>80</v>
      </c>
      <c r="J1" s="7"/>
      <c r="K1" s="7"/>
      <c r="L1" s="7"/>
    </row>
    <row r="2" spans="1:12" x14ac:dyDescent="0.2">
      <c r="A2" s="69" t="s">
        <v>23</v>
      </c>
      <c r="B2" s="11" t="s">
        <v>33</v>
      </c>
      <c r="C2" s="9">
        <v>0.21179999999999999</v>
      </c>
      <c r="D2" s="9">
        <v>0.1293</v>
      </c>
      <c r="E2" s="9">
        <v>8.7829000000000004E-2</v>
      </c>
      <c r="F2" s="9">
        <v>5.2600000000000001E-2</v>
      </c>
      <c r="G2" s="9">
        <v>4.4505999999999997E-2</v>
      </c>
      <c r="H2" s="9">
        <v>3.85E-2</v>
      </c>
      <c r="I2" s="20">
        <v>3.6517000000000001E-2</v>
      </c>
      <c r="J2" s="8"/>
      <c r="K2" s="8"/>
      <c r="L2" s="8"/>
    </row>
    <row r="3" spans="1:12" x14ac:dyDescent="0.2">
      <c r="A3" s="70"/>
      <c r="B3" s="12" t="s">
        <v>34</v>
      </c>
      <c r="C3" s="29">
        <v>6.8858000000000003E-2</v>
      </c>
      <c r="D3" s="29">
        <v>4.0306000000000002E-2</v>
      </c>
      <c r="E3" s="29">
        <v>2.5840999999999999E-2</v>
      </c>
      <c r="F3" s="29">
        <v>1.3161000000000001E-2</v>
      </c>
      <c r="G3" s="29">
        <v>8.0426000000000004E-3</v>
      </c>
      <c r="H3" s="29">
        <v>4.1362999999999999E-3</v>
      </c>
      <c r="I3" s="24">
        <v>2.6302000000000001E-3</v>
      </c>
    </row>
    <row r="4" spans="1:12" x14ac:dyDescent="0.2">
      <c r="A4" s="71" t="s">
        <v>31</v>
      </c>
      <c r="B4" s="13" t="s">
        <v>33</v>
      </c>
      <c r="C4" s="1">
        <f>0.049</f>
        <v>4.9000000000000002E-2</v>
      </c>
      <c r="D4" s="1">
        <v>1.9029999999999998E-2</v>
      </c>
      <c r="E4" s="1">
        <f>0.010636</f>
        <v>1.0636E-2</v>
      </c>
      <c r="F4" s="1">
        <v>5.7320000000000001E-3</v>
      </c>
      <c r="G4" s="1">
        <v>5.7419999999999997E-3</v>
      </c>
      <c r="H4" s="1">
        <v>5.7320000000000001E-3</v>
      </c>
      <c r="I4" s="1">
        <v>5.7320000000000001E-3</v>
      </c>
    </row>
    <row r="5" spans="1:12" x14ac:dyDescent="0.2">
      <c r="A5" s="72"/>
      <c r="B5" s="12" t="s">
        <v>34</v>
      </c>
      <c r="C5" s="29">
        <f>0.012351</f>
        <v>1.2351000000000001E-2</v>
      </c>
      <c r="D5" s="29">
        <v>4.3917000000000001E-3</v>
      </c>
      <c r="E5" s="29">
        <f>0.002055</f>
        <v>2.055E-3</v>
      </c>
      <c r="F5" s="29">
        <v>7.3925E-4</v>
      </c>
      <c r="G5" s="29">
        <v>3.8900000000000002E-4</v>
      </c>
      <c r="H5" s="29">
        <v>1.8000000000000001E-4</v>
      </c>
      <c r="I5" s="26">
        <v>1.1911E-4</v>
      </c>
    </row>
    <row r="6" spans="1:12" x14ac:dyDescent="0.2">
      <c r="A6" s="70" t="s">
        <v>32</v>
      </c>
      <c r="B6" s="13" t="s">
        <v>33</v>
      </c>
      <c r="C6" s="1">
        <f>0.011235</f>
        <v>1.1235E-2</v>
      </c>
      <c r="D6" s="1">
        <v>2.408E-3</v>
      </c>
      <c r="E6" s="1">
        <f>0.000951</f>
        <v>9.5100000000000002E-4</v>
      </c>
      <c r="F6" s="3">
        <v>3.4000000000000002E-4</v>
      </c>
      <c r="G6" s="1">
        <v>3.4000000000000002E-4</v>
      </c>
      <c r="H6" s="1">
        <v>3.4000000000000002E-4</v>
      </c>
      <c r="I6" s="1">
        <v>3.4000000000000002E-4</v>
      </c>
    </row>
    <row r="7" spans="1:12" ht="17" thickBot="1" x14ac:dyDescent="0.25">
      <c r="A7" s="71"/>
      <c r="B7" s="14" t="s">
        <v>34</v>
      </c>
      <c r="C7" s="29">
        <f>0.002531</f>
        <v>2.5309999999999998E-3</v>
      </c>
      <c r="D7" s="29">
        <v>4.3669999999999999E-4</v>
      </c>
      <c r="E7" s="29">
        <f>0.000128</f>
        <v>1.2799999999999999E-4</v>
      </c>
      <c r="F7" s="24">
        <v>2.8634999999999999E-5</v>
      </c>
      <c r="G7" s="27">
        <v>1.375E-5</v>
      </c>
      <c r="H7" s="34">
        <v>6.9E-6</v>
      </c>
      <c r="I7" s="26">
        <v>4.8799999999999999E-6</v>
      </c>
    </row>
    <row r="8" spans="1:12" x14ac:dyDescent="0.2">
      <c r="A8" s="15" t="s">
        <v>5</v>
      </c>
      <c r="B8" s="16">
        <f>10^-27</f>
        <v>1E-27</v>
      </c>
      <c r="G8" s="26"/>
    </row>
    <row r="9" spans="1:12" ht="17" thickBot="1" x14ac:dyDescent="0.25">
      <c r="A9" s="17" t="s">
        <v>6</v>
      </c>
      <c r="B9" s="18">
        <f>10^-18</f>
        <v>1.0000000000000001E-18</v>
      </c>
    </row>
    <row r="11" spans="1:12" ht="17" thickBot="1" x14ac:dyDescent="0.25">
      <c r="A11" s="10" t="s">
        <v>35</v>
      </c>
      <c r="B11" s="6"/>
      <c r="C11" s="6">
        <v>10</v>
      </c>
      <c r="D11" s="6">
        <v>15</v>
      </c>
      <c r="E11" s="6">
        <v>20</v>
      </c>
      <c r="F11" s="6">
        <v>30</v>
      </c>
      <c r="G11" s="6">
        <v>40</v>
      </c>
      <c r="H11" s="6">
        <v>60</v>
      </c>
      <c r="I11" s="6">
        <v>80</v>
      </c>
    </row>
    <row r="12" spans="1:12" x14ac:dyDescent="0.2">
      <c r="A12" s="69" t="s">
        <v>23</v>
      </c>
      <c r="B12" s="11" t="s">
        <v>33</v>
      </c>
      <c r="C12" s="21">
        <v>0.1125</v>
      </c>
      <c r="D12" s="21">
        <v>6.6799999999999998E-2</v>
      </c>
      <c r="E12" s="21">
        <v>4.5349E-2</v>
      </c>
      <c r="F12" s="21">
        <v>2.7826E-2</v>
      </c>
      <c r="G12" s="21">
        <v>2.4445000000000001E-2</v>
      </c>
      <c r="H12" s="21">
        <v>2.1999999999999999E-2</v>
      </c>
      <c r="I12" s="21">
        <v>2.1170000000000001E-2</v>
      </c>
    </row>
    <row r="13" spans="1:12" x14ac:dyDescent="0.2">
      <c r="A13" s="70"/>
      <c r="B13" s="12" t="s">
        <v>34</v>
      </c>
      <c r="C13" s="24">
        <v>3.5193000000000002E-2</v>
      </c>
      <c r="D13" s="24">
        <v>2.0462000000000001E-2</v>
      </c>
      <c r="E13" s="24">
        <v>1.3108E-2</v>
      </c>
      <c r="F13" s="24">
        <v>6.6949000000000002E-3</v>
      </c>
      <c r="G13" s="24">
        <v>4.1367000000000001E-3</v>
      </c>
      <c r="H13" s="24">
        <v>2.1592999999999998E-3</v>
      </c>
      <c r="I13" s="24">
        <v>1.3906999999999999E-3</v>
      </c>
    </row>
    <row r="14" spans="1:12" x14ac:dyDescent="0.2">
      <c r="A14" s="71" t="s">
        <v>31</v>
      </c>
      <c r="B14" s="13" t="s">
        <v>33</v>
      </c>
      <c r="C14" s="3">
        <v>2.7392E-2</v>
      </c>
      <c r="D14" s="3">
        <v>1.0616E-2</v>
      </c>
      <c r="E14" s="3">
        <v>5.9129999999999999E-3</v>
      </c>
      <c r="F14" s="3">
        <v>3.1909999999999998E-3</v>
      </c>
      <c r="G14" s="3">
        <v>3.1909999999999998E-3</v>
      </c>
      <c r="H14" s="3">
        <v>3.1909999999999998E-3</v>
      </c>
      <c r="I14" s="3">
        <v>3.1909999999999998E-3</v>
      </c>
    </row>
    <row r="15" spans="1:12" x14ac:dyDescent="0.2">
      <c r="A15" s="72"/>
      <c r="B15" s="12" t="s">
        <v>34</v>
      </c>
      <c r="C15" s="24">
        <v>6.4383000000000001E-3</v>
      </c>
      <c r="D15" s="24">
        <v>2.2967999999999999E-3</v>
      </c>
      <c r="E15" s="24">
        <v>1.0736999999999999E-3</v>
      </c>
      <c r="F15" s="24">
        <v>3.8664999999999999E-4</v>
      </c>
      <c r="G15" s="24">
        <v>2.04E-4</v>
      </c>
      <c r="H15" s="24">
        <v>9.7251999999999997E-5</v>
      </c>
      <c r="I15" s="24">
        <v>6.3058999999999994E-5</v>
      </c>
    </row>
    <row r="16" spans="1:12" x14ac:dyDescent="0.2">
      <c r="A16" s="70" t="s">
        <v>32</v>
      </c>
      <c r="B16" s="13" t="s">
        <v>33</v>
      </c>
      <c r="C16" s="3">
        <v>5.8630000000000002E-3</v>
      </c>
      <c r="D16" s="3">
        <v>1.2359999999999999E-3</v>
      </c>
      <c r="E16" s="3">
        <v>4.7600000000000002E-4</v>
      </c>
      <c r="F16" s="3">
        <v>1.74E-4</v>
      </c>
      <c r="G16" s="3">
        <v>1.74E-4</v>
      </c>
      <c r="H16" s="3">
        <v>1.74E-4</v>
      </c>
      <c r="I16" s="3">
        <v>1.74E-4</v>
      </c>
    </row>
    <row r="17" spans="1:9" ht="17" thickBot="1" x14ac:dyDescent="0.25">
      <c r="A17" s="71"/>
      <c r="B17" s="14" t="s">
        <v>34</v>
      </c>
      <c r="C17" s="24">
        <v>1.2216E-3</v>
      </c>
      <c r="D17" s="24">
        <v>2.118E-4</v>
      </c>
      <c r="E17" s="24">
        <v>6.1109000000000001E-5</v>
      </c>
      <c r="F17" s="24">
        <v>1.396E-5</v>
      </c>
      <c r="G17" s="24">
        <v>6.7332000000000002E-6</v>
      </c>
      <c r="H17" s="24">
        <v>3.4249999999999998E-6</v>
      </c>
      <c r="I17" s="24">
        <v>2.3999999999999999E-6</v>
      </c>
    </row>
    <row r="18" spans="1:9" x14ac:dyDescent="0.2">
      <c r="A18" s="15" t="s">
        <v>5</v>
      </c>
      <c r="B18" s="16">
        <f>10^-27</f>
        <v>1E-27</v>
      </c>
    </row>
    <row r="19" spans="1:9" ht="17" thickBot="1" x14ac:dyDescent="0.25">
      <c r="A19" s="17" t="s">
        <v>6</v>
      </c>
      <c r="B19" s="18">
        <f>10^-18</f>
        <v>1.0000000000000001E-18</v>
      </c>
    </row>
    <row r="21" spans="1:9" ht="17" thickBot="1" x14ac:dyDescent="0.25">
      <c r="A21" s="10" t="s">
        <v>36</v>
      </c>
      <c r="B21" s="6"/>
      <c r="C21" s="6">
        <v>10</v>
      </c>
      <c r="D21" s="6">
        <v>15</v>
      </c>
      <c r="E21" s="6">
        <v>20</v>
      </c>
      <c r="F21" s="6">
        <v>30</v>
      </c>
      <c r="G21" s="6">
        <v>40</v>
      </c>
      <c r="H21" s="6">
        <v>60</v>
      </c>
      <c r="I21" s="6">
        <v>80</v>
      </c>
    </row>
    <row r="22" spans="1:9" x14ac:dyDescent="0.2">
      <c r="A22" s="69" t="s">
        <v>23</v>
      </c>
      <c r="B22" s="11" t="s">
        <v>33</v>
      </c>
      <c r="C22" s="25">
        <v>0.13847000000000001</v>
      </c>
      <c r="D22" s="25">
        <v>7.5700000000000003E-2</v>
      </c>
      <c r="E22" s="9">
        <v>4.5019000000000003E-2</v>
      </c>
      <c r="F22" s="9">
        <v>0.02</v>
      </c>
      <c r="G22" s="9">
        <v>1.6201E-2</v>
      </c>
      <c r="H22" s="9">
        <v>1.6199999999999999E-2</v>
      </c>
      <c r="I22" s="23">
        <v>1.6199999999999999E-2</v>
      </c>
    </row>
    <row r="23" spans="1:9" x14ac:dyDescent="0.2">
      <c r="A23" s="70"/>
      <c r="B23" s="12" t="s">
        <v>34</v>
      </c>
      <c r="C23" s="28">
        <v>2.6017999999999999E-2</v>
      </c>
      <c r="D23" s="28">
        <v>1.3382E-2</v>
      </c>
      <c r="E23" s="29">
        <v>7.9396999999999992E-3</v>
      </c>
      <c r="F23" s="29">
        <v>3.4320000000000002E-3</v>
      </c>
      <c r="G23" s="29">
        <v>1.9162999999999999E-3</v>
      </c>
      <c r="H23" s="29">
        <v>8.1194999999999998E-4</v>
      </c>
      <c r="I23" s="30">
        <v>4.4828000000000001E-4</v>
      </c>
    </row>
    <row r="24" spans="1:9" x14ac:dyDescent="0.2">
      <c r="A24" s="71" t="s">
        <v>31</v>
      </c>
      <c r="B24" s="13" t="s">
        <v>33</v>
      </c>
      <c r="C24" s="19">
        <v>2.434E-3</v>
      </c>
      <c r="D24" s="19">
        <v>1.263E-3</v>
      </c>
      <c r="E24" s="19">
        <v>8.0900000000000004E-4</v>
      </c>
      <c r="F24" s="19">
        <v>6.7699999999999998E-4</v>
      </c>
      <c r="G24" s="3">
        <v>6.8000000000000005E-4</v>
      </c>
      <c r="H24" s="3">
        <v>6.8000000000000005E-4</v>
      </c>
      <c r="I24" s="3">
        <v>6.78E-4</v>
      </c>
    </row>
    <row r="25" spans="1:9" x14ac:dyDescent="0.2">
      <c r="A25" s="72"/>
      <c r="B25" s="12" t="s">
        <v>34</v>
      </c>
      <c r="C25" s="26">
        <v>3.4989999999999999E-4</v>
      </c>
      <c r="D25" s="26">
        <v>1.3563E-4</v>
      </c>
      <c r="E25" s="26">
        <v>7.0536000000000004E-5</v>
      </c>
      <c r="F25" s="26">
        <v>2.6100000000000001E-5</v>
      </c>
      <c r="G25" s="27">
        <v>1.4732000000000001E-5</v>
      </c>
      <c r="H25" s="27">
        <v>7.1269999999999997E-6</v>
      </c>
      <c r="I25" s="27">
        <v>4.5799E-6</v>
      </c>
    </row>
    <row r="26" spans="1:9" x14ac:dyDescent="0.2">
      <c r="A26" s="70" t="s">
        <v>32</v>
      </c>
      <c r="B26" s="13" t="s">
        <v>33</v>
      </c>
      <c r="C26" s="19">
        <v>2.3900000000000001E-4</v>
      </c>
      <c r="D26" s="19">
        <v>6.9999999999999994E-5</v>
      </c>
      <c r="E26" s="22">
        <v>3.3000000000000003E-5</v>
      </c>
      <c r="F26" s="22">
        <v>2.4000000000000001E-5</v>
      </c>
      <c r="G26" s="3">
        <v>2.5000000000000001E-5</v>
      </c>
      <c r="H26" s="3">
        <v>2.5000000000000001E-5</v>
      </c>
      <c r="I26" s="19">
        <v>2.5000000000000001E-5</v>
      </c>
    </row>
    <row r="27" spans="1:9" ht="17" thickBot="1" x14ac:dyDescent="0.25">
      <c r="A27" s="71"/>
      <c r="B27" s="14" t="s">
        <v>34</v>
      </c>
      <c r="C27" s="26">
        <v>2.7274999999999999E-5</v>
      </c>
      <c r="D27" s="26">
        <v>5.3935000000000001E-6</v>
      </c>
      <c r="E27" s="27">
        <v>1.8528000000000001E-6</v>
      </c>
      <c r="F27" s="27">
        <v>5.1997000000000002E-7</v>
      </c>
      <c r="G27" s="27">
        <v>2.9400000000000001E-7</v>
      </c>
      <c r="H27" s="27">
        <v>1.6180000000000001E-7</v>
      </c>
      <c r="I27" s="31">
        <v>1.1312E-7</v>
      </c>
    </row>
    <row r="28" spans="1:9" x14ac:dyDescent="0.2">
      <c r="A28" s="15" t="s">
        <v>5</v>
      </c>
      <c r="B28" s="16">
        <f>10^-19</f>
        <v>9.9999999999999998E-20</v>
      </c>
    </row>
    <row r="29" spans="1:9" ht="17" thickBot="1" x14ac:dyDescent="0.25">
      <c r="A29" s="17" t="s">
        <v>6</v>
      </c>
      <c r="B29" s="18">
        <f>10^-12</f>
        <v>9.9999999999999998E-13</v>
      </c>
    </row>
    <row r="31" spans="1:9" ht="17" thickBot="1" x14ac:dyDescent="0.25">
      <c r="A31" s="10" t="s">
        <v>37</v>
      </c>
      <c r="B31" s="6"/>
      <c r="C31" s="6">
        <v>10</v>
      </c>
      <c r="D31" s="6">
        <v>15</v>
      </c>
      <c r="E31" s="6">
        <v>20</v>
      </c>
      <c r="F31" s="6">
        <v>30</v>
      </c>
      <c r="G31" s="6">
        <v>40</v>
      </c>
      <c r="H31" s="6">
        <v>60</v>
      </c>
      <c r="I31" s="6">
        <v>80</v>
      </c>
    </row>
    <row r="32" spans="1:9" x14ac:dyDescent="0.2">
      <c r="A32" s="69" t="s">
        <v>23</v>
      </c>
      <c r="B32" s="11" t="s">
        <v>33</v>
      </c>
      <c r="C32" s="9">
        <v>0.19969999999999999</v>
      </c>
      <c r="D32" s="9">
        <v>0.11990000000000001</v>
      </c>
      <c r="E32" s="9">
        <v>8.7058999999999997E-2</v>
      </c>
      <c r="F32" s="9">
        <v>7.4200000000000002E-2</v>
      </c>
      <c r="G32" s="9">
        <v>6.6879999999999995E-2</v>
      </c>
      <c r="H32" s="9">
        <v>5.0465999999999997E-2</v>
      </c>
      <c r="I32" s="9">
        <v>5.7299999999999997E-2</v>
      </c>
    </row>
    <row r="33" spans="1:9" x14ac:dyDescent="0.2">
      <c r="A33" s="70"/>
      <c r="B33" s="12" t="s">
        <v>34</v>
      </c>
      <c r="C33" s="32">
        <v>4.2430000000000002E-2</v>
      </c>
      <c r="D33" s="32">
        <v>2.3040000000000001E-2</v>
      </c>
      <c r="E33" s="29">
        <v>1.469E-2</v>
      </c>
      <c r="F33" s="29">
        <v>6.4866999999999998E-3</v>
      </c>
      <c r="G33" s="29">
        <v>3.839E-3</v>
      </c>
      <c r="H33" s="29">
        <v>1.7141999999999999E-3</v>
      </c>
      <c r="I33" s="32">
        <v>9.8510999999999998E-4</v>
      </c>
    </row>
    <row r="34" spans="1:9" x14ac:dyDescent="0.2">
      <c r="A34" s="71" t="s">
        <v>31</v>
      </c>
      <c r="B34" s="13" t="s">
        <v>33</v>
      </c>
      <c r="C34" s="3">
        <v>2.183E-3</v>
      </c>
      <c r="D34" s="3">
        <v>1.0870000000000001E-3</v>
      </c>
      <c r="E34" s="3">
        <v>8.0800000000000002E-4</v>
      </c>
      <c r="F34" s="3">
        <v>7.5299999999999998E-4</v>
      </c>
      <c r="G34" s="3">
        <v>7.6300000000000001E-4</v>
      </c>
      <c r="H34" s="3">
        <v>8.34E-4</v>
      </c>
      <c r="I34" s="19">
        <v>8.7399999999999999E-4</v>
      </c>
    </row>
    <row r="35" spans="1:9" x14ac:dyDescent="0.2">
      <c r="A35" s="72"/>
      <c r="B35" s="12" t="s">
        <v>34</v>
      </c>
      <c r="C35" s="24">
        <v>5.0020000000000002E-4</v>
      </c>
      <c r="D35" s="24">
        <v>1.7751999999999999E-4</v>
      </c>
      <c r="E35" s="27">
        <v>9.6000000000000002E-5</v>
      </c>
      <c r="F35" s="27">
        <v>3.0899999999999999E-5</v>
      </c>
      <c r="G35" s="26">
        <v>1.7479E-5</v>
      </c>
      <c r="H35" s="26">
        <v>7.6990000000000003E-6</v>
      </c>
      <c r="I35" s="33">
        <v>4.6372000000000003E-6</v>
      </c>
    </row>
    <row r="36" spans="1:9" x14ac:dyDescent="0.2">
      <c r="A36" s="70" t="s">
        <v>32</v>
      </c>
      <c r="B36" s="13" t="s">
        <v>33</v>
      </c>
      <c r="C36" s="3">
        <v>1.83E-4</v>
      </c>
      <c r="D36" s="3">
        <v>6.2000000000000003E-5</v>
      </c>
      <c r="E36" s="22">
        <v>3.4E-5</v>
      </c>
      <c r="F36" s="22">
        <v>2.5999999999999998E-5</v>
      </c>
      <c r="G36" s="3">
        <v>2.8E-5</v>
      </c>
      <c r="H36" s="3">
        <v>3.0000000000000001E-5</v>
      </c>
      <c r="I36" s="3">
        <v>3.1999999999999999E-5</v>
      </c>
    </row>
    <row r="37" spans="1:9" ht="17" thickBot="1" x14ac:dyDescent="0.25">
      <c r="A37" s="71"/>
      <c r="B37" s="14" t="s">
        <v>34</v>
      </c>
      <c r="C37" s="24">
        <v>2.6372000000000001E-5</v>
      </c>
      <c r="D37" s="24">
        <v>5.0200000000000002E-6</v>
      </c>
      <c r="E37" s="26">
        <v>1.8563999999999999E-6</v>
      </c>
      <c r="F37" s="26">
        <v>4.6507000000000002E-7</v>
      </c>
      <c r="G37" s="26">
        <v>2.5590000000000001E-7</v>
      </c>
      <c r="H37" s="26">
        <v>1.3510000000000001E-7</v>
      </c>
      <c r="I37" s="27">
        <v>9.2535000000000001E-8</v>
      </c>
    </row>
    <row r="38" spans="1:9" x14ac:dyDescent="0.2">
      <c r="A38" s="15" t="s">
        <v>5</v>
      </c>
      <c r="B38" s="16">
        <f>10^-19</f>
        <v>9.9999999999999998E-20</v>
      </c>
    </row>
    <row r="39" spans="1:9" ht="17" thickBot="1" x14ac:dyDescent="0.25">
      <c r="A39" s="17" t="s">
        <v>6</v>
      </c>
      <c r="B39" s="18">
        <f>10^-12</f>
        <v>9.9999999999999998E-13</v>
      </c>
    </row>
  </sheetData>
  <mergeCells count="12">
    <mergeCell ref="A34:A35"/>
    <mergeCell ref="A36:A37"/>
    <mergeCell ref="A16:A17"/>
    <mergeCell ref="A22:A23"/>
    <mergeCell ref="A24:A25"/>
    <mergeCell ref="A26:A27"/>
    <mergeCell ref="A32:A33"/>
    <mergeCell ref="A2:A3"/>
    <mergeCell ref="A4:A5"/>
    <mergeCell ref="A6:A7"/>
    <mergeCell ref="A12:A13"/>
    <mergeCell ref="A14:A1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EBBE6-D3A9-4E47-90F0-2E55124B368B}">
  <dimension ref="A1:H11"/>
  <sheetViews>
    <sheetView workbookViewId="0">
      <selection activeCell="E11" sqref="E11"/>
    </sheetView>
  </sheetViews>
  <sheetFormatPr baseColWidth="10" defaultRowHeight="16" x14ac:dyDescent="0.2"/>
  <cols>
    <col min="1" max="1" width="15" bestFit="1" customWidth="1"/>
    <col min="2" max="2" width="13.1640625" bestFit="1" customWidth="1"/>
    <col min="4" max="4" width="13.1640625" bestFit="1" customWidth="1"/>
    <col min="7" max="7" width="12.33203125" bestFit="1" customWidth="1"/>
  </cols>
  <sheetData>
    <row r="1" spans="1:8" x14ac:dyDescent="0.2">
      <c r="B1" s="73" t="s">
        <v>39</v>
      </c>
      <c r="C1" s="73"/>
      <c r="D1" s="73"/>
    </row>
    <row r="2" spans="1:8" x14ac:dyDescent="0.2">
      <c r="A2" s="35" t="s">
        <v>38</v>
      </c>
      <c r="B2" s="35" t="s">
        <v>41</v>
      </c>
      <c r="C2" s="35" t="s">
        <v>42</v>
      </c>
      <c r="D2" s="35" t="s">
        <v>43</v>
      </c>
      <c r="E2" s="35" t="s">
        <v>5</v>
      </c>
      <c r="F2" s="35" t="s">
        <v>6</v>
      </c>
      <c r="G2" s="35" t="s">
        <v>44</v>
      </c>
      <c r="H2" s="35" t="s">
        <v>46</v>
      </c>
    </row>
    <row r="3" spans="1:8" x14ac:dyDescent="0.2">
      <c r="A3" s="37" t="s">
        <v>40</v>
      </c>
      <c r="B3" s="38">
        <v>2.9524E-3</v>
      </c>
      <c r="C3" s="38">
        <v>2.81E-3</v>
      </c>
      <c r="D3" s="39">
        <f>1.9548*10^-8</f>
        <v>1.9548000000000001E-8</v>
      </c>
      <c r="E3" s="40">
        <f>2.5*10^-6</f>
        <v>2.4999999999999998E-6</v>
      </c>
      <c r="F3" s="40">
        <f>1.6*10^2</f>
        <v>160</v>
      </c>
      <c r="G3" s="37">
        <v>81</v>
      </c>
      <c r="H3" s="37">
        <f t="shared" ref="H3:H11" si="0">G3-1</f>
        <v>80</v>
      </c>
    </row>
    <row r="4" spans="1:8" x14ac:dyDescent="0.2">
      <c r="A4" t="s">
        <v>45</v>
      </c>
      <c r="B4" s="1">
        <v>7.3029999999999996E-3</v>
      </c>
      <c r="C4" s="1">
        <v>1.11E-2</v>
      </c>
      <c r="D4" s="5">
        <f>4.19*10^-9</f>
        <v>4.1900000000000006E-9</v>
      </c>
      <c r="E4" s="4">
        <f>5*10^-6</f>
        <v>4.9999999999999996E-6</v>
      </c>
      <c r="F4" s="4">
        <f>5*10^4</f>
        <v>50000</v>
      </c>
      <c r="G4" s="36">
        <v>121</v>
      </c>
      <c r="H4">
        <f t="shared" si="0"/>
        <v>120</v>
      </c>
    </row>
    <row r="5" spans="1:8" x14ac:dyDescent="0.2">
      <c r="A5" s="37" t="s">
        <v>45</v>
      </c>
      <c r="B5" s="38">
        <v>1.7000000000000001E-2</v>
      </c>
      <c r="C5" s="38">
        <v>2.5000000000000001E-2</v>
      </c>
      <c r="D5" s="39">
        <f>1.1*10^-5</f>
        <v>1.1000000000000001E-5</v>
      </c>
      <c r="E5" s="40">
        <f>5*10^-6</f>
        <v>4.9999999999999996E-6</v>
      </c>
      <c r="F5" s="40">
        <f>5*10^4</f>
        <v>50000</v>
      </c>
      <c r="G5" s="37">
        <v>81</v>
      </c>
      <c r="H5" s="37">
        <f t="shared" si="0"/>
        <v>80</v>
      </c>
    </row>
    <row r="6" spans="1:8" x14ac:dyDescent="0.2">
      <c r="A6" t="s">
        <v>47</v>
      </c>
      <c r="B6" s="1">
        <v>3.0400000000000002E-3</v>
      </c>
      <c r="C6" s="1">
        <v>1.7033E-3</v>
      </c>
      <c r="D6" s="5">
        <f>2.14*10^-14</f>
        <v>2.1400000000000002E-14</v>
      </c>
      <c r="E6" s="4">
        <f>5*10^-7</f>
        <v>4.9999999999999998E-7</v>
      </c>
      <c r="F6" s="4">
        <f>1*10^0</f>
        <v>1</v>
      </c>
      <c r="G6" s="36">
        <v>101</v>
      </c>
      <c r="H6">
        <f t="shared" si="0"/>
        <v>100</v>
      </c>
    </row>
    <row r="7" spans="1:8" x14ac:dyDescent="0.2">
      <c r="A7" t="s">
        <v>47</v>
      </c>
      <c r="B7" s="1">
        <v>2.97E-3</v>
      </c>
      <c r="C7" s="1">
        <v>1.678E-3</v>
      </c>
      <c r="D7" s="5">
        <f>2.14*10^-14</f>
        <v>2.1400000000000002E-14</v>
      </c>
      <c r="E7" s="4">
        <f>1*10^-5</f>
        <v>1.0000000000000001E-5</v>
      </c>
      <c r="F7" s="4">
        <f>1*10^0</f>
        <v>1</v>
      </c>
      <c r="G7" s="36">
        <v>81</v>
      </c>
      <c r="H7">
        <f t="shared" si="0"/>
        <v>80</v>
      </c>
    </row>
    <row r="8" spans="1:8" x14ac:dyDescent="0.2">
      <c r="A8" t="s">
        <v>48</v>
      </c>
      <c r="B8" s="1">
        <v>8.6700000000000006E-3</v>
      </c>
      <c r="C8" s="1">
        <v>4.0114E-3</v>
      </c>
      <c r="D8" s="5">
        <f>1.24*10^-11</f>
        <v>1.2399999999999999E-11</v>
      </c>
      <c r="E8" s="4">
        <f>5*10^-7</f>
        <v>4.9999999999999998E-7</v>
      </c>
      <c r="F8" s="4">
        <f>1*10^2</f>
        <v>100</v>
      </c>
      <c r="G8" s="36">
        <v>81</v>
      </c>
      <c r="H8">
        <f t="shared" si="0"/>
        <v>80</v>
      </c>
    </row>
    <row r="9" spans="1:8" x14ac:dyDescent="0.2">
      <c r="A9" s="37" t="s">
        <v>48</v>
      </c>
      <c r="B9" s="38">
        <v>6.3E-3</v>
      </c>
      <c r="C9" s="38">
        <v>2.8999999999999998E-3</v>
      </c>
      <c r="D9" s="39">
        <f>1.28*10^-9</f>
        <v>1.2800000000000001E-9</v>
      </c>
      <c r="E9" s="40">
        <f>1*10^-5</f>
        <v>1.0000000000000001E-5</v>
      </c>
      <c r="F9" s="40">
        <f>1*10^2</f>
        <v>100</v>
      </c>
      <c r="G9" s="37">
        <v>81</v>
      </c>
      <c r="H9" s="37">
        <f t="shared" si="0"/>
        <v>80</v>
      </c>
    </row>
    <row r="10" spans="1:8" x14ac:dyDescent="0.2">
      <c r="A10" t="s">
        <v>49</v>
      </c>
      <c r="B10" s="1">
        <v>2.15E-3</v>
      </c>
      <c r="C10" s="1">
        <v>1.1900000000000001E-3</v>
      </c>
      <c r="D10" s="5">
        <f>6.9*10^-8</f>
        <v>6.9000000000000009E-8</v>
      </c>
      <c r="E10" s="4">
        <v>0</v>
      </c>
      <c r="F10" s="4">
        <f>1.5*10^4</f>
        <v>15000</v>
      </c>
      <c r="G10" s="36">
        <v>161</v>
      </c>
      <c r="H10">
        <f t="shared" si="0"/>
        <v>160</v>
      </c>
    </row>
    <row r="11" spans="1:8" x14ac:dyDescent="0.2">
      <c r="A11" s="37" t="s">
        <v>49</v>
      </c>
      <c r="B11" s="38">
        <v>8.3000000000000001E-3</v>
      </c>
      <c r="C11" s="38">
        <v>5.0000000000000001E-3</v>
      </c>
      <c r="D11" s="39">
        <f>7.6*10^-5</f>
        <v>7.6000000000000004E-5</v>
      </c>
      <c r="E11" s="40">
        <v>0</v>
      </c>
      <c r="F11" s="40">
        <f>1*10^4</f>
        <v>10000</v>
      </c>
      <c r="G11" s="37">
        <v>81</v>
      </c>
      <c r="H11" s="37">
        <f t="shared" si="0"/>
        <v>80</v>
      </c>
    </row>
  </sheetData>
  <mergeCells count="1">
    <mergeCell ref="B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3F56D-4477-A149-97A4-73873B9887F9}">
  <dimension ref="A1:F12"/>
  <sheetViews>
    <sheetView workbookViewId="0">
      <selection activeCell="K29" sqref="K29"/>
    </sheetView>
  </sheetViews>
  <sheetFormatPr baseColWidth="10" defaultRowHeight="16" x14ac:dyDescent="0.2"/>
  <cols>
    <col min="1" max="1" width="14.33203125" bestFit="1" customWidth="1"/>
    <col min="2" max="2" width="12.33203125" bestFit="1" customWidth="1"/>
    <col min="3" max="3" width="12.33203125" customWidth="1"/>
    <col min="4" max="4" width="13.6640625" bestFit="1" customWidth="1"/>
    <col min="5" max="5" width="15.5" bestFit="1" customWidth="1"/>
  </cols>
  <sheetData>
    <row r="1" spans="1:6" x14ac:dyDescent="0.2">
      <c r="A1" t="s">
        <v>50</v>
      </c>
      <c r="B1" t="s">
        <v>51</v>
      </c>
      <c r="C1" t="s">
        <v>54</v>
      </c>
      <c r="D1" t="s">
        <v>55</v>
      </c>
      <c r="E1" t="s">
        <v>56</v>
      </c>
      <c r="F1" t="s">
        <v>58</v>
      </c>
    </row>
    <row r="2" spans="1:6" x14ac:dyDescent="0.2">
      <c r="A2" t="s">
        <v>57</v>
      </c>
      <c r="C2">
        <v>50</v>
      </c>
      <c r="D2">
        <f>1.034*10^-2</f>
        <v>1.034E-2</v>
      </c>
      <c r="E2">
        <f>1.6306*10^-2</f>
        <v>1.6306000000000001E-2</v>
      </c>
      <c r="F2" s="1">
        <f>(D2/E2)</f>
        <v>0.63412240892922844</v>
      </c>
    </row>
    <row r="3" spans="1:6" x14ac:dyDescent="0.2">
      <c r="A3" t="s">
        <v>57</v>
      </c>
      <c r="C3">
        <v>50</v>
      </c>
      <c r="D3">
        <f>1.0525*10^-2</f>
        <v>1.0525E-2</v>
      </c>
      <c r="E3">
        <f>1.511*10^-2</f>
        <v>1.511E-2</v>
      </c>
      <c r="F3" s="1">
        <f t="shared" ref="F3:F12" si="0">(D3/E3)</f>
        <v>0.69655857048312375</v>
      </c>
    </row>
    <row r="4" spans="1:6" x14ac:dyDescent="0.2">
      <c r="A4" t="s">
        <v>57</v>
      </c>
      <c r="C4">
        <v>50</v>
      </c>
      <c r="D4">
        <f>1.078*10^-2</f>
        <v>1.0780000000000001E-2</v>
      </c>
      <c r="E4">
        <f>1.549*10^-2</f>
        <v>1.549E-2</v>
      </c>
      <c r="F4" s="1">
        <f t="shared" si="0"/>
        <v>0.69593285990961917</v>
      </c>
    </row>
    <row r="5" spans="1:6" x14ac:dyDescent="0.2">
      <c r="A5" t="s">
        <v>57</v>
      </c>
      <c r="C5">
        <v>100</v>
      </c>
      <c r="D5">
        <f>5.1535*10^-2</f>
        <v>5.1535000000000004E-2</v>
      </c>
      <c r="E5">
        <f>7.03*10^-2</f>
        <v>7.0300000000000001E-2</v>
      </c>
      <c r="F5" s="1">
        <f t="shared" si="0"/>
        <v>0.73307254623044105</v>
      </c>
    </row>
    <row r="6" spans="1:6" x14ac:dyDescent="0.2">
      <c r="A6" t="s">
        <v>57</v>
      </c>
      <c r="C6">
        <v>100</v>
      </c>
      <c r="D6">
        <f>4.2611*10^-2</f>
        <v>4.2611000000000003E-2</v>
      </c>
      <c r="E6">
        <f>6.071*10^-2</f>
        <v>6.071E-2</v>
      </c>
      <c r="F6" s="1">
        <f t="shared" si="0"/>
        <v>0.70187777960797237</v>
      </c>
    </row>
    <row r="7" spans="1:6" x14ac:dyDescent="0.2">
      <c r="A7" t="s">
        <v>52</v>
      </c>
      <c r="B7" t="s">
        <v>53</v>
      </c>
      <c r="C7">
        <v>50</v>
      </c>
      <c r="D7">
        <f>8.308*10^-2</f>
        <v>8.3080000000000001E-2</v>
      </c>
      <c r="E7">
        <f>8.8062*10^-2</f>
        <v>8.8062000000000001E-2</v>
      </c>
      <c r="F7" s="1">
        <f>(D7/E7)</f>
        <v>0.94342622243419405</v>
      </c>
    </row>
    <row r="8" spans="1:6" x14ac:dyDescent="0.2">
      <c r="A8" t="s">
        <v>52</v>
      </c>
      <c r="B8" t="s">
        <v>53</v>
      </c>
      <c r="C8">
        <v>50</v>
      </c>
      <c r="D8">
        <f>9.943*10^-2</f>
        <v>9.9430000000000004E-2</v>
      </c>
      <c r="E8">
        <f>0.1045</f>
        <v>0.1045</v>
      </c>
      <c r="F8" s="1">
        <f t="shared" si="0"/>
        <v>0.95148325358851682</v>
      </c>
    </row>
    <row r="9" spans="1:6" x14ac:dyDescent="0.2">
      <c r="A9" t="s">
        <v>52</v>
      </c>
      <c r="B9" t="s">
        <v>53</v>
      </c>
      <c r="C9">
        <v>50</v>
      </c>
      <c r="D9">
        <f>8.325*10^-2</f>
        <v>8.3249999999999991E-2</v>
      </c>
      <c r="E9">
        <f>8.849*10^-2</f>
        <v>8.8489999999999999E-2</v>
      </c>
      <c r="F9" s="1">
        <f t="shared" si="0"/>
        <v>0.94078426940897264</v>
      </c>
    </row>
    <row r="10" spans="1:6" x14ac:dyDescent="0.2">
      <c r="A10" t="s">
        <v>52</v>
      </c>
      <c r="B10" t="s">
        <v>53</v>
      </c>
      <c r="C10">
        <v>100</v>
      </c>
      <c r="D10">
        <f>0.3615</f>
        <v>0.36149999999999999</v>
      </c>
      <c r="E10">
        <v>0.37830000000000003</v>
      </c>
      <c r="F10" s="1">
        <f t="shared" si="0"/>
        <v>0.95559080095162563</v>
      </c>
    </row>
    <row r="11" spans="1:6" x14ac:dyDescent="0.2">
      <c r="A11" t="s">
        <v>52</v>
      </c>
      <c r="B11" t="s">
        <v>53</v>
      </c>
      <c r="C11">
        <v>100</v>
      </c>
      <c r="D11">
        <f>0.3046</f>
        <v>0.30459999999999998</v>
      </c>
      <c r="E11">
        <f>0.3225</f>
        <v>0.32250000000000001</v>
      </c>
      <c r="F11" s="1">
        <f t="shared" si="0"/>
        <v>0.94449612403100769</v>
      </c>
    </row>
    <row r="12" spans="1:6" x14ac:dyDescent="0.2">
      <c r="A12" t="s">
        <v>52</v>
      </c>
      <c r="B12" t="s">
        <v>53</v>
      </c>
      <c r="C12">
        <v>100</v>
      </c>
      <c r="D12">
        <v>0.39960000000000001</v>
      </c>
      <c r="E12">
        <v>0.41710000000000003</v>
      </c>
      <c r="F12" s="1">
        <f t="shared" si="0"/>
        <v>0.9580436346199952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05E01-985D-3347-96CF-B67D0EB07A06}">
  <dimension ref="A1:Q33"/>
  <sheetViews>
    <sheetView tabSelected="1" topLeftCell="G13" zoomScale="110" zoomScaleNormal="110" workbookViewId="0">
      <selection activeCell="P3" sqref="P3:Q14"/>
    </sheetView>
  </sheetViews>
  <sheetFormatPr baseColWidth="10" defaultRowHeight="16" x14ac:dyDescent="0.2"/>
  <cols>
    <col min="1" max="1" width="43" customWidth="1"/>
    <col min="2" max="2" width="24" customWidth="1"/>
    <col min="4" max="4" width="12.83203125" bestFit="1" customWidth="1"/>
    <col min="5" max="5" width="13.83203125" bestFit="1" customWidth="1"/>
    <col min="6" max="6" width="12.1640625" bestFit="1" customWidth="1"/>
    <col min="10" max="10" width="12.83203125" bestFit="1" customWidth="1"/>
    <col min="11" max="11" width="17.33203125" bestFit="1" customWidth="1"/>
    <col min="12" max="12" width="11" bestFit="1" customWidth="1"/>
    <col min="13" max="13" width="22.1640625" bestFit="1" customWidth="1"/>
    <col min="15" max="15" width="15.33203125" customWidth="1"/>
  </cols>
  <sheetData>
    <row r="1" spans="1:17" x14ac:dyDescent="0.2">
      <c r="A1" s="68" t="s">
        <v>59</v>
      </c>
      <c r="B1" s="68" t="s">
        <v>65</v>
      </c>
      <c r="C1" s="68" t="s">
        <v>60</v>
      </c>
      <c r="D1" s="68" t="s">
        <v>61</v>
      </c>
      <c r="E1" s="68" t="s">
        <v>62</v>
      </c>
      <c r="F1" s="68" t="s">
        <v>63</v>
      </c>
      <c r="G1" s="68" t="s">
        <v>72</v>
      </c>
      <c r="H1" s="68" t="s">
        <v>72</v>
      </c>
      <c r="I1" s="68" t="s">
        <v>72</v>
      </c>
      <c r="J1" s="68" t="s">
        <v>73</v>
      </c>
      <c r="K1" s="68" t="s">
        <v>76</v>
      </c>
      <c r="L1" s="68" t="s">
        <v>68</v>
      </c>
      <c r="M1" s="68" t="s">
        <v>69</v>
      </c>
      <c r="N1" s="68" t="s">
        <v>70</v>
      </c>
      <c r="O1" s="68" t="s">
        <v>71</v>
      </c>
    </row>
    <row r="2" spans="1:17" x14ac:dyDescent="0.2">
      <c r="A2" t="s">
        <v>74</v>
      </c>
      <c r="F2" s="43">
        <f>0</f>
        <v>0</v>
      </c>
      <c r="G2">
        <v>4.7992499999999998</v>
      </c>
      <c r="H2">
        <v>4.6530800000000001</v>
      </c>
      <c r="I2">
        <v>4.5465999999999998</v>
      </c>
      <c r="J2" s="44">
        <f t="shared" ref="J2:J14" si="0">AVERAGE(G2:I2)</f>
        <v>4.6663100000000002</v>
      </c>
      <c r="K2" s="42"/>
    </row>
    <row r="3" spans="1:17" x14ac:dyDescent="0.2">
      <c r="A3" t="s">
        <v>66</v>
      </c>
      <c r="B3" s="41" t="s">
        <v>67</v>
      </c>
      <c r="C3" t="s">
        <v>64</v>
      </c>
      <c r="D3" s="47">
        <v>40</v>
      </c>
      <c r="E3">
        <f>6*40+2*40</f>
        <v>320</v>
      </c>
      <c r="F3" s="1">
        <f>0.04765896</f>
        <v>4.765896E-2</v>
      </c>
      <c r="G3" s="42">
        <v>4.8227900000000004</v>
      </c>
      <c r="H3" s="42">
        <v>4.7085999999999997</v>
      </c>
      <c r="I3" s="42">
        <v>4.6097000000000001</v>
      </c>
      <c r="J3" s="44">
        <f t="shared" si="0"/>
        <v>4.7136966666666664</v>
      </c>
      <c r="K3" s="45">
        <f t="shared" ref="K3:K14" si="1">(J3-$J$2)/$J$2</f>
        <v>1.0155061851155675E-2</v>
      </c>
      <c r="L3" s="4">
        <f>1.07*10^-5</f>
        <v>1.0700000000000001E-5</v>
      </c>
      <c r="M3">
        <v>220000</v>
      </c>
      <c r="O3" t="s">
        <v>75</v>
      </c>
      <c r="P3">
        <f>1/E3</f>
        <v>3.1250000000000002E-3</v>
      </c>
      <c r="Q3" s="1">
        <f>0.04765896</f>
        <v>4.765896E-2</v>
      </c>
    </row>
    <row r="4" spans="1:17" x14ac:dyDescent="0.2">
      <c r="A4" t="s">
        <v>77</v>
      </c>
      <c r="B4" t="s">
        <v>78</v>
      </c>
      <c r="C4" t="s">
        <v>64</v>
      </c>
      <c r="D4" s="47">
        <v>40</v>
      </c>
      <c r="E4">
        <f>6*20+20*20+2*20</f>
        <v>560</v>
      </c>
      <c r="F4" s="1">
        <v>2.8129439999999999E-2</v>
      </c>
      <c r="G4">
        <v>5.5703800000000001</v>
      </c>
      <c r="H4">
        <v>5.5919499999999998</v>
      </c>
      <c r="I4">
        <v>5.5517300000000001</v>
      </c>
      <c r="J4" s="44">
        <f t="shared" si="0"/>
        <v>5.5713533333333336</v>
      </c>
      <c r="K4" s="45">
        <f t="shared" si="1"/>
        <v>0.19395268066916543</v>
      </c>
      <c r="L4" s="4">
        <f>4.05*10^-6</f>
        <v>4.0499999999999993E-6</v>
      </c>
      <c r="M4">
        <v>220000</v>
      </c>
      <c r="O4" t="s">
        <v>75</v>
      </c>
      <c r="P4">
        <f t="shared" ref="P4:P14" si="2">1/E4</f>
        <v>1.7857142857142857E-3</v>
      </c>
      <c r="Q4" s="1">
        <v>2.8129439999999999E-2</v>
      </c>
    </row>
    <row r="5" spans="1:17" x14ac:dyDescent="0.2">
      <c r="A5" t="s">
        <v>79</v>
      </c>
      <c r="B5" t="s">
        <v>80</v>
      </c>
      <c r="C5" t="s">
        <v>64</v>
      </c>
      <c r="D5" s="47">
        <v>40</v>
      </c>
      <c r="E5">
        <f>6*22+18*22+2*18</f>
        <v>564</v>
      </c>
      <c r="F5" s="1">
        <v>2.63889E-2</v>
      </c>
      <c r="G5">
        <v>5.8737149999999998</v>
      </c>
      <c r="H5">
        <v>5.9450099999999999</v>
      </c>
      <c r="I5">
        <v>5.8732600000000001</v>
      </c>
      <c r="J5" s="44">
        <f t="shared" si="0"/>
        <v>5.8973283333333342</v>
      </c>
      <c r="K5" s="45">
        <f t="shared" si="1"/>
        <v>0.26380980546370342</v>
      </c>
      <c r="L5" s="4">
        <v>4.16E-6</v>
      </c>
      <c r="M5">
        <v>220000</v>
      </c>
      <c r="O5" t="s">
        <v>75</v>
      </c>
      <c r="P5">
        <f t="shared" si="2"/>
        <v>1.7730496453900709E-3</v>
      </c>
      <c r="Q5" s="1">
        <v>2.63889E-2</v>
      </c>
    </row>
    <row r="6" spans="1:17" x14ac:dyDescent="0.2">
      <c r="A6" t="s">
        <v>81</v>
      </c>
      <c r="B6" t="s">
        <v>82</v>
      </c>
      <c r="C6" t="s">
        <v>64</v>
      </c>
      <c r="D6" s="47">
        <v>30</v>
      </c>
      <c r="E6">
        <f>6*17+13*17+2*13</f>
        <v>349</v>
      </c>
      <c r="F6" s="1">
        <v>2.98099E-2</v>
      </c>
      <c r="G6">
        <v>5.1452999999999998</v>
      </c>
      <c r="H6">
        <v>5.1368</v>
      </c>
      <c r="I6">
        <v>5.2227600000000001</v>
      </c>
      <c r="J6" s="44">
        <f t="shared" si="0"/>
        <v>5.1682866666666669</v>
      </c>
      <c r="K6" s="45">
        <f t="shared" si="1"/>
        <v>0.10757465034827662</v>
      </c>
      <c r="L6" s="4">
        <f>6.87*10^-6</f>
        <v>6.8699999999999994E-6</v>
      </c>
      <c r="M6">
        <v>220000</v>
      </c>
      <c r="O6" t="s">
        <v>75</v>
      </c>
      <c r="P6">
        <f t="shared" si="2"/>
        <v>2.8653295128939827E-3</v>
      </c>
      <c r="Q6" s="1">
        <v>2.98099E-2</v>
      </c>
    </row>
    <row r="7" spans="1:17" x14ac:dyDescent="0.2">
      <c r="A7" s="49" t="s">
        <v>83</v>
      </c>
      <c r="B7" s="49" t="s">
        <v>84</v>
      </c>
      <c r="C7" s="49" t="s">
        <v>64</v>
      </c>
      <c r="D7" s="50">
        <v>20</v>
      </c>
      <c r="E7" s="49">
        <f>6*12+8*12+2*8</f>
        <v>184</v>
      </c>
      <c r="F7" s="51">
        <v>5.9024E-2</v>
      </c>
      <c r="G7" s="49">
        <v>3.4815499999999999</v>
      </c>
      <c r="H7" s="49">
        <v>3.495625</v>
      </c>
      <c r="I7" s="49">
        <v>3.7103899999999999</v>
      </c>
      <c r="J7" s="52">
        <f t="shared" si="0"/>
        <v>3.5625216666666666</v>
      </c>
      <c r="K7" s="45">
        <f t="shared" si="1"/>
        <v>-0.23654415016004798</v>
      </c>
      <c r="L7" s="53">
        <f>1.95*10^-5</f>
        <v>1.95E-5</v>
      </c>
      <c r="M7" s="49">
        <v>220000</v>
      </c>
      <c r="O7" t="s">
        <v>75</v>
      </c>
      <c r="P7">
        <f t="shared" si="2"/>
        <v>5.434782608695652E-3</v>
      </c>
      <c r="Q7" s="51">
        <v>5.9024E-2</v>
      </c>
    </row>
    <row r="8" spans="1:17" x14ac:dyDescent="0.2">
      <c r="A8" t="s">
        <v>85</v>
      </c>
      <c r="B8" t="s">
        <v>86</v>
      </c>
      <c r="C8" t="s">
        <v>64</v>
      </c>
      <c r="D8" s="47">
        <v>60</v>
      </c>
      <c r="E8" s="48">
        <f>6*12+12*12*4+2*12</f>
        <v>672</v>
      </c>
      <c r="F8" s="1">
        <v>4.0290270000000003E-2</v>
      </c>
      <c r="G8">
        <v>7.3794000000000004</v>
      </c>
      <c r="H8">
        <v>7.3333500000000003</v>
      </c>
      <c r="I8">
        <v>7.3295000000000003</v>
      </c>
      <c r="J8" s="44">
        <f t="shared" si="0"/>
        <v>7.3474166666666667</v>
      </c>
      <c r="K8" s="45">
        <f t="shared" si="1"/>
        <v>0.57456677046031368</v>
      </c>
      <c r="L8" s="4">
        <f>8.34*10^-6</f>
        <v>8.3399999999999998E-6</v>
      </c>
      <c r="M8">
        <v>220000</v>
      </c>
      <c r="O8" t="s">
        <v>75</v>
      </c>
      <c r="P8">
        <f t="shared" si="2"/>
        <v>1.488095238095238E-3</v>
      </c>
      <c r="Q8" s="1">
        <v>4.0290270000000003E-2</v>
      </c>
    </row>
    <row r="9" spans="1:17" x14ac:dyDescent="0.2">
      <c r="A9" t="s">
        <v>87</v>
      </c>
      <c r="B9" s="41" t="s">
        <v>90</v>
      </c>
      <c r="C9" t="s">
        <v>88</v>
      </c>
      <c r="D9" s="47">
        <v>8</v>
      </c>
      <c r="E9">
        <v>64</v>
      </c>
      <c r="F9" s="1">
        <v>0.12834999999999999</v>
      </c>
      <c r="G9">
        <v>4.3529</v>
      </c>
      <c r="H9">
        <v>4.2997750000000003</v>
      </c>
      <c r="I9">
        <v>4.4264999999999999</v>
      </c>
      <c r="J9" s="44">
        <f t="shared" si="0"/>
        <v>4.3597250000000001</v>
      </c>
      <c r="K9" s="46">
        <f t="shared" si="1"/>
        <v>-6.570180720955103E-2</v>
      </c>
      <c r="L9" s="4"/>
      <c r="M9">
        <v>220000</v>
      </c>
      <c r="O9" t="s">
        <v>75</v>
      </c>
      <c r="P9">
        <f t="shared" si="2"/>
        <v>1.5625E-2</v>
      </c>
      <c r="Q9" s="1">
        <v>0.12834999999999999</v>
      </c>
    </row>
    <row r="10" spans="1:17" x14ac:dyDescent="0.2">
      <c r="A10" t="s">
        <v>89</v>
      </c>
      <c r="B10" t="s">
        <v>91</v>
      </c>
      <c r="C10" t="s">
        <v>64</v>
      </c>
      <c r="D10" s="47">
        <v>10</v>
      </c>
      <c r="E10">
        <v>69</v>
      </c>
      <c r="F10" s="1">
        <v>0.1943</v>
      </c>
      <c r="G10">
        <v>2.6476999999999999</v>
      </c>
      <c r="H10">
        <v>2.6928299999999998</v>
      </c>
      <c r="I10">
        <v>2.7803399999999998</v>
      </c>
      <c r="J10" s="44">
        <f t="shared" si="0"/>
        <v>2.7069566666666667</v>
      </c>
      <c r="K10" s="46">
        <f t="shared" si="1"/>
        <v>-0.41989352043334743</v>
      </c>
      <c r="L10" s="4">
        <f>1.49*10^-4</f>
        <v>1.4900000000000002E-4</v>
      </c>
      <c r="M10">
        <v>220000</v>
      </c>
      <c r="O10" t="s">
        <v>75</v>
      </c>
      <c r="P10">
        <f t="shared" si="2"/>
        <v>1.4492753623188406E-2</v>
      </c>
      <c r="Q10" s="1">
        <v>0.1943</v>
      </c>
    </row>
    <row r="11" spans="1:17" x14ac:dyDescent="0.2">
      <c r="A11" t="s">
        <v>92</v>
      </c>
      <c r="B11" t="s">
        <v>93</v>
      </c>
      <c r="C11" t="s">
        <v>64</v>
      </c>
      <c r="D11" s="47">
        <v>15</v>
      </c>
      <c r="E11">
        <f>6*8+7*8+2*7</f>
        <v>118</v>
      </c>
      <c r="F11" s="1">
        <v>0.101205</v>
      </c>
      <c r="G11">
        <v>3.3755700000000002</v>
      </c>
      <c r="H11">
        <v>3.1853899999999999</v>
      </c>
      <c r="I11">
        <v>3.2493349999999999</v>
      </c>
      <c r="J11" s="44">
        <f t="shared" si="0"/>
        <v>3.2700983333333333</v>
      </c>
      <c r="K11" s="46">
        <f t="shared" si="1"/>
        <v>-0.29921108256131007</v>
      </c>
      <c r="L11" s="4"/>
      <c r="M11">
        <v>220000</v>
      </c>
      <c r="O11" t="s">
        <v>75</v>
      </c>
      <c r="P11">
        <f t="shared" si="2"/>
        <v>8.4745762711864406E-3</v>
      </c>
      <c r="Q11" s="1">
        <v>0.101205</v>
      </c>
    </row>
    <row r="12" spans="1:17" ht="17" thickBot="1" x14ac:dyDescent="0.25">
      <c r="A12" s="49" t="s">
        <v>94</v>
      </c>
      <c r="B12" s="54" t="s">
        <v>95</v>
      </c>
      <c r="C12" s="49" t="s">
        <v>64</v>
      </c>
      <c r="D12" s="50">
        <v>15</v>
      </c>
      <c r="E12" s="49">
        <f>6*15+2*15</f>
        <v>120</v>
      </c>
      <c r="F12" s="51">
        <v>9.1980000000000006E-2</v>
      </c>
      <c r="G12" s="49">
        <v>3.0990099999999998</v>
      </c>
      <c r="H12" s="49">
        <v>3.0609799999999998</v>
      </c>
      <c r="I12" s="49">
        <v>3.0371999999999999</v>
      </c>
      <c r="J12" s="52">
        <f t="shared" si="0"/>
        <v>3.0657299999999998</v>
      </c>
      <c r="K12" s="55">
        <f t="shared" si="1"/>
        <v>-0.34300764415566054</v>
      </c>
      <c r="L12" s="53"/>
      <c r="M12" s="49">
        <v>220000</v>
      </c>
      <c r="O12" t="s">
        <v>75</v>
      </c>
      <c r="P12">
        <f t="shared" si="2"/>
        <v>8.3333333333333332E-3</v>
      </c>
      <c r="Q12" s="51">
        <v>9.1980000000000006E-2</v>
      </c>
    </row>
    <row r="13" spans="1:17" ht="17" thickBot="1" x14ac:dyDescent="0.25">
      <c r="A13" s="56" t="s">
        <v>96</v>
      </c>
      <c r="B13" s="57" t="s">
        <v>97</v>
      </c>
      <c r="C13" s="58" t="s">
        <v>64</v>
      </c>
      <c r="D13" s="59">
        <v>12</v>
      </c>
      <c r="E13" s="58">
        <f>8*12</f>
        <v>96</v>
      </c>
      <c r="F13" s="60">
        <v>0.1178</v>
      </c>
      <c r="G13" s="58">
        <v>2.8604699999999998</v>
      </c>
      <c r="H13" s="58">
        <v>2.7978000000000001</v>
      </c>
      <c r="I13" s="58">
        <v>2.8637000000000001</v>
      </c>
      <c r="J13" s="61">
        <f t="shared" si="0"/>
        <v>2.8406566666666664</v>
      </c>
      <c r="K13" s="62">
        <f t="shared" si="1"/>
        <v>-0.39124133058740929</v>
      </c>
      <c r="L13" s="63"/>
      <c r="M13" s="64">
        <v>220000</v>
      </c>
      <c r="O13" t="s">
        <v>75</v>
      </c>
      <c r="P13">
        <f t="shared" si="2"/>
        <v>1.0416666666666666E-2</v>
      </c>
      <c r="Q13" s="60">
        <v>0.1178</v>
      </c>
    </row>
    <row r="14" spans="1:17" x14ac:dyDescent="0.2">
      <c r="A14" t="s">
        <v>98</v>
      </c>
      <c r="B14" s="41" t="s">
        <v>99</v>
      </c>
      <c r="C14" t="s">
        <v>64</v>
      </c>
      <c r="D14" s="47">
        <v>10</v>
      </c>
      <c r="E14">
        <v>80</v>
      </c>
      <c r="F14" s="1">
        <v>0.1628</v>
      </c>
      <c r="G14">
        <v>2.81941</v>
      </c>
      <c r="H14">
        <v>2.7318899999999999</v>
      </c>
      <c r="I14">
        <v>2.8172000000000001</v>
      </c>
      <c r="J14" s="44">
        <f t="shared" si="0"/>
        <v>2.7894999999999999</v>
      </c>
      <c r="K14" s="46">
        <f t="shared" si="1"/>
        <v>-0.40220431132950879</v>
      </c>
      <c r="L14" s="4">
        <f>1.46*10^-4</f>
        <v>1.46E-4</v>
      </c>
      <c r="M14">
        <v>300000</v>
      </c>
      <c r="O14" t="s">
        <v>75</v>
      </c>
      <c r="P14">
        <f t="shared" si="2"/>
        <v>1.2500000000000001E-2</v>
      </c>
      <c r="Q14" s="1">
        <v>0.1628</v>
      </c>
    </row>
    <row r="24" spans="1:1" ht="17" thickBot="1" x14ac:dyDescent="0.25"/>
    <row r="25" spans="1:1" x14ac:dyDescent="0.2">
      <c r="A25" s="65" t="s">
        <v>106</v>
      </c>
    </row>
    <row r="26" spans="1:1" ht="17" thickBot="1" x14ac:dyDescent="0.25">
      <c r="A26" s="66" t="s">
        <v>107</v>
      </c>
    </row>
    <row r="27" spans="1:1" ht="17" thickBot="1" x14ac:dyDescent="0.25"/>
    <row r="28" spans="1:1" ht="17" thickBot="1" x14ac:dyDescent="0.25">
      <c r="A28" s="67" t="s">
        <v>100</v>
      </c>
    </row>
    <row r="29" spans="1:1" x14ac:dyDescent="0.2">
      <c r="A29" t="s">
        <v>101</v>
      </c>
    </row>
    <row r="30" spans="1:1" x14ac:dyDescent="0.2">
      <c r="A30" t="s">
        <v>103</v>
      </c>
    </row>
    <row r="31" spans="1:1" x14ac:dyDescent="0.2">
      <c r="A31" t="s">
        <v>102</v>
      </c>
    </row>
    <row r="32" spans="1:1" x14ac:dyDescent="0.2">
      <c r="A32" t="s">
        <v>104</v>
      </c>
    </row>
    <row r="33" spans="1:1" x14ac:dyDescent="0.2">
      <c r="A33" t="s">
        <v>105</v>
      </c>
    </row>
  </sheetData>
  <conditionalFormatting sqref="K3:K14">
    <cfRule type="cellIs" dxfId="1" priority="5" operator="greaterThan">
      <formula>0</formula>
    </cfRule>
    <cfRule type="cellIs" dxfId="0" priority="4" operator="lessThan">
      <formula>0</formula>
    </cfRule>
  </conditionalFormatting>
  <conditionalFormatting sqref="F2:F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J4:J14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epsion v small</vt:lpstr>
      <vt:lpstr>Test Cases</vt:lpstr>
      <vt:lpstr>TVD mass vs TVD</vt:lpstr>
      <vt:lpstr>kernel integration part 1</vt:lpstr>
      <vt:lpstr>kernel integration 2</vt:lpstr>
      <vt:lpstr>moments errors</vt:lpstr>
      <vt:lpstr>ANNvsKernel Timing</vt:lpstr>
      <vt:lpstr>ANN_timings_accuracy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2022-05-30T09:58:04Z</dcterms:created>
  <dcterms:modified xsi:type="dcterms:W3CDTF">2022-09-28T12:28:56Z</dcterms:modified>
</cp:coreProperties>
</file>