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nytoomey/My Drive (dannytoomey1@gmail.com)/Jobs GD/HHV-6/Projects/HHV6 Mortality MA (UW)/hhv6-mortality-ma/"/>
    </mc:Choice>
  </mc:AlternateContent>
  <xr:revisionPtr revIDLastSave="0" documentId="13_ncr:1_{9517C219-1905-D24B-A96E-D5D9058815BB}" xr6:coauthVersionLast="47" xr6:coauthVersionMax="47" xr10:uidLastSave="{00000000-0000-0000-0000-000000000000}"/>
  <bookViews>
    <workbookView xWindow="2900" yWindow="500" windowWidth="32360" windowHeight="21100" activeTab="2" xr2:uid="{00000000-000D-0000-FFFF-FFFF00000000}"/>
  </bookViews>
  <sheets>
    <sheet name="Screening 2023 update" sheetId="1" r:id="rId1"/>
    <sheet name="Full-text review 2023 update" sheetId="2" r:id="rId2"/>
    <sheet name="Included studies 2023 update" sheetId="3" r:id="rId3"/>
  </sheets>
  <definedNames>
    <definedName name="_xlnm._FilterDatabase" localSheetId="1" hidden="1">'Full-text review 2023 update'!#REF!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42" i="3" l="1"/>
  <c r="BM41" i="3"/>
  <c r="BM40" i="3"/>
  <c r="BM39" i="3"/>
  <c r="BM38" i="3"/>
  <c r="BM37" i="3"/>
  <c r="BM36" i="3"/>
  <c r="BM35" i="3"/>
  <c r="BM34" i="3"/>
  <c r="BM33" i="3"/>
  <c r="BM32" i="3"/>
  <c r="BM31" i="3"/>
  <c r="BM30" i="3"/>
  <c r="BM29" i="3"/>
  <c r="BM28" i="3"/>
  <c r="BM27" i="3"/>
  <c r="BM26" i="3"/>
  <c r="BM25" i="3"/>
  <c r="BM24" i="3"/>
  <c r="BM23" i="3"/>
  <c r="BM22" i="3"/>
  <c r="BM21" i="3"/>
  <c r="BM20" i="3"/>
  <c r="BM19" i="3"/>
  <c r="BM18" i="3"/>
  <c r="BM17" i="3"/>
  <c r="BM16" i="3"/>
  <c r="BM15" i="3"/>
  <c r="BM14" i="3"/>
  <c r="BM13" i="3"/>
  <c r="BM12" i="3"/>
  <c r="BM11" i="3"/>
  <c r="BM10" i="3"/>
  <c r="BM9" i="3"/>
  <c r="BM8" i="3"/>
  <c r="BM7" i="3"/>
  <c r="BM6" i="3"/>
  <c r="BM5" i="3"/>
  <c r="BM4" i="3"/>
  <c r="BM3" i="3"/>
  <c r="BM2" i="3"/>
  <c r="V74" i="2"/>
  <c r="W79" i="2"/>
  <c r="W78" i="2"/>
  <c r="W77" i="2"/>
  <c r="W76" i="2"/>
  <c r="V79" i="2"/>
  <c r="V78" i="2"/>
  <c r="V77" i="2"/>
  <c r="V76" i="2"/>
  <c r="W75" i="2"/>
  <c r="V75" i="2"/>
  <c r="W74" i="2"/>
  <c r="BL42" i="3"/>
  <c r="BL41" i="3"/>
  <c r="BL40" i="3"/>
  <c r="BL39" i="3"/>
  <c r="BL38" i="3"/>
  <c r="BL37" i="3"/>
  <c r="BL36" i="3"/>
  <c r="BL35" i="3"/>
  <c r="BL34" i="3"/>
  <c r="BL33" i="3"/>
  <c r="BL32" i="3"/>
  <c r="BL31" i="3"/>
  <c r="BL30" i="3"/>
  <c r="BL29" i="3"/>
  <c r="BL28" i="3"/>
  <c r="BL27" i="3"/>
  <c r="BL26" i="3"/>
  <c r="BL25" i="3"/>
  <c r="BL24" i="3"/>
  <c r="BL23" i="3"/>
  <c r="BL22" i="3"/>
  <c r="BL21" i="3"/>
  <c r="BL20" i="3"/>
  <c r="BL19" i="3"/>
  <c r="BL18" i="3"/>
  <c r="BL17" i="3"/>
  <c r="BL16" i="3"/>
  <c r="BL15" i="3"/>
  <c r="BL14" i="3"/>
  <c r="BL13" i="3"/>
  <c r="BL12" i="3"/>
  <c r="BL11" i="3"/>
  <c r="BL10" i="3"/>
  <c r="BL9" i="3"/>
  <c r="BL8" i="3"/>
  <c r="BL7" i="3"/>
  <c r="BL6" i="3"/>
  <c r="BL5" i="3"/>
  <c r="BL4" i="3"/>
  <c r="BL3" i="3"/>
  <c r="BL2" i="3"/>
  <c r="BK23" i="3"/>
  <c r="Z71" i="2" a="1"/>
  <c r="Z71" i="2" s="1"/>
  <c r="Z70" i="2" a="1"/>
  <c r="Z70" i="2" s="1"/>
  <c r="Z69" i="2" a="1"/>
  <c r="Z69" i="2" s="1"/>
  <c r="Z68" i="2" a="1"/>
  <c r="Z68" i="2" s="1"/>
  <c r="Y71" i="2" a="1"/>
  <c r="Y71" i="2" s="1"/>
  <c r="Y70" i="2" a="1"/>
  <c r="Y70" i="2" s="1"/>
  <c r="Y69" i="2" a="1"/>
  <c r="Y69" i="2" s="1"/>
  <c r="X71" i="2" a="1"/>
  <c r="X71" i="2" s="1"/>
  <c r="X70" i="2" a="1"/>
  <c r="X70" i="2" s="1"/>
  <c r="X69" i="2" a="1"/>
  <c r="X69" i="2" s="1"/>
  <c r="Y68" i="2" a="1"/>
  <c r="Y68" i="2" s="1"/>
  <c r="X68" i="2" a="1"/>
  <c r="X68" i="2" s="1"/>
  <c r="X24" i="2" a="1"/>
  <c r="X24" i="2" s="1"/>
  <c r="W23" i="2"/>
  <c r="W55" i="2"/>
  <c r="W67" i="2"/>
  <c r="BS31" i="2"/>
  <c r="BR31" i="2"/>
  <c r="BQ31" i="2"/>
  <c r="BP31" i="2"/>
  <c r="BS30" i="2"/>
  <c r="BR30" i="2"/>
  <c r="BQ30" i="2"/>
  <c r="BP30" i="2"/>
  <c r="BS29" i="2"/>
  <c r="BR29" i="2"/>
  <c r="BQ29" i="2"/>
  <c r="BP29" i="2"/>
  <c r="BS28" i="2"/>
  <c r="BR28" i="2"/>
  <c r="BQ28" i="2"/>
  <c r="BP28" i="2"/>
  <c r="BS27" i="2"/>
  <c r="BR27" i="2"/>
  <c r="BQ27" i="2"/>
  <c r="BP27" i="2"/>
  <c r="BS26" i="2"/>
  <c r="BR26" i="2"/>
  <c r="BQ26" i="2"/>
  <c r="BP26" i="2"/>
  <c r="BS25" i="2"/>
  <c r="BR25" i="2"/>
  <c r="BQ25" i="2"/>
  <c r="BP25" i="2"/>
  <c r="BS24" i="2"/>
  <c r="BR24" i="2"/>
  <c r="BQ24" i="2"/>
  <c r="BP24" i="2"/>
  <c r="BS23" i="2"/>
  <c r="BR23" i="2"/>
  <c r="BQ23" i="2"/>
  <c r="BP23" i="2"/>
  <c r="BS22" i="2"/>
  <c r="BR22" i="2"/>
  <c r="BQ22" i="2"/>
  <c r="BP22" i="2"/>
  <c r="BS21" i="2"/>
  <c r="BR21" i="2"/>
  <c r="BQ21" i="2"/>
  <c r="BP21" i="2"/>
  <c r="BS20" i="2"/>
  <c r="BR20" i="2"/>
  <c r="BQ20" i="2"/>
  <c r="BP20" i="2"/>
  <c r="BS19" i="2"/>
  <c r="BR19" i="2"/>
  <c r="BQ19" i="2"/>
  <c r="BP19" i="2"/>
  <c r="BS18" i="2"/>
  <c r="BR18" i="2"/>
  <c r="BQ18" i="2"/>
  <c r="BP18" i="2"/>
  <c r="BS17" i="2"/>
  <c r="BR17" i="2"/>
  <c r="BQ17" i="2"/>
  <c r="BP17" i="2"/>
  <c r="BS16" i="2"/>
  <c r="BR16" i="2"/>
  <c r="BQ16" i="2"/>
  <c r="BP16" i="2"/>
  <c r="BS15" i="2"/>
  <c r="BR15" i="2"/>
  <c r="BQ15" i="2"/>
  <c r="BP15" i="2"/>
  <c r="BS14" i="2"/>
  <c r="BR14" i="2"/>
  <c r="BQ14" i="2"/>
  <c r="BP14" i="2"/>
  <c r="BS13" i="2"/>
  <c r="BR13" i="2"/>
  <c r="BQ13" i="2"/>
  <c r="BP13" i="2"/>
  <c r="BS12" i="2"/>
  <c r="BR12" i="2"/>
  <c r="BQ12" i="2"/>
  <c r="BP12" i="2"/>
  <c r="BS11" i="2"/>
  <c r="BR11" i="2"/>
  <c r="BQ11" i="2"/>
  <c r="BP11" i="2"/>
  <c r="BS10" i="2"/>
  <c r="BR10" i="2"/>
  <c r="BQ10" i="2"/>
  <c r="BP10" i="2"/>
  <c r="BS9" i="2"/>
  <c r="BR9" i="2"/>
  <c r="BQ9" i="2"/>
  <c r="BP9" i="2"/>
  <c r="BS8" i="2"/>
  <c r="BR8" i="2"/>
  <c r="BQ8" i="2"/>
  <c r="BP8" i="2"/>
  <c r="BS7" i="2"/>
  <c r="BR7" i="2"/>
  <c r="BQ7" i="2"/>
  <c r="BP7" i="2"/>
  <c r="BS6" i="2"/>
  <c r="BR6" i="2"/>
  <c r="BQ6" i="2"/>
  <c r="BP6" i="2"/>
  <c r="BS5" i="2"/>
  <c r="BR5" i="2"/>
  <c r="BQ5" i="2"/>
  <c r="BP5" i="2"/>
  <c r="BS4" i="2"/>
  <c r="W71" i="2" s="1"/>
  <c r="BR4" i="2"/>
  <c r="BQ4" i="2"/>
  <c r="BP4" i="2"/>
  <c r="BO4" i="2"/>
  <c r="W40" i="2" s="1"/>
  <c r="BJ39" i="3"/>
  <c r="BH39" i="3"/>
  <c r="BK22" i="3"/>
  <c r="BI11" i="3"/>
  <c r="BK10" i="3"/>
  <c r="BJ9" i="3"/>
  <c r="BH9" i="3"/>
  <c r="BH8" i="3"/>
  <c r="BJ8" i="3"/>
  <c r="BK7" i="3"/>
  <c r="BI7" i="3"/>
  <c r="BK6" i="3"/>
  <c r="BI6" i="3"/>
  <c r="BK5" i="3"/>
  <c r="BI5" i="3"/>
  <c r="Z67" i="2" a="1"/>
  <c r="Z67" i="2" s="1"/>
  <c r="Y67" i="2" a="1"/>
  <c r="Y67" i="2" s="1"/>
  <c r="Z66" i="2" a="1"/>
  <c r="Z66" i="2" s="1"/>
  <c r="Y66" i="2" a="1"/>
  <c r="Y66" i="2" s="1"/>
  <c r="Z65" i="2" a="1"/>
  <c r="Z65" i="2" s="1"/>
  <c r="Y65" i="2" a="1"/>
  <c r="Y65" i="2" s="1"/>
  <c r="Z64" i="2" a="1"/>
  <c r="Z64" i="2" s="1"/>
  <c r="Y64" i="2" a="1"/>
  <c r="Y64" i="2" s="1"/>
  <c r="Z63" i="2" a="1"/>
  <c r="Z63" i="2" s="1"/>
  <c r="Y63" i="2" a="1"/>
  <c r="Y63" i="2" s="1"/>
  <c r="Z62" i="2" a="1"/>
  <c r="Z62" i="2" s="1"/>
  <c r="Y62" i="2" a="1"/>
  <c r="Y62" i="2" s="1"/>
  <c r="Z61" i="2" a="1"/>
  <c r="Z61" i="2" s="1"/>
  <c r="Y61" i="2" a="1"/>
  <c r="Y61" i="2" s="1"/>
  <c r="Z60" i="2" a="1"/>
  <c r="Z60" i="2" s="1"/>
  <c r="Y60" i="2" a="1"/>
  <c r="Y60" i="2" s="1"/>
  <c r="Z59" i="2" a="1"/>
  <c r="Z59" i="2" s="1"/>
  <c r="Y59" i="2" a="1"/>
  <c r="Y59" i="2" s="1"/>
  <c r="Z58" i="2" a="1"/>
  <c r="Z58" i="2" s="1"/>
  <c r="Y58" i="2" a="1"/>
  <c r="Y58" i="2" s="1"/>
  <c r="Z57" i="2" a="1"/>
  <c r="Z57" i="2" s="1"/>
  <c r="Y57" i="2" a="1"/>
  <c r="Y57" i="2" s="1"/>
  <c r="X67" i="2" a="1"/>
  <c r="X67" i="2" s="1"/>
  <c r="X66" i="2" a="1"/>
  <c r="X66" i="2" s="1"/>
  <c r="X65" i="2" a="1"/>
  <c r="X65" i="2" s="1"/>
  <c r="X64" i="2" a="1"/>
  <c r="X64" i="2" s="1"/>
  <c r="X63" i="2" a="1"/>
  <c r="X63" i="2" s="1"/>
  <c r="X62" i="2" a="1"/>
  <c r="X62" i="2" s="1"/>
  <c r="X61" i="2" a="1"/>
  <c r="X61" i="2" s="1"/>
  <c r="X60" i="2" a="1"/>
  <c r="X60" i="2" s="1"/>
  <c r="X59" i="2" a="1"/>
  <c r="X59" i="2" s="1"/>
  <c r="X58" i="2" a="1"/>
  <c r="X58" i="2" s="1"/>
  <c r="X57" i="2" a="1"/>
  <c r="X57" i="2" s="1"/>
  <c r="W66" i="2"/>
  <c r="W65" i="2"/>
  <c r="W64" i="2"/>
  <c r="W63" i="2"/>
  <c r="W62" i="2"/>
  <c r="W61" i="2"/>
  <c r="W60" i="2"/>
  <c r="W59" i="2"/>
  <c r="W58" i="2"/>
  <c r="W57" i="2"/>
  <c r="Z56" i="2" a="1"/>
  <c r="Z56" i="2" s="1"/>
  <c r="Z55" i="2" a="1"/>
  <c r="Z55" i="2" s="1"/>
  <c r="Z54" i="2" a="1"/>
  <c r="Z54" i="2" s="1"/>
  <c r="Z53" i="2" a="1"/>
  <c r="Z53" i="2" s="1"/>
  <c r="Y56" i="2" a="1"/>
  <c r="Y56" i="2" s="1"/>
  <c r="Y55" i="2" a="1"/>
  <c r="Y55" i="2" s="1"/>
  <c r="Y54" i="2" a="1"/>
  <c r="Y54" i="2" s="1"/>
  <c r="Y53" i="2" a="1"/>
  <c r="Y53" i="2" s="1"/>
  <c r="X56" i="2" a="1"/>
  <c r="X56" i="2" s="1"/>
  <c r="X55" i="2" a="1"/>
  <c r="X55" i="2" s="1"/>
  <c r="X54" i="2" a="1"/>
  <c r="X54" i="2" s="1"/>
  <c r="X53" i="2" a="1"/>
  <c r="X53" i="2" s="1"/>
  <c r="W56" i="2"/>
  <c r="W54" i="2"/>
  <c r="W53" i="2"/>
  <c r="Z52" i="2" a="1"/>
  <c r="Z52" i="2" s="1"/>
  <c r="Y52" i="2" a="1"/>
  <c r="Y52" i="2" s="1"/>
  <c r="Z51" i="2" a="1"/>
  <c r="Z51" i="2" s="1"/>
  <c r="Y51" i="2" a="1"/>
  <c r="Y51" i="2" s="1"/>
  <c r="Z50" i="2" a="1"/>
  <c r="Z50" i="2" s="1"/>
  <c r="Y50" i="2" a="1"/>
  <c r="Y50" i="2" s="1"/>
  <c r="Z49" i="2" a="1"/>
  <c r="Z49" i="2" s="1"/>
  <c r="Y49" i="2" a="1"/>
  <c r="Y49" i="2" s="1"/>
  <c r="Z48" i="2" a="1"/>
  <c r="Z48" i="2" s="1"/>
  <c r="Y48" i="2" a="1"/>
  <c r="Y48" i="2" s="1"/>
  <c r="X52" i="2" a="1"/>
  <c r="X52" i="2" s="1"/>
  <c r="X51" i="2" a="1"/>
  <c r="X51" i="2" s="1"/>
  <c r="X50" i="2" a="1"/>
  <c r="X50" i="2" s="1"/>
  <c r="X49" i="2" a="1"/>
  <c r="X49" i="2" s="1"/>
  <c r="X48" i="2" a="1"/>
  <c r="X48" i="2" s="1"/>
  <c r="W52" i="2"/>
  <c r="W51" i="2"/>
  <c r="W50" i="2"/>
  <c r="W49" i="2"/>
  <c r="W48" i="2"/>
  <c r="Z45" i="2" a="1"/>
  <c r="Z45" i="2" s="1"/>
  <c r="Z44" i="2" a="1"/>
  <c r="Z44" i="2" s="1"/>
  <c r="Z43" i="2" a="1"/>
  <c r="Z43" i="2" s="1"/>
  <c r="Z42" i="2" a="1"/>
  <c r="Z42" i="2" s="1"/>
  <c r="Z41" i="2" a="1"/>
  <c r="Z41" i="2" s="1"/>
  <c r="Y45" i="2" a="1"/>
  <c r="Y45" i="2" s="1"/>
  <c r="Y44" i="2" a="1"/>
  <c r="Y44" i="2" s="1"/>
  <c r="Y43" i="2" a="1"/>
  <c r="Y43" i="2" s="1"/>
  <c r="Y42" i="2" a="1"/>
  <c r="Y42" i="2" s="1"/>
  <c r="Y41" i="2" a="1"/>
  <c r="Y41" i="2" s="1"/>
  <c r="X45" i="2" a="1"/>
  <c r="X45" i="2" s="1"/>
  <c r="X44" i="2" a="1"/>
  <c r="X44" i="2" s="1"/>
  <c r="X43" i="2" a="1"/>
  <c r="X43" i="2" s="1"/>
  <c r="X42" i="2" a="1"/>
  <c r="X42" i="2" s="1"/>
  <c r="X41" i="2" a="1"/>
  <c r="X41" i="2" s="1"/>
  <c r="W45" i="2"/>
  <c r="W44" i="2"/>
  <c r="W43" i="2"/>
  <c r="W42" i="2"/>
  <c r="W41" i="2"/>
  <c r="Z40" i="2" a="1"/>
  <c r="Z40" i="2" s="1"/>
  <c r="Y40" i="2" a="1"/>
  <c r="Y40" i="2" s="1"/>
  <c r="Z39" i="2" a="1"/>
  <c r="Z39" i="2" s="1"/>
  <c r="Y39" i="2" a="1"/>
  <c r="Y39" i="2" s="1"/>
  <c r="X40" i="2" a="1"/>
  <c r="X40" i="2" s="1"/>
  <c r="X39" i="2" a="1"/>
  <c r="X39" i="2" s="1"/>
  <c r="W39" i="2"/>
  <c r="Z38" i="2" a="1"/>
  <c r="Z38" i="2" s="1"/>
  <c r="Y38" i="2" a="1"/>
  <c r="Y38" i="2" s="1"/>
  <c r="X38" i="2" a="1"/>
  <c r="X38" i="2" s="1"/>
  <c r="Z37" i="2" a="1"/>
  <c r="Z37" i="2" s="1"/>
  <c r="Y37" i="2" a="1"/>
  <c r="Y37" i="2" s="1"/>
  <c r="X37" i="2" a="1"/>
  <c r="X37" i="2" s="1"/>
  <c r="Z36" i="2" a="1"/>
  <c r="Z36" i="2" s="1"/>
  <c r="Y36" i="2" a="1"/>
  <c r="Y36" i="2" s="1"/>
  <c r="X36" i="2" a="1"/>
  <c r="X36" i="2" s="1"/>
  <c r="Z35" i="2" a="1"/>
  <c r="Z35" i="2" s="1"/>
  <c r="Y35" i="2" a="1"/>
  <c r="Y35" i="2" s="1"/>
  <c r="X35" i="2" a="1"/>
  <c r="X35" i="2" s="1"/>
  <c r="Z34" i="2" a="1"/>
  <c r="Z34" i="2" s="1"/>
  <c r="Y34" i="2" a="1"/>
  <c r="Y34" i="2" s="1"/>
  <c r="X34" i="2" a="1"/>
  <c r="X34" i="2" s="1"/>
  <c r="Z33" i="2" a="1"/>
  <c r="Z33" i="2" s="1"/>
  <c r="Y33" i="2" a="1"/>
  <c r="Y33" i="2" s="1"/>
  <c r="X33" i="2" a="1"/>
  <c r="X33" i="2" s="1"/>
  <c r="Z32" i="2" a="1"/>
  <c r="Z32" i="2" s="1"/>
  <c r="Y32" i="2" a="1"/>
  <c r="Y32" i="2" s="1"/>
  <c r="X32" i="2" a="1"/>
  <c r="X32" i="2" s="1"/>
  <c r="Z31" i="2" a="1"/>
  <c r="Z31" i="2" s="1"/>
  <c r="Y31" i="2" a="1"/>
  <c r="Y31" i="2" s="1"/>
  <c r="X31" i="2" a="1"/>
  <c r="X31" i="2"/>
  <c r="Z30" i="2" a="1"/>
  <c r="Z30" i="2" s="1"/>
  <c r="Y30" i="2" a="1"/>
  <c r="Y30" i="2" s="1"/>
  <c r="X30" i="2" a="1"/>
  <c r="X30" i="2" s="1"/>
  <c r="Z29" i="2" a="1"/>
  <c r="Z29" i="2" s="1"/>
  <c r="Y29" i="2" a="1"/>
  <c r="Y29" i="2" s="1"/>
  <c r="X29" i="2" a="1"/>
  <c r="X29" i="2" s="1"/>
  <c r="Z28" i="2" a="1"/>
  <c r="Z28" i="2" s="1"/>
  <c r="Y28" i="2" a="1"/>
  <c r="Y28" i="2" s="1"/>
  <c r="X28" i="2" a="1"/>
  <c r="X28" i="2" s="1"/>
  <c r="Z27" i="2" a="1"/>
  <c r="Z27" i="2" s="1"/>
  <c r="Y27" i="2" a="1"/>
  <c r="Y27" i="2" s="1"/>
  <c r="X27" i="2" a="1"/>
  <c r="X27" i="2" s="1"/>
  <c r="Z26" i="2" a="1"/>
  <c r="Z26" i="2" s="1"/>
  <c r="Y26" i="2" a="1"/>
  <c r="Y26" i="2" s="1"/>
  <c r="X26" i="2" a="1"/>
  <c r="X26" i="2" s="1"/>
  <c r="Z25" i="2" a="1"/>
  <c r="Z25" i="2" s="1"/>
  <c r="Y25" i="2" a="1"/>
  <c r="Y25" i="2" s="1"/>
  <c r="X25" i="2" a="1"/>
  <c r="X25" i="2" s="1"/>
  <c r="Z24" i="2" a="1"/>
  <c r="Z24" i="2" s="1"/>
  <c r="Y24" i="2" a="1"/>
  <c r="Y24" i="2" s="1"/>
  <c r="Z23" i="2" a="1"/>
  <c r="Z23" i="2" s="1"/>
  <c r="Y23" i="2" a="1"/>
  <c r="Y23" i="2" s="1"/>
  <c r="X23" i="2" a="1"/>
  <c r="X23" i="2"/>
  <c r="Z22" i="2" a="1"/>
  <c r="Z22" i="2" s="1"/>
  <c r="Y22" i="2" a="1"/>
  <c r="Y22" i="2" s="1"/>
  <c r="X22" i="2" a="1"/>
  <c r="X22" i="2" s="1"/>
  <c r="Z21" i="2" a="1"/>
  <c r="Z21" i="2" s="1"/>
  <c r="Y21" i="2" a="1"/>
  <c r="Y21" i="2" s="1"/>
  <c r="X21" i="2" a="1"/>
  <c r="X21" i="2" s="1"/>
  <c r="Z20" i="2" a="1"/>
  <c r="Z20" i="2" s="1"/>
  <c r="Y20" i="2" a="1"/>
  <c r="Y20" i="2" s="1"/>
  <c r="X20" i="2" a="1"/>
  <c r="X20" i="2" s="1"/>
  <c r="Z19" i="2" a="1"/>
  <c r="Z19" i="2" s="1"/>
  <c r="Y19" i="2" a="1"/>
  <c r="Y19" i="2" s="1"/>
  <c r="X19" i="2" a="1"/>
  <c r="X19" i="2" s="1"/>
  <c r="Z18" i="2" a="1"/>
  <c r="Z18" i="2" s="1"/>
  <c r="Y18" i="2" a="1"/>
  <c r="Y18" i="2" s="1"/>
  <c r="X18" i="2" a="1"/>
  <c r="X18" i="2" s="1"/>
  <c r="Z17" i="2" a="1"/>
  <c r="Z17" i="2" s="1"/>
  <c r="Y17" i="2" a="1"/>
  <c r="Y17" i="2" s="1"/>
  <c r="X17" i="2" a="1"/>
  <c r="X17" i="2" s="1"/>
  <c r="Z16" i="2" a="1"/>
  <c r="Z16" i="2" s="1"/>
  <c r="Y16" i="2" a="1"/>
  <c r="Y16" i="2" s="1"/>
  <c r="X16" i="2" a="1"/>
  <c r="X16" i="2" s="1"/>
  <c r="X15" i="2" a="1"/>
  <c r="X15" i="2" s="1"/>
  <c r="Z14" i="2" a="1"/>
  <c r="Z14" i="2" s="1"/>
  <c r="Y14" i="2" a="1"/>
  <c r="Y14" i="2" s="1"/>
  <c r="X14" i="2" a="1"/>
  <c r="X14" i="2" s="1"/>
  <c r="Z13" i="2" a="1"/>
  <c r="Z13" i="2" s="1"/>
  <c r="Y13" i="2" a="1"/>
  <c r="Y13" i="2" s="1"/>
  <c r="X13" i="2" a="1"/>
  <c r="X13" i="2" s="1"/>
  <c r="Z12" i="2" a="1"/>
  <c r="Z12" i="2" s="1"/>
  <c r="Y12" i="2" a="1"/>
  <c r="Y12" i="2" s="1"/>
  <c r="X12" i="2" a="1"/>
  <c r="X12" i="2" s="1"/>
  <c r="Z11" i="2" a="1"/>
  <c r="Z11" i="2" s="1"/>
  <c r="Y11" i="2" a="1"/>
  <c r="Y11" i="2" s="1"/>
  <c r="X11" i="2" a="1"/>
  <c r="X11" i="2" s="1"/>
  <c r="Z10" i="2" a="1"/>
  <c r="Z10" i="2" s="1"/>
  <c r="Y10" i="2" a="1"/>
  <c r="Y10" i="2" s="1"/>
  <c r="Z9" i="2" a="1"/>
  <c r="Z9" i="2" s="1"/>
  <c r="Y9" i="2" a="1"/>
  <c r="Y9" i="2" s="1"/>
  <c r="X10" i="2" a="1"/>
  <c r="X10" i="2" s="1"/>
  <c r="X9" i="2" a="1"/>
  <c r="X9" i="2"/>
  <c r="W10" i="2"/>
  <c r="W9" i="2"/>
  <c r="Z8" i="2" a="1"/>
  <c r="Z8" i="2" s="1"/>
  <c r="Y8" i="2" a="1"/>
  <c r="Y8" i="2" s="1"/>
  <c r="Z7" i="2" a="1"/>
  <c r="Z7" i="2" s="1"/>
  <c r="Y7" i="2" a="1"/>
  <c r="Y7" i="2" s="1"/>
  <c r="Z6" i="2" a="1"/>
  <c r="Z6" i="2" s="1"/>
  <c r="Y6" i="2" a="1"/>
  <c r="Y6" i="2" s="1"/>
  <c r="X8" i="2" a="1"/>
  <c r="X8" i="2" s="1"/>
  <c r="X7" i="2"/>
  <c r="X7" i="2" a="1"/>
  <c r="X6" i="2" a="1"/>
  <c r="X6" i="2" s="1"/>
  <c r="W8" i="2"/>
  <c r="W7" i="2"/>
  <c r="W6" i="2"/>
  <c r="W38" i="2"/>
  <c r="W37" i="2"/>
  <c r="W36" i="2"/>
  <c r="W35" i="2"/>
  <c r="W34" i="2"/>
  <c r="W33" i="2"/>
  <c r="W32" i="2"/>
  <c r="W31" i="2"/>
  <c r="W30" i="2"/>
  <c r="W29" i="2"/>
  <c r="W28" i="2"/>
  <c r="W27" i="2"/>
  <c r="W26" i="2"/>
  <c r="W25" i="2"/>
  <c r="W24" i="2"/>
  <c r="Z15" i="2" a="1"/>
  <c r="Z15" i="2" s="1"/>
  <c r="Y15" i="2" a="1"/>
  <c r="Y15" i="2" s="1"/>
  <c r="W22" i="2"/>
  <c r="W21" i="2"/>
  <c r="W20" i="2"/>
  <c r="W19" i="2"/>
  <c r="W18" i="2"/>
  <c r="W17" i="2"/>
  <c r="W16" i="2"/>
  <c r="W15" i="2"/>
  <c r="W14" i="2"/>
  <c r="W13" i="2"/>
  <c r="W12" i="2"/>
  <c r="W11" i="2"/>
  <c r="W4" i="2"/>
  <c r="X47" i="2" a="1"/>
  <c r="X47" i="2" s="1"/>
  <c r="Z47" i="2" a="1"/>
  <c r="Z47" i="2" s="1"/>
  <c r="Y47" i="2" a="1"/>
  <c r="Y47" i="2" s="1"/>
  <c r="Z46" i="2" a="1"/>
  <c r="Z46" i="2" s="1"/>
  <c r="Y46" i="2" a="1"/>
  <c r="Y46" i="2" s="1"/>
  <c r="X46" i="2" a="1"/>
  <c r="X46" i="2" s="1"/>
  <c r="W46" i="2" a="1"/>
  <c r="W46" i="2" s="1"/>
  <c r="X5" i="2" a="1"/>
  <c r="X5" i="2" s="1"/>
  <c r="Z5" i="2" a="1"/>
  <c r="Z5" i="2" s="1"/>
  <c r="Y5" i="2" a="1"/>
  <c r="Y5" i="2" s="1"/>
  <c r="Z4" i="2"/>
  <c r="Y4" i="2"/>
  <c r="X4" i="2"/>
  <c r="AB3" i="2" a="1"/>
  <c r="AC40" i="2" s="1"/>
  <c r="AJ39" i="3"/>
  <c r="AJ35" i="3"/>
  <c r="AM34" i="3"/>
  <c r="AM33" i="3"/>
  <c r="AK32" i="3"/>
  <c r="AH28" i="3"/>
  <c r="AM27" i="3"/>
  <c r="AM26" i="3"/>
  <c r="AM25" i="3"/>
  <c r="AJ24" i="3"/>
  <c r="AM23" i="3"/>
  <c r="AH22" i="3"/>
  <c r="AH16" i="3"/>
  <c r="AM16" i="3"/>
  <c r="AM15" i="3"/>
  <c r="AM14" i="3"/>
  <c r="AM13" i="3"/>
  <c r="AM12" i="3"/>
  <c r="AM10" i="3"/>
  <c r="AF9" i="3"/>
  <c r="AE9" i="3"/>
  <c r="AC9" i="3"/>
  <c r="AA9" i="3"/>
  <c r="AF8" i="3"/>
  <c r="AE8" i="3"/>
  <c r="AC8" i="3"/>
  <c r="AA8" i="3"/>
  <c r="AM7" i="3"/>
  <c r="AL7" i="3"/>
  <c r="AB7" i="3"/>
  <c r="AA7" i="3"/>
  <c r="AM6" i="3"/>
  <c r="AL6" i="3"/>
  <c r="AB6" i="3"/>
  <c r="AA6" i="3"/>
  <c r="AM5" i="3"/>
  <c r="AL5" i="3"/>
  <c r="AA5" i="3"/>
  <c r="AB5" i="3"/>
  <c r="AM4" i="3"/>
  <c r="AM3" i="3"/>
  <c r="AM2"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M26" i="1" a="1"/>
  <c r="M26" i="1"/>
  <c r="M11" i="1"/>
  <c r="M8" i="1"/>
  <c r="Q4" i="2" a="1"/>
  <c r="R27" i="2" s="1"/>
  <c r="R73" i="2"/>
  <c r="R43" i="2"/>
  <c r="R42" i="2"/>
  <c r="R41" i="2"/>
  <c r="R40" i="2"/>
  <c r="R39" i="2"/>
  <c r="R38" i="2"/>
  <c r="R37" i="2"/>
  <c r="R36" i="2"/>
  <c r="R35" i="2"/>
  <c r="R34" i="2"/>
  <c r="L39" i="3"/>
  <c r="K39" i="3"/>
  <c r="M17" i="1" a="1"/>
  <c r="M17" i="1"/>
  <c r="N17" i="1" a="1"/>
  <c r="O25" i="1" a="1"/>
  <c r="O25" i="1"/>
  <c r="M16" i="1"/>
  <c r="N26" i="1" s="1"/>
  <c r="O15" i="2"/>
  <c r="O14" i="2"/>
  <c r="O13" i="2"/>
  <c r="O12" i="2"/>
  <c r="O11" i="2"/>
  <c r="O10" i="2"/>
  <c r="O9" i="2"/>
  <c r="O8" i="2"/>
  <c r="O7" i="2"/>
  <c r="O6" i="2"/>
  <c r="O5" i="2"/>
  <c r="M19" i="2"/>
  <c r="M18" i="2"/>
  <c r="M17" i="2"/>
  <c r="M16" i="2"/>
  <c r="M15" i="2"/>
  <c r="M14" i="2"/>
  <c r="M13" i="2"/>
  <c r="M12" i="2"/>
  <c r="M11" i="2"/>
  <c r="M10" i="2"/>
  <c r="M9" i="2"/>
  <c r="M8" i="2"/>
  <c r="M7" i="2"/>
  <c r="M6" i="2"/>
  <c r="M5" i="2"/>
  <c r="K20" i="2"/>
  <c r="K19" i="2"/>
  <c r="K18" i="2"/>
  <c r="K17" i="2"/>
  <c r="K16" i="2"/>
  <c r="K15" i="2"/>
  <c r="K14" i="2"/>
  <c r="K13" i="2"/>
  <c r="K12" i="2"/>
  <c r="K11" i="2"/>
  <c r="K10" i="2"/>
  <c r="K9" i="2"/>
  <c r="K8" i="2"/>
  <c r="K7" i="2"/>
  <c r="K6" i="2"/>
  <c r="K5" i="2"/>
  <c r="M12" i="1"/>
  <c r="M7" i="1"/>
  <c r="I6" i="1" a="1"/>
  <c r="O39" i="3"/>
  <c r="N11" i="1"/>
  <c r="I6" i="1"/>
  <c r="J42" i="1"/>
  <c r="J34" i="1"/>
  <c r="J26" i="1"/>
  <c r="J18" i="1"/>
  <c r="J10" i="1"/>
  <c r="O10" i="1"/>
  <c r="J39" i="1"/>
  <c r="J23" i="1"/>
  <c r="J15" i="1"/>
  <c r="J33" i="1"/>
  <c r="J25" i="1"/>
  <c r="J9" i="1"/>
  <c r="J7" i="1"/>
  <c r="J40" i="1"/>
  <c r="J32" i="1"/>
  <c r="J24" i="1"/>
  <c r="J16" i="1"/>
  <c r="J8" i="1"/>
  <c r="J38" i="1"/>
  <c r="J30" i="1"/>
  <c r="J22" i="1"/>
  <c r="J14" i="1"/>
  <c r="J45" i="1"/>
  <c r="J37" i="1"/>
  <c r="J29" i="1"/>
  <c r="J21" i="1"/>
  <c r="J13" i="1"/>
  <c r="J41" i="1"/>
  <c r="J17" i="1"/>
  <c r="J31" i="1"/>
  <c r="J44" i="1"/>
  <c r="J36" i="1"/>
  <c r="J28" i="1"/>
  <c r="J20" i="1"/>
  <c r="J12" i="1"/>
  <c r="J43" i="1"/>
  <c r="J35" i="1"/>
  <c r="J27" i="1"/>
  <c r="J19" i="1"/>
  <c r="J11" i="1"/>
  <c r="R33" i="2"/>
  <c r="R32" i="2"/>
  <c r="N17" i="1"/>
  <c r="O24" i="1" a="1"/>
  <c r="O24" i="1"/>
  <c r="O19" i="1" a="1"/>
  <c r="O19" i="1"/>
  <c r="O20" i="1" a="1"/>
  <c r="O20" i="1"/>
  <c r="O21" i="1" a="1"/>
  <c r="O21" i="1"/>
  <c r="O22" i="1" a="1"/>
  <c r="O22" i="1"/>
  <c r="O23" i="1" a="1"/>
  <c r="O23" i="1"/>
  <c r="O9" i="1"/>
  <c r="O8" i="1"/>
  <c r="O17" i="1"/>
  <c r="W68" i="2" l="1"/>
  <c r="W69" i="2"/>
  <c r="W70" i="2"/>
  <c r="AX4" i="2"/>
  <c r="BF4" i="2"/>
  <c r="BN4" i="2"/>
  <c r="BD5" i="2"/>
  <c r="BL5" i="2"/>
  <c r="BB6" i="2"/>
  <c r="BJ6" i="2"/>
  <c r="AZ7" i="2"/>
  <c r="BH7" i="2"/>
  <c r="AX8" i="2"/>
  <c r="BF8" i="2"/>
  <c r="BN8" i="2"/>
  <c r="BD9" i="2"/>
  <c r="BL9" i="2"/>
  <c r="BB10" i="2"/>
  <c r="BJ10" i="2"/>
  <c r="AZ11" i="2"/>
  <c r="BH11" i="2"/>
  <c r="AX12" i="2"/>
  <c r="BF12" i="2"/>
  <c r="BN12" i="2"/>
  <c r="BD13" i="2"/>
  <c r="BL13" i="2"/>
  <c r="BB14" i="2"/>
  <c r="BJ14" i="2"/>
  <c r="AZ15" i="2"/>
  <c r="BH15" i="2"/>
  <c r="AX16" i="2"/>
  <c r="BF16" i="2"/>
  <c r="BN16" i="2"/>
  <c r="BD17" i="2"/>
  <c r="BL17" i="2"/>
  <c r="BB18" i="2"/>
  <c r="BJ18" i="2"/>
  <c r="AZ19" i="2"/>
  <c r="BH19" i="2"/>
  <c r="AX20" i="2"/>
  <c r="BF20" i="2"/>
  <c r="BN20" i="2"/>
  <c r="BD21" i="2"/>
  <c r="BL21" i="2"/>
  <c r="BB22" i="2"/>
  <c r="BJ22" i="2"/>
  <c r="AZ23" i="2"/>
  <c r="BH23" i="2"/>
  <c r="AX24" i="2"/>
  <c r="BF24" i="2"/>
  <c r="BN24" i="2"/>
  <c r="BD25" i="2"/>
  <c r="BL25" i="2"/>
  <c r="BB26" i="2"/>
  <c r="BJ26" i="2"/>
  <c r="AZ27" i="2"/>
  <c r="BH27" i="2"/>
  <c r="AX28" i="2"/>
  <c r="BF28" i="2"/>
  <c r="BN28" i="2"/>
  <c r="BD29" i="2"/>
  <c r="BL29" i="2"/>
  <c r="BB30" i="2"/>
  <c r="BJ30" i="2"/>
  <c r="AZ31" i="2"/>
  <c r="BH31" i="2"/>
  <c r="AY4" i="2"/>
  <c r="BG4" i="2"/>
  <c r="BE5" i="2"/>
  <c r="BM5" i="2"/>
  <c r="BC6" i="2"/>
  <c r="BK6" i="2"/>
  <c r="BA7" i="2"/>
  <c r="BI7" i="2"/>
  <c r="AY8" i="2"/>
  <c r="BG8" i="2"/>
  <c r="BO8" i="2"/>
  <c r="BE9" i="2"/>
  <c r="BM9" i="2"/>
  <c r="BC10" i="2"/>
  <c r="BK10" i="2"/>
  <c r="BA11" i="2"/>
  <c r="BI11" i="2"/>
  <c r="AY12" i="2"/>
  <c r="BG12" i="2"/>
  <c r="BO12" i="2"/>
  <c r="BE13" i="2"/>
  <c r="BM13" i="2"/>
  <c r="BC14" i="2"/>
  <c r="BK14" i="2"/>
  <c r="BA15" i="2"/>
  <c r="BI15" i="2"/>
  <c r="AY16" i="2"/>
  <c r="BG16" i="2"/>
  <c r="BO16" i="2"/>
  <c r="BE17" i="2"/>
  <c r="BM17" i="2"/>
  <c r="BC18" i="2"/>
  <c r="BK18" i="2"/>
  <c r="BA19" i="2"/>
  <c r="BI19" i="2"/>
  <c r="AY20" i="2"/>
  <c r="BG20" i="2"/>
  <c r="BO20" i="2"/>
  <c r="BE21" i="2"/>
  <c r="BM21" i="2"/>
  <c r="BC22" i="2"/>
  <c r="BK22" i="2"/>
  <c r="BA23" i="2"/>
  <c r="BI23" i="2"/>
  <c r="AY24" i="2"/>
  <c r="BG24" i="2"/>
  <c r="BO24" i="2"/>
  <c r="BE25" i="2"/>
  <c r="BM25" i="2"/>
  <c r="BC26" i="2"/>
  <c r="BK26" i="2"/>
  <c r="BA27" i="2"/>
  <c r="BI27" i="2"/>
  <c r="AY28" i="2"/>
  <c r="BG28" i="2"/>
  <c r="BO28" i="2"/>
  <c r="BE29" i="2"/>
  <c r="BM29" i="2"/>
  <c r="BC30" i="2"/>
  <c r="BK30" i="2"/>
  <c r="BA31" i="2"/>
  <c r="BI31" i="2"/>
  <c r="AZ4" i="2"/>
  <c r="BH4" i="2"/>
  <c r="AX5" i="2"/>
  <c r="BF5" i="2"/>
  <c r="BN5" i="2"/>
  <c r="BD6" i="2"/>
  <c r="BL6" i="2"/>
  <c r="BB7" i="2"/>
  <c r="BJ7" i="2"/>
  <c r="AZ8" i="2"/>
  <c r="BH8" i="2"/>
  <c r="AX9" i="2"/>
  <c r="BF9" i="2"/>
  <c r="BN9" i="2"/>
  <c r="BD10" i="2"/>
  <c r="BL10" i="2"/>
  <c r="BB11" i="2"/>
  <c r="BJ11" i="2"/>
  <c r="AZ12" i="2"/>
  <c r="BH12" i="2"/>
  <c r="AX13" i="2"/>
  <c r="BF13" i="2"/>
  <c r="BN13" i="2"/>
  <c r="BD14" i="2"/>
  <c r="BL14" i="2"/>
  <c r="BB15" i="2"/>
  <c r="BJ15" i="2"/>
  <c r="AZ16" i="2"/>
  <c r="BH16" i="2"/>
  <c r="AX17" i="2"/>
  <c r="BF17" i="2"/>
  <c r="BN17" i="2"/>
  <c r="BD18" i="2"/>
  <c r="BL18" i="2"/>
  <c r="BB19" i="2"/>
  <c r="BJ19" i="2"/>
  <c r="AZ20" i="2"/>
  <c r="BH20" i="2"/>
  <c r="AX21" i="2"/>
  <c r="BF21" i="2"/>
  <c r="BN21" i="2"/>
  <c r="BD22" i="2"/>
  <c r="BL22" i="2"/>
  <c r="BB23" i="2"/>
  <c r="BJ23" i="2"/>
  <c r="AZ24" i="2"/>
  <c r="BH24" i="2"/>
  <c r="AX25" i="2"/>
  <c r="BF25" i="2"/>
  <c r="BN25" i="2"/>
  <c r="BD26" i="2"/>
  <c r="BL26" i="2"/>
  <c r="BB27" i="2"/>
  <c r="BJ27" i="2"/>
  <c r="AZ28" i="2"/>
  <c r="BH28" i="2"/>
  <c r="AX29" i="2"/>
  <c r="BF29" i="2"/>
  <c r="BN29" i="2"/>
  <c r="BD30" i="2"/>
  <c r="BL30" i="2"/>
  <c r="BB31" i="2"/>
  <c r="BJ31" i="2"/>
  <c r="BA4" i="2"/>
  <c r="BI4" i="2"/>
  <c r="AY5" i="2"/>
  <c r="BG5" i="2"/>
  <c r="BO5" i="2"/>
  <c r="BE6" i="2"/>
  <c r="BM6" i="2"/>
  <c r="BC7" i="2"/>
  <c r="BK7" i="2"/>
  <c r="BA8" i="2"/>
  <c r="BI8" i="2"/>
  <c r="AY9" i="2"/>
  <c r="BG9" i="2"/>
  <c r="BO9" i="2"/>
  <c r="BE10" i="2"/>
  <c r="BM10" i="2"/>
  <c r="BC11" i="2"/>
  <c r="BK11" i="2"/>
  <c r="BA12" i="2"/>
  <c r="BI12" i="2"/>
  <c r="AY13" i="2"/>
  <c r="BG13" i="2"/>
  <c r="BO13" i="2"/>
  <c r="BE14" i="2"/>
  <c r="BM14" i="2"/>
  <c r="BC15" i="2"/>
  <c r="BK15" i="2"/>
  <c r="BA16" i="2"/>
  <c r="BI16" i="2"/>
  <c r="AY17" i="2"/>
  <c r="BG17" i="2"/>
  <c r="BO17" i="2"/>
  <c r="BE18" i="2"/>
  <c r="BM18" i="2"/>
  <c r="BC19" i="2"/>
  <c r="BK19" i="2"/>
  <c r="BA20" i="2"/>
  <c r="BI20" i="2"/>
  <c r="AY21" i="2"/>
  <c r="BG21" i="2"/>
  <c r="BO21" i="2"/>
  <c r="BE22" i="2"/>
  <c r="BM22" i="2"/>
  <c r="BC23" i="2"/>
  <c r="BK23" i="2"/>
  <c r="BA24" i="2"/>
  <c r="BI24" i="2"/>
  <c r="AY25" i="2"/>
  <c r="BG25" i="2"/>
  <c r="BO25" i="2"/>
  <c r="BE26" i="2"/>
  <c r="BM26" i="2"/>
  <c r="BC27" i="2"/>
  <c r="BK27" i="2"/>
  <c r="BA28" i="2"/>
  <c r="BI28" i="2"/>
  <c r="AY29" i="2"/>
  <c r="BG29" i="2"/>
  <c r="BO29" i="2"/>
  <c r="BE30" i="2"/>
  <c r="BM30" i="2"/>
  <c r="BC31" i="2"/>
  <c r="BK31" i="2"/>
  <c r="BB4" i="2"/>
  <c r="BJ4" i="2"/>
  <c r="AZ5" i="2"/>
  <c r="BH5" i="2"/>
  <c r="AX6" i="2"/>
  <c r="BF6" i="2"/>
  <c r="BN6" i="2"/>
  <c r="BD7" i="2"/>
  <c r="BL7" i="2"/>
  <c r="BB8" i="2"/>
  <c r="BJ8" i="2"/>
  <c r="AZ9" i="2"/>
  <c r="BH9" i="2"/>
  <c r="AX10" i="2"/>
  <c r="BF10" i="2"/>
  <c r="BN10" i="2"/>
  <c r="BD11" i="2"/>
  <c r="BL11" i="2"/>
  <c r="BB12" i="2"/>
  <c r="BJ12" i="2"/>
  <c r="AZ13" i="2"/>
  <c r="BH13" i="2"/>
  <c r="AX14" i="2"/>
  <c r="BF14" i="2"/>
  <c r="BN14" i="2"/>
  <c r="BD15" i="2"/>
  <c r="BL15" i="2"/>
  <c r="BB16" i="2"/>
  <c r="BJ16" i="2"/>
  <c r="AZ17" i="2"/>
  <c r="BH17" i="2"/>
  <c r="AX18" i="2"/>
  <c r="BF18" i="2"/>
  <c r="BN18" i="2"/>
  <c r="BD19" i="2"/>
  <c r="BL19" i="2"/>
  <c r="BB20" i="2"/>
  <c r="BJ20" i="2"/>
  <c r="AZ21" i="2"/>
  <c r="BH21" i="2"/>
  <c r="AX22" i="2"/>
  <c r="BF22" i="2"/>
  <c r="BN22" i="2"/>
  <c r="BD23" i="2"/>
  <c r="BL23" i="2"/>
  <c r="BB24" i="2"/>
  <c r="BJ24" i="2"/>
  <c r="AZ25" i="2"/>
  <c r="BH25" i="2"/>
  <c r="AX26" i="2"/>
  <c r="BF26" i="2"/>
  <c r="BN26" i="2"/>
  <c r="BD27" i="2"/>
  <c r="BL27" i="2"/>
  <c r="BB28" i="2"/>
  <c r="BJ28" i="2"/>
  <c r="AZ29" i="2"/>
  <c r="BH29" i="2"/>
  <c r="AX30" i="2"/>
  <c r="BF30" i="2"/>
  <c r="BN30" i="2"/>
  <c r="BD31" i="2"/>
  <c r="BL31" i="2"/>
  <c r="BC4" i="2"/>
  <c r="BK4" i="2"/>
  <c r="BA5" i="2"/>
  <c r="BI5" i="2"/>
  <c r="AY6" i="2"/>
  <c r="BG6" i="2"/>
  <c r="BO6" i="2"/>
  <c r="BE7" i="2"/>
  <c r="BM7" i="2"/>
  <c r="BC8" i="2"/>
  <c r="BK8" i="2"/>
  <c r="BA9" i="2"/>
  <c r="BI9" i="2"/>
  <c r="AY10" i="2"/>
  <c r="BG10" i="2"/>
  <c r="BO10" i="2"/>
  <c r="BE11" i="2"/>
  <c r="BM11" i="2"/>
  <c r="BC12" i="2"/>
  <c r="BK12" i="2"/>
  <c r="BA13" i="2"/>
  <c r="BI13" i="2"/>
  <c r="AY14" i="2"/>
  <c r="BG14" i="2"/>
  <c r="BO14" i="2"/>
  <c r="BE15" i="2"/>
  <c r="BM15" i="2"/>
  <c r="BC16" i="2"/>
  <c r="BK16" i="2"/>
  <c r="BA17" i="2"/>
  <c r="BI17" i="2"/>
  <c r="AY18" i="2"/>
  <c r="BG18" i="2"/>
  <c r="BO18" i="2"/>
  <c r="BE19" i="2"/>
  <c r="BM19" i="2"/>
  <c r="BC20" i="2"/>
  <c r="BK20" i="2"/>
  <c r="BA21" i="2"/>
  <c r="BI21" i="2"/>
  <c r="AY22" i="2"/>
  <c r="BG22" i="2"/>
  <c r="BO22" i="2"/>
  <c r="BE23" i="2"/>
  <c r="BM23" i="2"/>
  <c r="BC24" i="2"/>
  <c r="BK24" i="2"/>
  <c r="BA25" i="2"/>
  <c r="BI25" i="2"/>
  <c r="AY26" i="2"/>
  <c r="BG26" i="2"/>
  <c r="BO26" i="2"/>
  <c r="BE27" i="2"/>
  <c r="BM27" i="2"/>
  <c r="BC28" i="2"/>
  <c r="BK28" i="2"/>
  <c r="BA29" i="2"/>
  <c r="BI29" i="2"/>
  <c r="AY30" i="2"/>
  <c r="BG30" i="2"/>
  <c r="BO30" i="2"/>
  <c r="BE31" i="2"/>
  <c r="BM31" i="2"/>
  <c r="BD4" i="2"/>
  <c r="BL4" i="2"/>
  <c r="BB5" i="2"/>
  <c r="BJ5" i="2"/>
  <c r="AZ6" i="2"/>
  <c r="BH6" i="2"/>
  <c r="AX7" i="2"/>
  <c r="BF7" i="2"/>
  <c r="BN7" i="2"/>
  <c r="BD8" i="2"/>
  <c r="BL8" i="2"/>
  <c r="BB9" i="2"/>
  <c r="BJ9" i="2"/>
  <c r="AZ10" i="2"/>
  <c r="BH10" i="2"/>
  <c r="AX11" i="2"/>
  <c r="BF11" i="2"/>
  <c r="BN11" i="2"/>
  <c r="BD12" i="2"/>
  <c r="BL12" i="2"/>
  <c r="BB13" i="2"/>
  <c r="BJ13" i="2"/>
  <c r="AZ14" i="2"/>
  <c r="BH14" i="2"/>
  <c r="AX15" i="2"/>
  <c r="BF15" i="2"/>
  <c r="BN15" i="2"/>
  <c r="BD16" i="2"/>
  <c r="BL16" i="2"/>
  <c r="BB17" i="2"/>
  <c r="BJ17" i="2"/>
  <c r="AZ18" i="2"/>
  <c r="BH18" i="2"/>
  <c r="AX19" i="2"/>
  <c r="BF19" i="2"/>
  <c r="BN19" i="2"/>
  <c r="BD20" i="2"/>
  <c r="BL20" i="2"/>
  <c r="BB21" i="2"/>
  <c r="BJ21" i="2"/>
  <c r="AZ22" i="2"/>
  <c r="BH22" i="2"/>
  <c r="AX23" i="2"/>
  <c r="BF23" i="2"/>
  <c r="BN23" i="2"/>
  <c r="BD24" i="2"/>
  <c r="BL24" i="2"/>
  <c r="BB25" i="2"/>
  <c r="BJ25" i="2"/>
  <c r="AZ26" i="2"/>
  <c r="BH26" i="2"/>
  <c r="AX27" i="2"/>
  <c r="BF27" i="2"/>
  <c r="BN27" i="2"/>
  <c r="BD28" i="2"/>
  <c r="BL28" i="2"/>
  <c r="BB29" i="2"/>
  <c r="BJ29" i="2"/>
  <c r="AZ30" i="2"/>
  <c r="BH30" i="2"/>
  <c r="AX31" i="2"/>
  <c r="BF31" i="2"/>
  <c r="BN31" i="2"/>
  <c r="BE4" i="2"/>
  <c r="BM4" i="2"/>
  <c r="BC5" i="2"/>
  <c r="BK5" i="2"/>
  <c r="BA6" i="2"/>
  <c r="BI6" i="2"/>
  <c r="AY7" i="2"/>
  <c r="BG7" i="2"/>
  <c r="BO7" i="2"/>
  <c r="BE8" i="2"/>
  <c r="BM8" i="2"/>
  <c r="BC9" i="2"/>
  <c r="BK9" i="2"/>
  <c r="BA10" i="2"/>
  <c r="BI10" i="2"/>
  <c r="AY11" i="2"/>
  <c r="BG11" i="2"/>
  <c r="BO11" i="2"/>
  <c r="BE12" i="2"/>
  <c r="BM12" i="2"/>
  <c r="BC13" i="2"/>
  <c r="BK13" i="2"/>
  <c r="BA14" i="2"/>
  <c r="BI14" i="2"/>
  <c r="AY15" i="2"/>
  <c r="BG15" i="2"/>
  <c r="BO15" i="2"/>
  <c r="BE16" i="2"/>
  <c r="BM16" i="2"/>
  <c r="BC17" i="2"/>
  <c r="BK17" i="2"/>
  <c r="BA18" i="2"/>
  <c r="BI18" i="2"/>
  <c r="AY19" i="2"/>
  <c r="BG19" i="2"/>
  <c r="BO19" i="2"/>
  <c r="BE20" i="2"/>
  <c r="BM20" i="2"/>
  <c r="BC21" i="2"/>
  <c r="BK21" i="2"/>
  <c r="BA22" i="2"/>
  <c r="BI22" i="2"/>
  <c r="AY23" i="2"/>
  <c r="BG23" i="2"/>
  <c r="BO23" i="2"/>
  <c r="BE24" i="2"/>
  <c r="BM24" i="2"/>
  <c r="BC25" i="2"/>
  <c r="BK25" i="2"/>
  <c r="BA26" i="2"/>
  <c r="BI26" i="2"/>
  <c r="AY27" i="2"/>
  <c r="BG27" i="2"/>
  <c r="BO27" i="2"/>
  <c r="BE28" i="2"/>
  <c r="BM28" i="2"/>
  <c r="BC29" i="2"/>
  <c r="BK29" i="2"/>
  <c r="BA30" i="2"/>
  <c r="BI30" i="2"/>
  <c r="AY31" i="2"/>
  <c r="BG31" i="2"/>
  <c r="BO31" i="2"/>
  <c r="R9" i="2"/>
  <c r="R24" i="2"/>
  <c r="R19" i="2"/>
  <c r="R21" i="2"/>
  <c r="R8" i="2"/>
  <c r="R13" i="2"/>
  <c r="R6" i="2"/>
  <c r="R29" i="2"/>
  <c r="R16" i="2"/>
  <c r="R10" i="2"/>
  <c r="K3" i="2"/>
  <c r="O15" i="1" s="1"/>
  <c r="AE16" i="2"/>
  <c r="AF26" i="2"/>
  <c r="AF6" i="2"/>
  <c r="AG58" i="2"/>
  <c r="AG30" i="2"/>
  <c r="AH73" i="2"/>
  <c r="AH61" i="2"/>
  <c r="AI57" i="2"/>
  <c r="AF47" i="2"/>
  <c r="AM12" i="2"/>
  <c r="AL22" i="2"/>
  <c r="AG54" i="2"/>
  <c r="AK8" i="2"/>
  <c r="AJ20" i="2"/>
  <c r="AU29" i="2"/>
  <c r="AI45" i="2"/>
  <c r="AO8" i="2"/>
  <c r="AE55" i="2"/>
  <c r="AV27" i="2"/>
  <c r="AD68" i="2"/>
  <c r="AC68" i="2"/>
  <c r="AD34" i="2"/>
  <c r="AE59" i="2"/>
  <c r="AE8" i="2"/>
  <c r="AF18" i="2"/>
  <c r="AF69" i="2"/>
  <c r="AG34" i="2"/>
  <c r="AG22" i="2"/>
  <c r="AH65" i="2"/>
  <c r="AH13" i="2"/>
  <c r="AI41" i="2"/>
  <c r="AG48" i="2"/>
  <c r="AQ11" i="2"/>
  <c r="AT20" i="2"/>
  <c r="AH55" i="2"/>
  <c r="AO7" i="2"/>
  <c r="AJ18" i="2"/>
  <c r="AM29" i="2"/>
  <c r="AH52" i="2"/>
  <c r="AE48" i="2"/>
  <c r="AR31" i="2"/>
  <c r="AV19" i="2"/>
  <c r="AD43" i="2"/>
  <c r="AE19" i="2"/>
  <c r="AF57" i="2"/>
  <c r="AG18" i="2"/>
  <c r="AH25" i="2"/>
  <c r="AI72" i="2"/>
  <c r="AM10" i="2"/>
  <c r="AS28" i="2"/>
  <c r="AJ16" i="2"/>
  <c r="AQ26" i="2"/>
  <c r="AG50" i="2"/>
  <c r="AV9" i="2"/>
  <c r="AE66" i="2"/>
  <c r="AE38" i="2"/>
  <c r="AF72" i="2"/>
  <c r="AF28" i="2"/>
  <c r="AG25" i="2"/>
  <c r="AG68" i="2"/>
  <c r="AH40" i="2"/>
  <c r="AI16" i="2"/>
  <c r="AQ27" i="2"/>
  <c r="AM4" i="2"/>
  <c r="AL14" i="2"/>
  <c r="AS24" i="2"/>
  <c r="AF52" i="2"/>
  <c r="AJ12" i="2"/>
  <c r="AM17" i="2"/>
  <c r="AT21" i="2"/>
  <c r="AS23" i="2"/>
  <c r="AN18" i="2"/>
  <c r="AW8" i="2"/>
  <c r="AE43" i="2"/>
  <c r="AE31" i="2"/>
  <c r="AF10" i="2"/>
  <c r="AF61" i="2"/>
  <c r="AG26" i="2"/>
  <c r="AG6" i="2"/>
  <c r="AH41" i="2"/>
  <c r="AH5" i="2"/>
  <c r="AI17" i="2"/>
  <c r="AH49" i="2"/>
  <c r="AU10" i="2"/>
  <c r="AL20" i="2"/>
  <c r="AO29" i="2"/>
  <c r="AS6" i="2"/>
  <c r="AR16" i="2"/>
  <c r="AM27" i="2"/>
  <c r="AL23" i="2"/>
  <c r="AF49" i="2"/>
  <c r="AJ21" i="2"/>
  <c r="AV10" i="2"/>
  <c r="AD36" i="2"/>
  <c r="AE23" i="2"/>
  <c r="AF37" i="2"/>
  <c r="AG61" i="2"/>
  <c r="AH68" i="2"/>
  <c r="AF55" i="2"/>
  <c r="AT18" i="2"/>
  <c r="AO5" i="2"/>
  <c r="AP22" i="2"/>
  <c r="AJ19" i="2"/>
  <c r="AC66" i="2"/>
  <c r="AD6" i="2"/>
  <c r="AE10" i="2"/>
  <c r="AE61" i="2"/>
  <c r="AF24" i="2"/>
  <c r="AF67" i="2"/>
  <c r="AG64" i="2"/>
  <c r="AG12" i="2"/>
  <c r="AH71" i="2"/>
  <c r="AI12" i="2"/>
  <c r="AI23" i="2"/>
  <c r="AM24" i="2"/>
  <c r="AH48" i="2"/>
  <c r="AT10" i="2"/>
  <c r="AS20" i="2"/>
  <c r="AN31" i="2"/>
  <c r="AJ8" i="2"/>
  <c r="AU15" i="2"/>
  <c r="AP20" i="2"/>
  <c r="AK21" i="2"/>
  <c r="AR17" i="2"/>
  <c r="AW4" i="2"/>
  <c r="AD5" i="2"/>
  <c r="AD14" i="2"/>
  <c r="AD32" i="2"/>
  <c r="AD48" i="2"/>
  <c r="AD64" i="2"/>
  <c r="AC12" i="2"/>
  <c r="AC28" i="2"/>
  <c r="AC44" i="2"/>
  <c r="AC62" i="2"/>
  <c r="AW27" i="2"/>
  <c r="AW6" i="2"/>
  <c r="AV26" i="2"/>
  <c r="AV14" i="2"/>
  <c r="AR5" i="2"/>
  <c r="AR13" i="2"/>
  <c r="AN22" i="2"/>
  <c r="AJ31" i="2"/>
  <c r="AK9" i="2"/>
  <c r="AS21" i="2"/>
  <c r="AK31" i="2"/>
  <c r="AK15" i="2"/>
  <c r="AP8" i="2"/>
  <c r="AP16" i="2"/>
  <c r="AL25" i="2"/>
  <c r="AG51" i="2"/>
  <c r="AQ8" i="2"/>
  <c r="AQ16" i="2"/>
  <c r="AM25" i="2"/>
  <c r="AI54" i="2"/>
  <c r="AJ6" i="2"/>
  <c r="AN13" i="2"/>
  <c r="AR20" i="2"/>
  <c r="AJ28" i="2"/>
  <c r="AI47" i="2"/>
  <c r="AS8" i="2"/>
  <c r="AK16" i="2"/>
  <c r="AK24" i="2"/>
  <c r="AO31" i="2"/>
  <c r="AT4" i="2"/>
  <c r="AL12" i="2"/>
  <c r="AP19" i="2"/>
  <c r="AT26" i="2"/>
  <c r="AI49" i="2"/>
  <c r="AM8" i="2"/>
  <c r="AQ15" i="2"/>
  <c r="AQ23" i="2"/>
  <c r="AU30" i="2"/>
  <c r="AI21" i="2"/>
  <c r="AI70" i="2"/>
  <c r="AI32" i="2"/>
  <c r="AI65" i="2"/>
  <c r="AI19" i="2"/>
  <c r="AI68" i="2"/>
  <c r="AH29" i="2"/>
  <c r="AH70" i="2"/>
  <c r="AH32" i="2"/>
  <c r="AH57" i="2"/>
  <c r="AG4" i="2"/>
  <c r="AG28" i="2"/>
  <c r="AG69" i="2"/>
  <c r="AG23" i="2"/>
  <c r="AG56" i="2"/>
  <c r="AG73" i="2"/>
  <c r="AG19" i="2"/>
  <c r="AF35" i="2"/>
  <c r="AF5" i="2"/>
  <c r="AF30" i="2"/>
  <c r="AF71" i="2"/>
  <c r="AF17" i="2"/>
  <c r="AF34" i="2"/>
  <c r="AE5" i="2"/>
  <c r="AE30" i="2"/>
  <c r="AE71" i="2"/>
  <c r="AE17" i="2"/>
  <c r="AE34" i="2"/>
  <c r="AE67" i="2"/>
  <c r="AD16" i="2"/>
  <c r="AD33" i="2"/>
  <c r="AD50" i="2"/>
  <c r="AD66" i="2"/>
  <c r="AC13" i="2"/>
  <c r="AC30" i="2"/>
  <c r="AC46" i="2"/>
  <c r="AD18" i="2"/>
  <c r="AD38" i="2"/>
  <c r="AD58" i="2"/>
  <c r="AC8" i="2"/>
  <c r="AC32" i="2"/>
  <c r="AC52" i="2"/>
  <c r="AC70" i="2"/>
  <c r="AW17" i="2"/>
  <c r="AW5" i="2"/>
  <c r="AV17" i="2"/>
  <c r="AV21" i="2"/>
  <c r="AJ5" i="2"/>
  <c r="AN14" i="2"/>
  <c r="AN24" i="2"/>
  <c r="AI51" i="2"/>
  <c r="AK13" i="2"/>
  <c r="AO26" i="2"/>
  <c r="AI44" i="2"/>
  <c r="AP6" i="2"/>
  <c r="AL15" i="2"/>
  <c r="AT23" i="2"/>
  <c r="AF50" i="2"/>
  <c r="AU9" i="2"/>
  <c r="AU19" i="2"/>
  <c r="AU27" i="2"/>
  <c r="AI46" i="2"/>
  <c r="AJ10" i="2"/>
  <c r="AR18" i="2"/>
  <c r="AR26" i="2"/>
  <c r="AE51" i="2"/>
  <c r="AO9" i="2"/>
  <c r="AK18" i="2"/>
  <c r="AK26" i="2"/>
  <c r="AE52" i="2"/>
  <c r="AL8" i="2"/>
  <c r="AT16" i="2"/>
  <c r="AT24" i="2"/>
  <c r="AF54" i="2"/>
  <c r="AQ7" i="2"/>
  <c r="AU16" i="2"/>
  <c r="AU24" i="2"/>
  <c r="AE54" i="2"/>
  <c r="AI69" i="2"/>
  <c r="AI39" i="2"/>
  <c r="AI25" i="2"/>
  <c r="AI66" i="2"/>
  <c r="AI36" i="2"/>
  <c r="AH21" i="2"/>
  <c r="AH15" i="2"/>
  <c r="AH56" i="2"/>
  <c r="AH10" i="2"/>
  <c r="AH35" i="2"/>
  <c r="AG13" i="2"/>
  <c r="AG62" i="2"/>
  <c r="AG24" i="2"/>
  <c r="AG57" i="2"/>
  <c r="AG11" i="2"/>
  <c r="AF43" i="2"/>
  <c r="AF21" i="2"/>
  <c r="AF70" i="2"/>
  <c r="AF32" i="2"/>
  <c r="AF65" i="2"/>
  <c r="AE28" i="2"/>
  <c r="AE6" i="2"/>
  <c r="AE39" i="2"/>
  <c r="AE9" i="2"/>
  <c r="AE42" i="2"/>
  <c r="AD20" i="2"/>
  <c r="AD40" i="2"/>
  <c r="AD60" i="2"/>
  <c r="AC10" i="2"/>
  <c r="AC33" i="2"/>
  <c r="AC53" i="2"/>
  <c r="AC72" i="2"/>
  <c r="AW10" i="2"/>
  <c r="AW13" i="2"/>
  <c r="AV25" i="2"/>
  <c r="AV6" i="2"/>
  <c r="AN6" i="2"/>
  <c r="AR15" i="2"/>
  <c r="AJ25" i="2"/>
  <c r="AH50" i="2"/>
  <c r="AO16" i="2"/>
  <c r="AK27" i="2"/>
  <c r="AO4" i="2"/>
  <c r="AL7" i="2"/>
  <c r="AT15" i="2"/>
  <c r="AP26" i="2"/>
  <c r="AE49" i="2"/>
  <c r="AQ10" i="2"/>
  <c r="AQ20" i="2"/>
  <c r="AQ28" i="2"/>
  <c r="AH45" i="2"/>
  <c r="AN11" i="2"/>
  <c r="AN19" i="2"/>
  <c r="AN27" i="2"/>
  <c r="AH46" i="2"/>
  <c r="AS10" i="2"/>
  <c r="AS18" i="2"/>
  <c r="AS26" i="2"/>
  <c r="AI48" i="2"/>
  <c r="AT8" i="2"/>
  <c r="AP17" i="2"/>
  <c r="AP25" i="2"/>
  <c r="AE53" i="2"/>
  <c r="AU8" i="2"/>
  <c r="AQ17" i="2"/>
  <c r="AQ25" i="2"/>
  <c r="AI50" i="2"/>
  <c r="AI6" i="2"/>
  <c r="AI71" i="2"/>
  <c r="AI33" i="2"/>
  <c r="AH4" i="2"/>
  <c r="AI60" i="2"/>
  <c r="AH37" i="2"/>
  <c r="AH23" i="2"/>
  <c r="AH64" i="2"/>
  <c r="AH18" i="2"/>
  <c r="AH43" i="2"/>
  <c r="AG21" i="2"/>
  <c r="AG70" i="2"/>
  <c r="AG32" i="2"/>
  <c r="AG65" i="2"/>
  <c r="AG27" i="2"/>
  <c r="AF59" i="2"/>
  <c r="AF29" i="2"/>
  <c r="AF7" i="2"/>
  <c r="AF40" i="2"/>
  <c r="AF73" i="2"/>
  <c r="AE36" i="2"/>
  <c r="AE14" i="2"/>
  <c r="AE63" i="2"/>
  <c r="AE25" i="2"/>
  <c r="AE58" i="2"/>
  <c r="AD8" i="2"/>
  <c r="AD28" i="2"/>
  <c r="AD52" i="2"/>
  <c r="AD72" i="2"/>
  <c r="AC22" i="2"/>
  <c r="AC42" i="2"/>
  <c r="AC63" i="2"/>
  <c r="AW12" i="2"/>
  <c r="AW15" i="2"/>
  <c r="AV12" i="2"/>
  <c r="AV23" i="2"/>
  <c r="AJ11" i="2"/>
  <c r="AR19" i="2"/>
  <c r="AJ29" i="2"/>
  <c r="AS7" i="2"/>
  <c r="AO22" i="2"/>
  <c r="AH51" i="2"/>
  <c r="AO18" i="2"/>
  <c r="AT11" i="2"/>
  <c r="AL21" i="2"/>
  <c r="AT29" i="2"/>
  <c r="AQ6" i="2"/>
  <c r="AM15" i="2"/>
  <c r="AU23" i="2"/>
  <c r="AH53" i="2"/>
  <c r="AN7" i="2"/>
  <c r="AN15" i="2"/>
  <c r="AN23" i="2"/>
  <c r="AI55" i="2"/>
  <c r="AK6" i="2"/>
  <c r="AK14" i="2"/>
  <c r="AK22" i="2"/>
  <c r="AS30" i="2"/>
  <c r="AP5" i="2"/>
  <c r="AP13" i="2"/>
  <c r="AP21" i="2"/>
  <c r="AL30" i="2"/>
  <c r="AU4" i="2"/>
  <c r="AU12" i="2"/>
  <c r="AU20" i="2"/>
  <c r="AU28" i="2"/>
  <c r="AI13" i="2"/>
  <c r="AI7" i="2"/>
  <c r="AI56" i="2"/>
  <c r="AI18" i="2"/>
  <c r="AI67" i="2"/>
  <c r="AH60" i="2"/>
  <c r="AH22" i="2"/>
  <c r="AH8" i="2"/>
  <c r="AH33" i="2"/>
  <c r="AH66" i="2"/>
  <c r="AG36" i="2"/>
  <c r="AG14" i="2"/>
  <c r="AG63" i="2"/>
  <c r="AG17" i="2"/>
  <c r="AG42" i="2"/>
  <c r="AE4" i="2"/>
  <c r="AF36" i="2"/>
  <c r="AF14" i="2"/>
  <c r="AF63" i="2"/>
  <c r="AF25" i="2"/>
  <c r="AF58" i="2"/>
  <c r="AE29" i="2"/>
  <c r="AE7" i="2"/>
  <c r="AE40" i="2"/>
  <c r="AE73" i="2"/>
  <c r="AE35" i="2"/>
  <c r="AD10" i="2"/>
  <c r="AD30" i="2"/>
  <c r="AD53" i="2"/>
  <c r="AD73" i="2"/>
  <c r="AC23" i="2"/>
  <c r="AC43" i="2"/>
  <c r="AC64" i="2"/>
  <c r="AB3" i="2"/>
  <c r="AW20" i="2"/>
  <c r="AW23" i="2"/>
  <c r="AV20" i="2"/>
  <c r="AV8" i="2"/>
  <c r="AR11" i="2"/>
  <c r="AN20" i="2"/>
  <c r="AD23" i="2"/>
  <c r="AD56" i="2"/>
  <c r="AC20" i="2"/>
  <c r="AC56" i="2"/>
  <c r="AW14" i="2"/>
  <c r="AV22" i="2"/>
  <c r="AN12" i="2"/>
  <c r="AJ27" i="2"/>
  <c r="AO10" i="2"/>
  <c r="AK29" i="2"/>
  <c r="AO20" i="2"/>
  <c r="AL17" i="2"/>
  <c r="AL29" i="2"/>
  <c r="AM9" i="2"/>
  <c r="AQ22" i="2"/>
  <c r="AF51" i="2"/>
  <c r="AR12" i="2"/>
  <c r="AR24" i="2"/>
  <c r="AG45" i="2"/>
  <c r="AO13" i="2"/>
  <c r="AO25" i="2"/>
  <c r="AE44" i="2"/>
  <c r="AT14" i="2"/>
  <c r="AP27" i="2"/>
  <c r="AQ5" i="2"/>
  <c r="AM18" i="2"/>
  <c r="AM28" i="2"/>
  <c r="AI61" i="2"/>
  <c r="AI24" i="2"/>
  <c r="AI42" i="2"/>
  <c r="AH20" i="2"/>
  <c r="AH30" i="2"/>
  <c r="AH72" i="2"/>
  <c r="AH58" i="2"/>
  <c r="AG5" i="2"/>
  <c r="AG31" i="2"/>
  <c r="AG33" i="2"/>
  <c r="AG43" i="2"/>
  <c r="AF60" i="2"/>
  <c r="AF15" i="2"/>
  <c r="AF9" i="2"/>
  <c r="AE20" i="2"/>
  <c r="AE62" i="2"/>
  <c r="AE64" i="2"/>
  <c r="AE11" i="2"/>
  <c r="AW9" i="2"/>
  <c r="AW30" i="2"/>
  <c r="AV30" i="2"/>
  <c r="AJ13" i="2"/>
  <c r="AR27" i="2"/>
  <c r="AS11" i="2"/>
  <c r="AS29" i="2"/>
  <c r="AS27" i="2"/>
  <c r="AP18" i="2"/>
  <c r="AP30" i="2"/>
  <c r="AU11" i="2"/>
  <c r="AM23" i="2"/>
  <c r="AE50" i="2"/>
  <c r="AJ14" i="2"/>
  <c r="AN25" i="2"/>
  <c r="AK4" i="2"/>
  <c r="AS14" i="2"/>
  <c r="AO27" i="2"/>
  <c r="AL4" i="2"/>
  <c r="AP15" i="2"/>
  <c r="AL28" i="2"/>
  <c r="AM6" i="2"/>
  <c r="AU18" i="2"/>
  <c r="AM30" i="2"/>
  <c r="AI14" i="2"/>
  <c r="AI40" i="2"/>
  <c r="AI58" i="2"/>
  <c r="AH28" i="2"/>
  <c r="AH38" i="2"/>
  <c r="AH11" i="2"/>
  <c r="AG29" i="2"/>
  <c r="AG39" i="2"/>
  <c r="AG41" i="2"/>
  <c r="AG59" i="2"/>
  <c r="AF68" i="2"/>
  <c r="AF23" i="2"/>
  <c r="AF33" i="2"/>
  <c r="AE70" i="2"/>
  <c r="AD24" i="2"/>
  <c r="AD62" i="2"/>
  <c r="AC24" i="2"/>
  <c r="AC58" i="2"/>
  <c r="AH9" i="2"/>
  <c r="AE60" i="2"/>
  <c r="AE72" i="2"/>
  <c r="AD26" i="2"/>
  <c r="AD63" i="2"/>
  <c r="AC26" i="2"/>
  <c r="AC60" i="2"/>
  <c r="AW26" i="2"/>
  <c r="AW31" i="2"/>
  <c r="AV7" i="2"/>
  <c r="AJ17" i="2"/>
  <c r="AN30" i="2"/>
  <c r="AS17" i="2"/>
  <c r="AI52" i="2"/>
  <c r="AL5" i="2"/>
  <c r="AT19" i="2"/>
  <c r="AT31" i="2"/>
  <c r="AM13" i="2"/>
  <c r="AU25" i="2"/>
  <c r="AG44" i="2"/>
  <c r="AR14" i="2"/>
  <c r="AJ26" i="2"/>
  <c r="AS4" i="2"/>
  <c r="AO15" i="2"/>
  <c r="AK28" i="2"/>
  <c r="AL6" i="2"/>
  <c r="AL18" i="2"/>
  <c r="AT28" i="2"/>
  <c r="AU6" i="2"/>
  <c r="AQ19" i="2"/>
  <c r="AQ31" i="2"/>
  <c r="AI30" i="2"/>
  <c r="AI64" i="2"/>
  <c r="AI11" i="2"/>
  <c r="AH36" i="2"/>
  <c r="AH62" i="2"/>
  <c r="AH17" i="2"/>
  <c r="AH19" i="2"/>
  <c r="AG37" i="2"/>
  <c r="AG71" i="2"/>
  <c r="AG10" i="2"/>
  <c r="AG67" i="2"/>
  <c r="AF13" i="2"/>
  <c r="AF31" i="2"/>
  <c r="AF41" i="2"/>
  <c r="AE68" i="2"/>
  <c r="AE15" i="2"/>
  <c r="AE33" i="2"/>
  <c r="AE27" i="2"/>
  <c r="AD4" i="2"/>
  <c r="AD42" i="2"/>
  <c r="AC4" i="2"/>
  <c r="AC38" i="2"/>
  <c r="AC73" i="2"/>
  <c r="AD12" i="2"/>
  <c r="AD44" i="2"/>
  <c r="AC14" i="2"/>
  <c r="AC48" i="2"/>
  <c r="AW24" i="2"/>
  <c r="AV4" i="2"/>
  <c r="AR7" i="2"/>
  <c r="AR23" i="2"/>
  <c r="AS5" i="2"/>
  <c r="AK25" i="2"/>
  <c r="AS13" i="2"/>
  <c r="AL13" i="2"/>
  <c r="AL27" i="2"/>
  <c r="AM5" i="2"/>
  <c r="AQ18" i="2"/>
  <c r="AQ30" i="2"/>
  <c r="AR8" i="2"/>
  <c r="AN21" i="2"/>
  <c r="AH54" i="2"/>
  <c r="AO11" i="2"/>
  <c r="AO21" i="2"/>
  <c r="AF53" i="2"/>
  <c r="AP11" i="2"/>
  <c r="AP23" i="2"/>
  <c r="AG47" i="2"/>
  <c r="AQ13" i="2"/>
  <c r="AM26" i="2"/>
  <c r="AI5" i="2"/>
  <c r="AI31" i="2"/>
  <c r="AI73" i="2"/>
  <c r="AI20" i="2"/>
  <c r="AH69" i="2"/>
  <c r="AH16" i="2"/>
  <c r="AH26" i="2"/>
  <c r="AG20" i="2"/>
  <c r="AG38" i="2"/>
  <c r="AG72" i="2"/>
  <c r="AG66" i="2"/>
  <c r="AF12" i="2"/>
  <c r="AF22" i="2"/>
  <c r="AF56" i="2"/>
  <c r="AF42" i="2"/>
  <c r="AE69" i="2"/>
  <c r="AE24" i="2"/>
  <c r="AE18" i="2"/>
  <c r="AD46" i="2"/>
  <c r="AC16" i="2"/>
  <c r="AC50" i="2"/>
  <c r="AW21" i="2"/>
  <c r="AV28" i="2"/>
  <c r="AJ9" i="2"/>
  <c r="AR25" i="2"/>
  <c r="AO6" i="2"/>
  <c r="AS25" i="2"/>
  <c r="AS15" i="2"/>
  <c r="AT13" i="2"/>
  <c r="AT27" i="2"/>
  <c r="AM7" i="2"/>
  <c r="AM21" i="2"/>
  <c r="AN9" i="2"/>
  <c r="AJ22" i="2"/>
  <c r="AG53" i="2"/>
  <c r="AK12" i="2"/>
  <c r="AS22" i="2"/>
  <c r="AH47" i="2"/>
  <c r="AT12" i="2"/>
  <c r="AL24" i="2"/>
  <c r="AE45" i="2"/>
  <c r="AM14" i="2"/>
  <c r="AU26" i="2"/>
  <c r="AI29" i="2"/>
  <c r="AI8" i="2"/>
  <c r="AI10" i="2"/>
  <c r="AI28" i="2"/>
  <c r="AH6" i="2"/>
  <c r="AH24" i="2"/>
  <c r="AH34" i="2"/>
  <c r="AG60" i="2"/>
  <c r="AG7" i="2"/>
  <c r="AG9" i="2"/>
  <c r="AF4" i="2"/>
  <c r="AF20" i="2"/>
  <c r="AF38" i="2"/>
  <c r="AF64" i="2"/>
  <c r="AF66" i="2"/>
  <c r="AE22" i="2"/>
  <c r="AE32" i="2"/>
  <c r="AE26" i="2"/>
  <c r="AD22" i="2"/>
  <c r="AD54" i="2"/>
  <c r="AC18" i="2"/>
  <c r="AC54" i="2"/>
  <c r="AW29" i="2"/>
  <c r="AV5" i="2"/>
  <c r="AN10" i="2"/>
  <c r="AN26" i="2"/>
  <c r="AS9" i="2"/>
  <c r="AO28" i="2"/>
  <c r="AK17" i="2"/>
  <c r="AP14" i="2"/>
  <c r="AP28" i="2"/>
  <c r="AU7" i="2"/>
  <c r="AU21" i="2"/>
  <c r="AD13" i="2"/>
  <c r="AU31" i="2"/>
  <c r="AE37" i="2"/>
  <c r="AG40" i="2"/>
  <c r="AI59" i="2"/>
  <c r="AG55" i="2"/>
  <c r="AL10" i="2"/>
  <c r="AR6" i="2"/>
  <c r="AQ14" i="2"/>
  <c r="AP10" i="2"/>
  <c r="AW19" i="2"/>
  <c r="AC36" i="2"/>
  <c r="AE57" i="2"/>
  <c r="AE21" i="2"/>
  <c r="AF8" i="2"/>
  <c r="AF19" i="2"/>
  <c r="AG16" i="2"/>
  <c r="AH59" i="2"/>
  <c r="AH39" i="2"/>
  <c r="AI35" i="2"/>
  <c r="AI62" i="2"/>
  <c r="AQ21" i="2"/>
  <c r="AP31" i="2"/>
  <c r="AP7" i="2"/>
  <c r="AO19" i="2"/>
  <c r="AN29" i="2"/>
  <c r="AN5" i="2"/>
  <c r="AU13" i="2"/>
  <c r="AT9" i="2"/>
  <c r="AK19" i="2"/>
  <c r="AN4" i="2"/>
  <c r="AW11" i="2"/>
  <c r="AC34" i="2"/>
  <c r="AF27" i="2"/>
  <c r="AH63" i="2"/>
  <c r="AM22" i="2"/>
  <c r="AK20" i="2"/>
  <c r="AS19" i="2"/>
  <c r="AE41" i="2"/>
  <c r="AE13" i="2"/>
  <c r="AF39" i="2"/>
  <c r="AF11" i="2"/>
  <c r="AG8" i="2"/>
  <c r="AH27" i="2"/>
  <c r="AH31" i="2"/>
  <c r="AI27" i="2"/>
  <c r="AI38" i="2"/>
  <c r="AM20" i="2"/>
  <c r="AT30" i="2"/>
  <c r="AT6" i="2"/>
  <c r="AO17" i="2"/>
  <c r="AR28" i="2"/>
  <c r="AR4" i="2"/>
  <c r="AI4" i="2"/>
  <c r="AL9" i="2"/>
  <c r="AE47" i="2"/>
  <c r="AV24" i="2"/>
  <c r="AC6" i="2"/>
  <c r="AE65" i="2"/>
  <c r="AF16" i="2"/>
  <c r="AH67" i="2"/>
  <c r="AI15" i="2"/>
  <c r="AJ30" i="2"/>
  <c r="AJ7" i="2"/>
  <c r="AE56" i="2"/>
  <c r="AE12" i="2"/>
  <c r="AF62" i="2"/>
  <c r="AG35" i="2"/>
  <c r="AG15" i="2"/>
  <c r="AH42" i="2"/>
  <c r="AH14" i="2"/>
  <c r="AI34" i="2"/>
  <c r="AI37" i="2"/>
  <c r="AU14" i="2"/>
  <c r="AL26" i="2"/>
  <c r="AG46" i="2"/>
  <c r="AS12" i="2"/>
  <c r="AR22" i="2"/>
  <c r="AG52" i="2"/>
  <c r="AH44" i="2"/>
  <c r="AT7" i="2"/>
  <c r="AG49" i="2"/>
  <c r="AV15" i="2"/>
  <c r="AD70" i="2"/>
  <c r="R18" i="2"/>
  <c r="N16" i="1"/>
  <c r="Q4" i="2"/>
  <c r="R4" i="2" s="1"/>
  <c r="R30" i="2"/>
  <c r="R26" i="2"/>
  <c r="R11" i="2"/>
  <c r="R23" i="2"/>
  <c r="R12" i="2"/>
  <c r="R31" i="2"/>
  <c r="R20" i="2"/>
  <c r="R14" i="2"/>
  <c r="R25" i="2"/>
  <c r="R5" i="2"/>
  <c r="R17" i="2"/>
  <c r="R15" i="2"/>
  <c r="R7" i="2"/>
  <c r="M3" i="2"/>
  <c r="O14" i="1" s="1"/>
  <c r="R28" i="2"/>
  <c r="R22" i="2"/>
  <c r="O3" i="2"/>
  <c r="O13" i="1" s="1"/>
  <c r="AC71" i="2"/>
  <c r="AC61" i="2"/>
  <c r="AC51" i="2"/>
  <c r="AC41" i="2"/>
  <c r="AC31" i="2"/>
  <c r="AC21" i="2"/>
  <c r="AC11" i="2"/>
  <c r="AD71" i="2"/>
  <c r="AD61" i="2"/>
  <c r="AD51" i="2"/>
  <c r="AD41" i="2"/>
  <c r="AD31" i="2"/>
  <c r="AD21" i="2"/>
  <c r="AD11" i="2"/>
  <c r="AC69" i="2"/>
  <c r="AC59" i="2"/>
  <c r="AC49" i="2"/>
  <c r="AC39" i="2"/>
  <c r="AC29" i="2"/>
  <c r="AC19" i="2"/>
  <c r="AC9" i="2"/>
  <c r="AD69" i="2"/>
  <c r="AD59" i="2"/>
  <c r="AD49" i="2"/>
  <c r="AD39" i="2"/>
  <c r="AD29" i="2"/>
  <c r="AD19" i="2"/>
  <c r="AD9" i="2"/>
  <c r="AM19" i="2"/>
  <c r="AQ12" i="2"/>
  <c r="AU5" i="2"/>
  <c r="AI53" i="2"/>
  <c r="AT25" i="2"/>
  <c r="AL19" i="2"/>
  <c r="AP12" i="2"/>
  <c r="AT5" i="2"/>
  <c r="AK11" i="2"/>
  <c r="AS31" i="2"/>
  <c r="AO24" i="2"/>
  <c r="AO14" i="2"/>
  <c r="AK5" i="2"/>
  <c r="AR29" i="2"/>
  <c r="AJ23" i="2"/>
  <c r="AN16" i="2"/>
  <c r="AR9" i="2"/>
  <c r="AV16" i="2"/>
  <c r="AV29" i="2"/>
  <c r="AV11" i="2"/>
  <c r="AW7" i="2"/>
  <c r="AW16" i="2"/>
  <c r="AW18" i="2"/>
  <c r="AC67" i="2"/>
  <c r="AC57" i="2"/>
  <c r="AC47" i="2"/>
  <c r="AC37" i="2"/>
  <c r="AC27" i="2"/>
  <c r="AC17" i="2"/>
  <c r="AC7" i="2"/>
  <c r="AD67" i="2"/>
  <c r="AD57" i="2"/>
  <c r="AD47" i="2"/>
  <c r="AD37" i="2"/>
  <c r="AD27" i="2"/>
  <c r="AD17" i="2"/>
  <c r="AD7" i="2"/>
  <c r="AH12" i="2"/>
  <c r="AI43" i="2"/>
  <c r="AI26" i="2"/>
  <c r="AI9" i="2"/>
  <c r="AI63" i="2"/>
  <c r="AI22" i="2"/>
  <c r="AE46" i="2"/>
  <c r="AQ29" i="2"/>
  <c r="AU22" i="2"/>
  <c r="AM16" i="2"/>
  <c r="AQ9" i="2"/>
  <c r="AF46" i="2"/>
  <c r="AP29" i="2"/>
  <c r="AT22" i="2"/>
  <c r="AL16" i="2"/>
  <c r="AP9" i="2"/>
  <c r="AF45" i="2"/>
  <c r="AK30" i="2"/>
  <c r="AO23" i="2"/>
  <c r="AS16" i="2"/>
  <c r="AK10" i="2"/>
  <c r="AF44" i="2"/>
  <c r="AR30" i="2"/>
  <c r="AJ24" i="2"/>
  <c r="AN17" i="2"/>
  <c r="AR10" i="2"/>
  <c r="AJ4" i="2"/>
  <c r="AM31" i="2"/>
  <c r="AQ24" i="2"/>
  <c r="AU17" i="2"/>
  <c r="AM11" i="2"/>
  <c r="AQ4" i="2"/>
  <c r="AL31" i="2"/>
  <c r="AP24" i="2"/>
  <c r="AT17" i="2"/>
  <c r="AL11" i="2"/>
  <c r="AP4" i="2"/>
  <c r="AK7" i="2"/>
  <c r="AO30" i="2"/>
  <c r="AK23" i="2"/>
  <c r="AO12" i="2"/>
  <c r="AF48" i="2"/>
  <c r="AN28" i="2"/>
  <c r="AR21" i="2"/>
  <c r="AJ15" i="2"/>
  <c r="AN8" i="2"/>
  <c r="AV31" i="2"/>
  <c r="AV13" i="2"/>
  <c r="AV18" i="2"/>
  <c r="AW22" i="2"/>
  <c r="AW28" i="2"/>
  <c r="AW25" i="2"/>
  <c r="AC65" i="2"/>
  <c r="AC55" i="2"/>
  <c r="AC45" i="2"/>
  <c r="AC35" i="2"/>
  <c r="AC25" i="2"/>
  <c r="AC15" i="2"/>
  <c r="AC5" i="2"/>
  <c r="AD65" i="2"/>
  <c r="AD55" i="2"/>
  <c r="AD45" i="2"/>
  <c r="AD35" i="2"/>
  <c r="AD25" i="2"/>
  <c r="AD15" i="2"/>
  <c r="S4" i="2" l="1"/>
  <c r="O12" i="1"/>
  <c r="W47" i="2" a="1"/>
  <c r="W47" i="2" s="1"/>
  <c r="W5" i="2" a="1"/>
  <c r="W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<sst xmlns="http://schemas.openxmlformats.org/spreadsheetml/2006/main" count="8849" uniqueCount="3764">
  <si>
    <t>PMID</t>
  </si>
  <si>
    <t>Authors</t>
  </si>
  <si>
    <t>Publication Year</t>
  </si>
  <si>
    <t>Link</t>
  </si>
  <si>
    <t>Excluded?</t>
  </si>
  <si>
    <t>Reason for exclusion</t>
  </si>
  <si>
    <t>Notes</t>
  </si>
  <si>
    <t>Search Terms:</t>
  </si>
  <si>
    <t>Kampouri E, Zamora D, Kiem ES, Liu W, Ibrahimi S, Blazevic RL, Lovas EA, Kimball LE, Huang ML, Jerome KR, Ueda Oshima M, Mielcarek M, Zerr DM, Boeckh MJ, Krantz EM, Hill JA.</t>
  </si>
  <si>
    <t>https://pubmed.ncbi.nlm.nih.gov/37532126</t>
  </si>
  <si>
    <t>No</t>
  </si>
  <si>
    <t>Date:</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</si>
  <si>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</si>
  <si>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</si>
  <si>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</si>
  <si>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</si>
  <si>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</si>
  <si>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</si>
  <si>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</si>
  <si>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</si>
  <si>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</si>
  <si>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</si>
  <si>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</si>
  <si>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</si>
  <si>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</si>
  <si>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</si>
  <si>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</si>
  <si>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</si>
  <si>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</si>
  <si>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</si>
  <si>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</si>
  <si>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</si>
  <si>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</si>
  <si>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</si>
  <si>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</si>
  <si>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</si>
  <si>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</si>
  <si>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</si>
  <si>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</si>
  <si>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</si>
  <si>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</si>
  <si>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</si>
  <si>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</si>
  <si>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</si>
  <si>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</si>
  <si>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</si>
  <si>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</si>
  <si>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</si>
  <si>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</si>
  <si>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</si>
  <si>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</si>
  <si>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</si>
  <si>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</si>
  <si>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</si>
  <si>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</si>
  <si>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</si>
  <si>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</si>
  <si>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</si>
  <si>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</si>
  <si>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</si>
  <si>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</si>
  <si>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</si>
  <si>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</si>
  <si>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</si>
  <si>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</si>
  <si>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</si>
  <si>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</si>
  <si>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</si>
  <si>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</si>
  <si>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</si>
  <si>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</si>
  <si>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</si>
  <si>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</si>
  <si>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</si>
  <si>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</si>
  <si>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</si>
  <si>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</si>
  <si>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</si>
  <si>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</si>
  <si>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</si>
  <si>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</si>
  <si>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</si>
  <si>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</si>
  <si>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</si>
  <si>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</si>
  <si>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</si>
  <si>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</si>
  <si>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</si>
  <si>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</si>
  <si>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</si>
  <si>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</si>
  <si>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</si>
  <si>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</si>
  <si>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</si>
  <si>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</si>
  <si>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</si>
  <si>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</si>
  <si>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</si>
  <si>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</si>
  <si>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</si>
  <si>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</si>
  <si>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</si>
  <si>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</si>
  <si>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</si>
  <si>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</si>
  <si>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</si>
  <si>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</si>
  <si>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</si>
  <si>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</si>
  <si>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</si>
  <si>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</si>
  <si>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</si>
  <si>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</si>
  <si>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</si>
  <si>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</si>
  <si>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</si>
  <si>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</si>
  <si>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</si>
  <si>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</si>
  <si>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</si>
  <si>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</si>
  <si>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</si>
  <si>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</si>
  <si>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</si>
  <si>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</si>
  <si>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</si>
  <si>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Lee DG, Park ST, Choi SM, Kim SH, Choi JH, Yoo JH, Park SW, Lee GC, Paik SY, Shin WS, Kim CC.</t>
  </si>
  <si>
    <t>https://pubmed.ncbi.nlm.nih.gov/14744020</t>
  </si>
  <si>
    <t>Perruccio K, Sisinni L, Perez-Martinez A, Valentin J, Capolsini I, Massei MS, Caniglia M, Cesaro S.</t>
  </si>
  <si>
    <t>https://pubmed.ncbi.nlm.nih.gov/30067953</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</si>
  <si>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</si>
  <si>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</si>
  <si>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</si>
  <si>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</si>
  <si>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</si>
  <si>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</si>
  <si>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</si>
  <si>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</si>
  <si>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</si>
  <si>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</si>
  <si>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</si>
  <si>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</si>
  <si>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</si>
  <si>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</si>
  <si>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</si>
  <si>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</si>
  <si>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</si>
  <si>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</si>
  <si>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</si>
  <si>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</si>
  <si>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</si>
  <si>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</si>
  <si>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</si>
  <si>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</si>
  <si>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</si>
  <si>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</si>
  <si>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</si>
  <si>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</si>
  <si>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</si>
  <si>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</si>
  <si>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</si>
  <si>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</si>
  <si>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</si>
  <si>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</si>
  <si>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</si>
  <si>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</si>
  <si>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</si>
  <si>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</si>
  <si>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</si>
  <si>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</si>
  <si>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</si>
  <si>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</si>
  <si>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</si>
  <si>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</si>
  <si>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</si>
  <si>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</si>
  <si>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</si>
  <si>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</si>
  <si>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</si>
  <si>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</si>
  <si>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</si>
  <si>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</si>
  <si>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</si>
  <si>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</si>
  <si>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</si>
  <si>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</si>
  <si>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</si>
  <si>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</si>
  <si>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</si>
  <si>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</si>
  <si>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</si>
  <si>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</si>
  <si>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</si>
  <si>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</si>
  <si>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</si>
  <si>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</si>
  <si>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</si>
  <si>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</si>
  <si>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</si>
  <si>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</si>
  <si>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</si>
  <si>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</si>
  <si>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</si>
  <si>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</si>
  <si>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</si>
  <si>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</si>
  <si>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</si>
  <si>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</si>
  <si>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</si>
  <si>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</si>
  <si>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</si>
  <si>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</si>
  <si>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</si>
  <si>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</si>
  <si>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</si>
  <si>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</si>
  <si>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</si>
  <si>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</si>
  <si>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</si>
  <si>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</si>
  <si>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</si>
  <si>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</si>
  <si>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</si>
  <si>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</si>
  <si>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</si>
  <si>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</si>
  <si>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</si>
  <si>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</si>
  <si>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</si>
  <si>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</si>
  <si>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</si>
  <si>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</si>
  <si>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</si>
  <si>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</si>
  <si>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</si>
  <si>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</si>
  <si>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</si>
  <si>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</si>
  <si>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</si>
  <si>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</si>
  <si>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</si>
  <si>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</si>
  <si>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</si>
  <si>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</si>
  <si>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</si>
  <si>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</si>
  <si>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</si>
  <si>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</si>
  <si>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</si>
  <si>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</si>
  <si>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</si>
  <si>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</si>
  <si>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</si>
  <si>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</si>
  <si>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</si>
  <si>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</si>
  <si>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</si>
  <si>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</si>
  <si>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</si>
  <si>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</si>
  <si>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</si>
  <si>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</si>
  <si>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</si>
  <si>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</si>
  <si>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</si>
  <si>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</si>
  <si>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</si>
  <si>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</si>
  <si>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</si>
  <si>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</si>
  <si>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</si>
  <si>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</si>
  <si>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</si>
  <si>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</si>
  <si>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</si>
  <si>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</si>
  <si>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</si>
  <si>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</si>
  <si>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</si>
  <si>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</si>
  <si>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</si>
  <si>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</si>
  <si>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</si>
  <si>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</si>
  <si>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</si>
  <si>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</si>
  <si>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</si>
  <si>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</si>
  <si>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</si>
  <si>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</si>
  <si>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</si>
  <si>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</si>
  <si>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</si>
  <si>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</si>
  <si>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</si>
  <si>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</si>
  <si>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</si>
  <si>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</si>
  <si>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</si>
  <si>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</si>
  <si>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</si>
  <si>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</si>
  <si>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</si>
  <si>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</si>
  <si>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</si>
  <si>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</si>
  <si>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</si>
  <si>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</si>
  <si>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</si>
  <si>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</si>
  <si>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</si>
  <si>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</si>
  <si>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</si>
  <si>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</si>
  <si>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</si>
  <si>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</si>
  <si>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</si>
  <si>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</si>
  <si>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</si>
  <si>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</si>
  <si>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</si>
  <si>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</si>
  <si>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</si>
  <si>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</si>
  <si>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</si>
  <si>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</si>
  <si>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</si>
  <si>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</si>
  <si>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</si>
  <si>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</si>
  <si>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</si>
  <si>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</si>
  <si>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</si>
  <si>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</si>
  <si>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</si>
  <si>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</si>
  <si>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</si>
  <si>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</si>
  <si>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</si>
  <si>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</si>
  <si>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</si>
  <si>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</si>
  <si>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</si>
  <si>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</si>
  <si>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</si>
  <si>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</si>
  <si>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</si>
  <si>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</si>
  <si>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</si>
  <si>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</si>
  <si>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</si>
  <si>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</si>
  <si>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</si>
  <si>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</si>
  <si>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</si>
  <si>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</si>
  <si>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</si>
  <si>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</si>
  <si>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</si>
  <si>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</si>
  <si>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</si>
  <si>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</si>
  <si>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</si>
  <si>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</si>
  <si>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</si>
  <si>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</si>
  <si>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</si>
  <si>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</si>
  <si>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</si>
  <si>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</si>
  <si>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</si>
  <si>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</si>
  <si>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</si>
  <si>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</si>
  <si>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</si>
  <si>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</si>
  <si>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</si>
  <si>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</si>
  <si>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</si>
  <si>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</si>
  <si>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</si>
  <si>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</si>
  <si>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</si>
  <si>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</si>
  <si>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</si>
  <si>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</si>
  <si>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</si>
  <si>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</si>
  <si>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</si>
  <si>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</si>
  <si>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</si>
  <si>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</si>
  <si>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</si>
  <si>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</si>
  <si>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</si>
  <si>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</si>
  <si>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</si>
  <si>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</si>
  <si>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</si>
  <si>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</si>
  <si>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</si>
  <si>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</si>
  <si>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</si>
  <si>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</si>
  <si>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</si>
  <si>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</si>
  <si>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</si>
  <si>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</si>
  <si>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</si>
  <si>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</si>
  <si>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</si>
  <si>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</si>
  <si>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</si>
  <si>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</si>
  <si>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</si>
  <si>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</si>
  <si>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</si>
  <si>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</si>
  <si>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</si>
  <si>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</si>
  <si>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</si>
  <si>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</si>
  <si>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</si>
  <si>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</si>
  <si>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</si>
  <si>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</si>
  <si>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</si>
  <si>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</si>
  <si>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</si>
  <si>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</si>
  <si>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</si>
  <si>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</si>
  <si>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</si>
  <si>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</si>
  <si>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</si>
  <si>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</si>
  <si>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</si>
  <si>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</si>
  <si>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</si>
  <si>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</si>
  <si>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</si>
  <si>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</si>
  <si>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</si>
  <si>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</si>
  <si>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</si>
  <si>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</si>
  <si>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</si>
  <si>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</si>
  <si>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</si>
  <si>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</si>
  <si>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</si>
  <si>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</si>
  <si>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</si>
  <si>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</si>
  <si>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</si>
  <si>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</si>
  <si>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</si>
  <si>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</si>
  <si>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</si>
  <si>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</si>
  <si>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</si>
  <si>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</si>
  <si>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</si>
  <si>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</si>
  <si>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</si>
  <si>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</si>
  <si>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</si>
  <si>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</si>
  <si>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</si>
  <si>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</si>
  <si>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</si>
  <si>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</si>
  <si>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</si>
  <si>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</si>
  <si>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</si>
  <si>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</si>
  <si>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</si>
  <si>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</si>
  <si>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</si>
  <si>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</si>
  <si>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</si>
  <si>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</si>
  <si>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</si>
  <si>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</si>
  <si>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</si>
  <si>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</si>
  <si>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</si>
  <si>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</si>
  <si>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</si>
  <si>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</si>
  <si>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</si>
  <si>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</si>
  <si>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</si>
  <si>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</si>
  <si>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</si>
  <si>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</si>
  <si>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</si>
  <si>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</si>
  <si>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</si>
  <si>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</si>
  <si>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</si>
  <si>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</si>
  <si>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</si>
  <si>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</si>
  <si>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</si>
  <si>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</si>
  <si>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</si>
  <si>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</si>
  <si>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</si>
  <si>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</si>
  <si>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</si>
  <si>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</si>
  <si>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</si>
  <si>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</si>
  <si>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</si>
  <si>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</si>
  <si>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</si>
  <si>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</si>
  <si>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</si>
  <si>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</si>
  <si>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</si>
  <si>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</si>
  <si>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</si>
  <si>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</si>
  <si>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</si>
  <si>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</si>
  <si>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</si>
  <si>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</si>
  <si>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</si>
  <si>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</si>
  <si>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</si>
  <si>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</si>
  <si>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</si>
  <si>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</si>
  <si>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</si>
  <si>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</si>
  <si>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</si>
  <si>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</si>
  <si>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</si>
  <si>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</si>
  <si>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</si>
  <si>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</si>
  <si>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</si>
  <si>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</si>
  <si>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</si>
  <si>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</si>
  <si>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</si>
  <si>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</si>
  <si>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</si>
  <si>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</si>
  <si>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</si>
  <si>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</si>
  <si>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</si>
  <si>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</si>
  <si>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</si>
  <si>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</si>
  <si>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</si>
  <si>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</si>
  <si>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</si>
  <si>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</si>
  <si>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</si>
  <si>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</si>
  <si>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</si>
  <si>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</si>
  <si>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</si>
  <si>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</si>
  <si>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</si>
  <si>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</si>
  <si>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</si>
  <si>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</si>
  <si>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</si>
  <si>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</si>
  <si>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</si>
  <si>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</si>
  <si>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</si>
  <si>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</si>
  <si>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</si>
  <si>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</si>
  <si>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</si>
  <si>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</si>
  <si>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</si>
  <si>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</si>
  <si>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</si>
  <si>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</si>
  <si>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</si>
  <si>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</si>
  <si>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</si>
  <si>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</si>
  <si>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</si>
  <si>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</si>
  <si>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</si>
  <si>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</si>
  <si>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</si>
  <si>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</si>
  <si>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</si>
  <si>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</si>
  <si>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</si>
  <si>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</si>
  <si>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</si>
  <si>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</si>
  <si>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</si>
  <si>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</si>
  <si>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</si>
  <si>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</si>
  <si>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</si>
  <si>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</si>
  <si>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</si>
  <si>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</si>
  <si>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</si>
  <si>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</si>
  <si>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</si>
  <si>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</si>
  <si>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</si>
  <si>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</si>
  <si>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</si>
  <si>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</si>
  <si>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</si>
  <si>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</si>
  <si>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</si>
  <si>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</si>
  <si>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</si>
  <si>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</si>
  <si>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</si>
  <si>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</si>
  <si>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</si>
  <si>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</si>
  <si>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</si>
  <si>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</si>
  <si>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Yang W, Wu K, Song Y.</t>
  </si>
  <si>
    <t>https://pubmed.ncbi.nlm.nih.gov/11263334</t>
  </si>
  <si>
    <t>Uchida N.</t>
  </si>
  <si>
    <t>https://pubmed.ncbi.nlm.nih.gov/27263776</t>
  </si>
  <si>
    <t>Larcher C, Huemer HP, Hönlinger M, Margreiter R, Dierich MP.</t>
  </si>
  <si>
    <t>https://pubmed.ncbi.nlm.nih.gov/2548350</t>
  </si>
  <si>
    <t>Gómez-Moreno J, Cuervas-Mons V.</t>
  </si>
  <si>
    <t>https://pubmed.ncbi.nlm.nih.gov/11996753</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</si>
  <si>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</si>
  <si>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</si>
  <si>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</si>
  <si>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</si>
  <si>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</si>
  <si>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</si>
  <si>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</si>
  <si>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de Almeida SGS, Knakcfuss FB, Assis LM, de Sousa RCG, Matuck TA, de Carvalho DBM, Machado RLD, Guimarães MAAM, Varella RB.</t>
  </si>
  <si>
    <t>https://pubmed.ncbi.nlm.nih.gov/36193010</t>
  </si>
  <si>
    <t>Bahramian E, Furr M, Wu JT, Ceballos RM.</t>
  </si>
  <si>
    <t>https://pubmed.ncbi.nlm.nih.gov/35911725</t>
  </si>
  <si>
    <t>Hogestyn JM, Salois G, Xie L, Apa C, Youngyunpipatkul J, Pröschel C, Mayer-Pröschel M.</t>
  </si>
  <si>
    <t>https://pubmed.ncbi.nlm.nih.gov/36055520</t>
  </si>
  <si>
    <t>Romeo MA, Gilardini Montani MS, Benedetti R, Giambelli L, D'Aprile R, Gaeta A, Faggioni A, Cirone M.</t>
  </si>
  <si>
    <t>https://pubmed.ncbi.nlm.nih.gov/33207265</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</si>
  <si>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</si>
  <si>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</si>
  <si>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</si>
  <si>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</si>
  <si>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</si>
  <si>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</si>
  <si>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</si>
  <si>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</si>
  <si>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</si>
  <si>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</si>
  <si>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</si>
  <si>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</si>
  <si>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</si>
  <si>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</si>
  <si>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</si>
  <si>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</si>
  <si>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</si>
  <si>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</si>
  <si>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</si>
  <si>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</si>
  <si>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Mancone S, Selvadurai C, Baehring J, Patel A.</t>
  </si>
  <si>
    <t>https://pubmed.ncbi.nlm.nih.gov/34721942</t>
  </si>
  <si>
    <t>Maes L, Theunissen K, Schepers S, Indesteege I, Delmotte K.</t>
  </si>
  <si>
    <t>https://pubmed.ncbi.nlm.nih.gov/35349121</t>
  </si>
  <si>
    <t>Hori T, Yasui S, Hosoki M, Yamagami H, Otoda T, Yuasa T, Aihara KI, Takishita M, Abe M, Nakamura S.</t>
  </si>
  <si>
    <t>https://pubmed.ncbi.nlm.nih.gov/37121773</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</si>
  <si>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</si>
  <si>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</si>
  <si>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</si>
  <si>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</si>
  <si>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</si>
  <si>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</si>
  <si>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</si>
  <si>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</si>
  <si>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</si>
  <si>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</si>
  <si>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</si>
  <si>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</si>
  <si>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</si>
  <si>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</si>
  <si>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</si>
  <si>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</si>
  <si>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</si>
  <si>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</si>
  <si>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</si>
  <si>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</si>
  <si>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</si>
  <si>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</si>
  <si>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</si>
  <si>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</si>
  <si>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</si>
  <si>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</si>
  <si>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</si>
  <si>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</si>
  <si>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</si>
  <si>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</si>
  <si>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Golob S, Nazeer H, Kadosh B, Goldberg R, Narula N, Moazami N, Rao S, Reyentovich A.</t>
  </si>
  <si>
    <t>https://pubmed.ncbi.nlm.nih.gov/37496724</t>
  </si>
  <si>
    <t>Handley G, Pasikhova Y, Hill JA.</t>
  </si>
  <si>
    <t>https://pubmed.ncbi.nlm.nih.gov/37543212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</si>
  <si>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</si>
  <si>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</si>
  <si>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</si>
  <si>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</si>
  <si>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</si>
  <si>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</si>
  <si>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</si>
  <si>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</si>
  <si>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</si>
  <si>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</si>
  <si>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</si>
  <si>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</si>
  <si>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</si>
  <si>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</si>
  <si>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</si>
  <si>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</si>
  <si>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</si>
  <si>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</si>
  <si>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</si>
  <si>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</si>
  <si>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</si>
  <si>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</si>
  <si>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</si>
  <si>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</si>
  <si>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</si>
  <si>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</si>
  <si>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</si>
  <si>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</si>
  <si>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</si>
  <si>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</si>
  <si>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</si>
  <si>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</si>
  <si>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</si>
  <si>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</si>
  <si>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</si>
  <si>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</si>
  <si>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</si>
  <si>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</si>
  <si>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</si>
  <si>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</si>
  <si>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</si>
  <si>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</si>
  <si>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</si>
  <si>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</si>
  <si>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</si>
  <si>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</si>
  <si>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</si>
  <si>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</si>
  <si>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</si>
  <si>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</si>
  <si>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</si>
  <si>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</si>
  <si>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</si>
  <si>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</si>
  <si>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</si>
  <si>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</si>
  <si>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</si>
  <si>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</si>
  <si>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</si>
  <si>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</si>
  <si>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</si>
  <si>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</si>
  <si>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</si>
  <si>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</si>
  <si>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</si>
  <si>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</si>
  <si>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</si>
  <si>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</si>
  <si>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</si>
  <si>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</si>
  <si>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</si>
  <si>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</si>
  <si>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</si>
  <si>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</si>
  <si>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</si>
  <si>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</si>
  <si>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</si>
  <si>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</si>
  <si>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</si>
  <si>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</si>
  <si>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</si>
  <si>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</si>
  <si>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</si>
  <si>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</si>
  <si>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</si>
  <si>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</si>
  <si>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</si>
  <si>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</si>
  <si>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</si>
  <si>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</si>
  <si>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</si>
  <si>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</si>
  <si>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</si>
  <si>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</si>
  <si>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</si>
  <si>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</si>
  <si>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</si>
  <si>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</si>
  <si>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</si>
  <si>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</si>
  <si>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</si>
  <si>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</si>
  <si>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</si>
  <si>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</si>
  <si>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</si>
  <si>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</si>
  <si>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</si>
  <si>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</si>
  <si>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</si>
  <si>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</si>
  <si>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</si>
  <si>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</si>
  <si>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</si>
  <si>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</si>
  <si>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</si>
  <si>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</si>
  <si>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</si>
  <si>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</si>
  <si>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</si>
  <si>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</si>
  <si>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</si>
  <si>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</si>
  <si>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</si>
  <si>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</si>
  <si>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</si>
  <si>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</si>
  <si>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</si>
  <si>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</si>
  <si>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</si>
  <si>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</si>
  <si>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</si>
  <si>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</si>
  <si>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</si>
  <si>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</si>
  <si>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</si>
  <si>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</si>
  <si>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</si>
  <si>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</si>
  <si>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</si>
  <si>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</si>
  <si>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</si>
  <si>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</si>
  <si>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</si>
  <si>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</si>
  <si>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Kouzuki K, Kato I, Kato T, Daifu T, Saida S, Umeda K, Hiramatsu H, Watanabe K, Ide M, Yoshida T, Imamura T, Ito K, Heike T, Adachi S.</t>
  </si>
  <si>
    <t>https://pubmed.ncbi.nlm.nih.gov/25744043</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</si>
  <si>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</si>
  <si>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</si>
  <si>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</si>
  <si>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</si>
  <si>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</si>
  <si>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</si>
  <si>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</si>
  <si>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</si>
  <si>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Holden SR, Vas AL.</t>
  </si>
  <si>
    <t>https://pubmed.ncbi.nlm.nih.gov/17913577</t>
  </si>
  <si>
    <t>Janoly-Duménil A, Galambrun C, Basset T, Mialou V, Bertrand Y, Bleyzac N.</t>
  </si>
  <si>
    <t>https://pubmed.ncbi.nlm.nih.gov/17013421</t>
  </si>
  <si>
    <t>Michel D, Müller S, Wörz S, Michel M, Hampl W, Metzger C, Friedrich W, Mertens T.</t>
  </si>
  <si>
    <t>https://pubmed.ncbi.nlm.nih.gov/7915373</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</si>
  <si>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</si>
  <si>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</si>
  <si>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</si>
  <si>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</si>
  <si>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</si>
  <si>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</si>
  <si>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</si>
  <si>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</si>
  <si>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</si>
  <si>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</si>
  <si>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</si>
  <si>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</si>
  <si>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</si>
  <si>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</si>
  <si>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</si>
  <si>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</si>
  <si>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</si>
  <si>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</si>
  <si>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</si>
  <si>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</si>
  <si>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</si>
  <si>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</si>
  <si>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</si>
  <si>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</si>
  <si>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</si>
  <si>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</si>
  <si>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</si>
  <si>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</si>
  <si>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</si>
  <si>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</si>
  <si>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</si>
  <si>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</si>
  <si>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</si>
  <si>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</si>
  <si>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</si>
  <si>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</si>
  <si>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</si>
  <si>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</si>
  <si>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</si>
  <si>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</si>
  <si>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Bethge W, Beck R, Jahn G, Mundinger P, Kanz L, Einsele H.</t>
  </si>
  <si>
    <t>https://pubmed.ncbi.nlm.nih.gov/10642816</t>
  </si>
  <si>
    <t>Stefanski HE, Thibert KA, Pritchett J, Prusty BK, Wagner JE, Lund TC.</t>
  </si>
  <si>
    <t>https://pubmed.ncbi.nlm.nih.gov/26681781</t>
  </si>
  <si>
    <t>Cury RG, Lopez WO.</t>
  </si>
  <si>
    <t>https://pubmed.ncbi.nlm.nih.gov/26474793</t>
  </si>
  <si>
    <t>Cole PD, Stiles J, Boulad F, Small TN, O'Reilly RJ, George D, Szabolcs P, Kiehn TE, Kernan NA.</t>
  </si>
  <si>
    <t>https://pubmed.ncbi.nlm.nih.gov/9770176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</si>
  <si>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</si>
  <si>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</si>
  <si>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</si>
  <si>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</si>
  <si>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</si>
  <si>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</si>
  <si>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</si>
  <si>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</si>
  <si>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</si>
  <si>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</si>
  <si>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</si>
  <si>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</si>
  <si>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</si>
  <si>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</si>
  <si>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</si>
  <si>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</si>
  <si>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Tasaka T, Matsuhashi Y, Sadhira K, Matsuoka A, Ohnishi H, Kubota Y, Nagai M.</t>
  </si>
  <si>
    <t>https://pubmed.ncbi.nlm.nih.gov/18691755</t>
  </si>
  <si>
    <t>Yamada Y, Osumi T, Imadome KI, Takahashi E, Ohye T, Yoshikawa T, Tomizawa D, Kato M, Matsumoto K.</t>
  </si>
  <si>
    <t>https://pubmed.ncbi.nlm.nih.gov/27859994</t>
  </si>
  <si>
    <t>Chitlur M, Abella E, Singh TP, Savaşan S.</t>
  </si>
  <si>
    <t>https://pubmed.ncbi.nlm.nih.gov/15667619</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</si>
  <si>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</si>
  <si>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</si>
  <si>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</si>
  <si>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</si>
  <si>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</si>
  <si>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</si>
  <si>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</si>
  <si>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</si>
  <si>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</si>
  <si>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</si>
  <si>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</si>
  <si>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</si>
  <si>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</si>
  <si>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</si>
  <si>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</si>
  <si>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</si>
  <si>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</si>
  <si>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</si>
  <si>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</si>
  <si>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</si>
  <si>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</si>
  <si>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</si>
  <si>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</si>
  <si>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</si>
  <si>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</si>
  <si>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</si>
  <si>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</si>
  <si>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</si>
  <si>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</si>
  <si>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</si>
  <si>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</si>
  <si>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</si>
  <si>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</si>
  <si>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</si>
  <si>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</si>
  <si>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</si>
  <si>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</si>
  <si>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</si>
  <si>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</si>
  <si>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</si>
  <si>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</si>
  <si>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</si>
  <si>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</si>
  <si>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</si>
  <si>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</si>
  <si>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</si>
  <si>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</si>
  <si>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</si>
  <si>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</si>
  <si>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</si>
  <si>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Abu Sitta E, Khazan A, Luttmann K, Hanrahan J.</t>
  </si>
  <si>
    <t>https://pubmed.ncbi.nlm.nih.gov/32188617</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</si>
  <si>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</si>
  <si>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</si>
  <si>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</si>
  <si>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</si>
  <si>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</si>
  <si>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</si>
  <si>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</si>
  <si>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</si>
  <si>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</si>
  <si>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</si>
  <si>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</si>
  <si>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</si>
  <si>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</si>
  <si>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</si>
  <si>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</si>
  <si>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</si>
  <si>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</si>
  <si>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</si>
  <si>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</si>
  <si>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</si>
  <si>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</si>
  <si>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</si>
  <si>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</si>
  <si>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</si>
  <si>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Kawamura M, Kaku H, Takayama N, Ushimi T, Kishida S.</t>
  </si>
  <si>
    <t>https://pubmed.ncbi.nlm.nih.gov/18044207</t>
  </si>
  <si>
    <t>Hubacek P, Virgili A, Ward KN, Pohlreich D, Keslova P, Goldova B, Markova M, Zajac M, Cinek O, Nacheva EP, Sedlacek P, Cetkovsky P.</t>
  </si>
  <si>
    <t>https://pubmed.ncbi.nlm.nih.gov/19222466</t>
  </si>
  <si>
    <t>Wada A, Muramatsu K, Sunaga Y, Mizuno T, Takei M, Ogasawara S, Uchida M, Tsukida K, Tashiro M.</t>
  </si>
  <si>
    <t>https://pubmed.ncbi.nlm.nih.gov/28958731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</si>
  <si>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</si>
  <si>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</si>
  <si>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</si>
  <si>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</si>
  <si>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</si>
  <si>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</si>
  <si>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</si>
  <si>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</si>
  <si>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</si>
  <si>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</si>
  <si>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</si>
  <si>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</si>
  <si>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</si>
  <si>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</si>
  <si>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</si>
  <si>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</si>
  <si>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</si>
  <si>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</si>
  <si>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</si>
  <si>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</si>
  <si>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</si>
  <si>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</si>
  <si>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</si>
  <si>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</si>
  <si>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</si>
  <si>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</si>
  <si>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</si>
  <si>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</si>
  <si>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</si>
  <si>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</si>
  <si>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</si>
  <si>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</si>
  <si>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</si>
  <si>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</si>
  <si>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</si>
  <si>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</si>
  <si>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</si>
  <si>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</si>
  <si>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</si>
  <si>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</si>
  <si>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</si>
  <si>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</si>
  <si>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</si>
  <si>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</si>
  <si>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</si>
  <si>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</si>
  <si>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</si>
  <si>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</si>
  <si>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Nishimoto M, Nakamae H, Hayashi Y, Koh H, Nakane T, Yoshida M, Bingo M, Okamura H, Aimoto M, Nanno S, Yoshimura T, Inaba A, Hagihara K, Nakamae M, Hirose A, Nakao Y, Terada Y, Hino M.</t>
  </si>
  <si>
    <t>https://pubmed.ncbi.nlm.nih.gov/22687802</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</si>
  <si>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</si>
  <si>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</si>
  <si>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</si>
  <si>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</si>
  <si>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</si>
  <si>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</si>
  <si>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</si>
  <si>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</si>
  <si>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</si>
  <si>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</si>
  <si>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</si>
  <si>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</si>
  <si>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</si>
  <si>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</si>
  <si>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</si>
  <si>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</si>
  <si>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</si>
  <si>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</si>
  <si>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</si>
  <si>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</si>
  <si>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</si>
  <si>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</si>
  <si>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</si>
  <si>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</si>
  <si>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</si>
  <si>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</si>
  <si>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</si>
  <si>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</si>
  <si>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</si>
  <si>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</si>
  <si>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</si>
  <si>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</si>
  <si>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</si>
  <si>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</si>
  <si>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</si>
  <si>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</si>
  <si>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</si>
  <si>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</si>
  <si>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</si>
  <si>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</si>
  <si>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</si>
  <si>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</si>
  <si>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</si>
  <si>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</si>
  <si>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Endo Y, Oshima G, Hibi T, Shinoda M, Sakurai M, Koda Y, Izawa Y, Obara H, Kitago M, Yagi H, Abe Y, Matsubara K, Yamada Y, Fukushima A, Yokose T, Mori T, Kuroda T, Kitagawa Y.</t>
  </si>
  <si>
    <t>https://pubmed.ncbi.nlm.nih.gov/31397803</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</si>
  <si>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</si>
  <si>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</si>
  <si>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</si>
  <si>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</si>
  <si>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</si>
  <si>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</si>
  <si>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Alfson ED, Awosika OO, Singhal T, Fricchione GL.</t>
  </si>
  <si>
    <t>https://pubmed.ncbi.nlm.nih.gov/22705183</t>
  </si>
  <si>
    <t>Hoffmann A, Kirn E, Krueger GR, Fischer R.</t>
  </si>
  <si>
    <t>https://pubmed.ncbi.nlm.nih.gov/7893989</t>
  </si>
  <si>
    <t>Lecointe D, Fabre M, Habes D, Mielot F, Bernard O, Nordmann P.</t>
  </si>
  <si>
    <t>https://pubmed.ncbi.nlm.nih.gov/11173737</t>
  </si>
  <si>
    <t>Jacobs U, Eis-Hübinger A, Dietrich Miersch W, Klehr HU.</t>
  </si>
  <si>
    <t>https://pubmed.ncbi.nlm.nih.gov/8962253</t>
  </si>
  <si>
    <t>Mookerjee BP, Vogelsang G.</t>
  </si>
  <si>
    <t>https://pubmed.ncbi.nlm.nih.gov/9404935</t>
  </si>
  <si>
    <t>Augusto JF, Sayegh J, Simon A, Croue A, Chennebault JM, Cousin M, Subra JF.</t>
  </si>
  <si>
    <t>https://pubmed.ncbi.nlm.nih.gov/19509026</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</si>
  <si>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</si>
  <si>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</si>
  <si>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</si>
  <si>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</si>
  <si>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</si>
  <si>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</si>
  <si>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</si>
  <si>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</si>
  <si>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</si>
  <si>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</si>
  <si>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</si>
  <si>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</si>
  <si>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</si>
  <si>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</si>
  <si>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</si>
  <si>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</si>
  <si>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</si>
  <si>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</si>
  <si>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</si>
  <si>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</si>
  <si>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</si>
  <si>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</si>
  <si>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</si>
  <si>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</si>
  <si>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</si>
  <si>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</si>
  <si>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Ando T, Mitani N, Yamashita K, Takahashi T, Ohama E, Miyata H, Yujiri T, Tanizawa Y.</t>
  </si>
  <si>
    <t>https://pubmed.ncbi.nlm.nih.gov/20487415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</si>
  <si>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</si>
  <si>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</si>
  <si>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</si>
  <si>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</si>
  <si>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</si>
  <si>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</si>
  <si>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</si>
  <si>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</si>
  <si>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</si>
  <si>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</si>
  <si>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</si>
  <si>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</si>
  <si>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Zutter MM, Durnam DM, Hackman RC, Loughran TP Jr, Kidd PG, Ashley RL, Petersdorf EW, Martin PJ, Thomas ED.</t>
  </si>
  <si>
    <t>https://pubmed.ncbi.nlm.nih.gov/2173884</t>
  </si>
  <si>
    <t>Berthold F, Krueger GR, Tesch H, Hiddemann W.</t>
  </si>
  <si>
    <t>https://pubmed.ncbi.nlm.nih.gov/2560619</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</si>
  <si>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</si>
  <si>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</si>
  <si>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</si>
  <si>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</si>
  <si>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</si>
  <si>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</si>
  <si>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</si>
  <si>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</si>
  <si>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</si>
  <si>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</si>
  <si>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</si>
  <si>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</si>
  <si>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</si>
  <si>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</si>
  <si>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</si>
  <si>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</si>
  <si>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</si>
  <si>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</si>
  <si>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</si>
  <si>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</si>
  <si>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</si>
  <si>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</si>
  <si>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</si>
  <si>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</si>
  <si>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</si>
  <si>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Ueki H, Igarashi S, Kimura S, Tsuchimochi T, Furudate K, Sakurai A, Noguchi Y, Sunami S.</t>
  </si>
  <si>
    <t>https://pubmed.ncbi.nlm.nih.gov/25074497</t>
  </si>
  <si>
    <t>Subhani M, Dong V, Connolly A, Salisbury J, Miquel R, Walsh S, Pirani T.</t>
  </si>
  <si>
    <t>https://pubmed.ncbi.nlm.nih.gov/33363781</t>
  </si>
  <si>
    <t>Bozon A, Jeantet G, Rivière B, Funakoshi N, Dufour G, Combes R, Valats JC, Delmas S, Serre JE, Bismuth M, Ramos J, Le Quintrec M, Blanc P, Pineton de Chambrun G.</t>
  </si>
  <si>
    <t>https://pubmed.ncbi.nlm.nih.gov/29358873</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</si>
  <si>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</si>
  <si>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</si>
  <si>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</si>
  <si>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</si>
  <si>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</si>
  <si>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</si>
  <si>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</si>
  <si>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</si>
  <si>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</si>
  <si>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</si>
  <si>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</si>
  <si>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</si>
  <si>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</si>
  <si>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</si>
  <si>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</si>
  <si>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</si>
  <si>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</si>
  <si>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</si>
  <si>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</si>
  <si>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</si>
  <si>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</si>
  <si>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</si>
  <si>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</si>
  <si>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</si>
  <si>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</si>
  <si>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</si>
  <si>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</si>
  <si>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</si>
  <si>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</si>
  <si>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</si>
  <si>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</si>
  <si>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</si>
  <si>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</si>
  <si>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</si>
  <si>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</si>
  <si>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</si>
  <si>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</si>
  <si>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</si>
  <si>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</si>
  <si>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</si>
  <si>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</si>
  <si>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</si>
  <si>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</si>
  <si>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</si>
  <si>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</si>
  <si>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</si>
  <si>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</si>
  <si>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</si>
  <si>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</si>
  <si>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</si>
  <si>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</si>
  <si>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</si>
  <si>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</si>
  <si>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</si>
  <si>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</si>
  <si>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</si>
  <si>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</si>
  <si>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</si>
  <si>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</si>
  <si>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</si>
  <si>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</si>
  <si>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</si>
  <si>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</si>
  <si>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</si>
  <si>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</si>
  <si>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</si>
  <si>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</si>
  <si>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</si>
  <si>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</si>
  <si>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</si>
  <si>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</si>
  <si>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</si>
  <si>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</si>
  <si>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</si>
  <si>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</si>
  <si>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</si>
  <si>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</si>
  <si>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</si>
  <si>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</si>
  <si>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</si>
  <si>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</si>
  <si>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</si>
  <si>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</si>
  <si>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</si>
  <si>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</si>
  <si>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</si>
  <si>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</si>
  <si>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</si>
  <si>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</si>
  <si>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</si>
  <si>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</si>
  <si>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</si>
  <si>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</si>
  <si>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</si>
  <si>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</si>
  <si>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</si>
  <si>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</si>
  <si>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</si>
  <si>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</si>
  <si>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</si>
  <si>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</si>
  <si>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</si>
  <si>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</si>
  <si>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</si>
  <si>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</si>
  <si>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</si>
  <si>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</si>
  <si>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</si>
  <si>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</si>
  <si>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</si>
  <si>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</si>
  <si>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</si>
  <si>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</si>
  <si>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</si>
  <si>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</si>
  <si>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</si>
  <si>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</si>
  <si>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</si>
  <si>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</si>
  <si>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</si>
  <si>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</si>
  <si>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</si>
  <si>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</si>
  <si>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</si>
  <si>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</si>
  <si>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</si>
  <si>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</si>
  <si>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</si>
  <si>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</si>
  <si>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</si>
  <si>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</si>
  <si>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</si>
  <si>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</si>
  <si>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</si>
  <si>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</si>
  <si>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</si>
  <si>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</si>
  <si>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</si>
  <si>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</si>
  <si>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</si>
  <si>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</si>
  <si>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</si>
  <si>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</si>
  <si>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</si>
  <si>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</si>
  <si>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</si>
  <si>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</si>
  <si>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</si>
  <si>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</si>
  <si>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</si>
  <si>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</si>
  <si>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</si>
  <si>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</si>
  <si>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</si>
  <si>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</si>
  <si>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</si>
  <si>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</si>
  <si>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</si>
  <si>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</si>
  <si>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</si>
  <si>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</si>
  <si>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</si>
  <si>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</si>
  <si>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</si>
  <si>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</si>
  <si>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</si>
  <si>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</si>
  <si>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</si>
  <si>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</si>
  <si>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</si>
  <si>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</si>
  <si>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</si>
  <si>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</si>
  <si>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</si>
  <si>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</si>
  <si>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</si>
  <si>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</si>
  <si>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</si>
  <si>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</si>
  <si>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</si>
  <si>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</si>
  <si>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</si>
  <si>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</si>
  <si>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</si>
  <si>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</si>
  <si>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</si>
  <si>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</si>
  <si>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</si>
  <si>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</si>
  <si>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</si>
  <si>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</si>
  <si>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</si>
  <si>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</si>
  <si>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</si>
  <si>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</si>
  <si>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</si>
  <si>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</si>
  <si>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</si>
  <si>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</si>
  <si>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</si>
  <si>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</si>
  <si>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</si>
  <si>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</si>
  <si>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</si>
  <si>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</si>
  <si>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</si>
  <si>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</si>
  <si>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</si>
  <si>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</si>
  <si>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</si>
  <si>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</si>
  <si>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</si>
  <si>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</si>
  <si>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</si>
  <si>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</si>
  <si>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</si>
  <si>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</si>
  <si>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</si>
  <si>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</si>
  <si>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</si>
  <si>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</si>
  <si>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</si>
  <si>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</si>
  <si>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</si>
  <si>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</si>
  <si>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</si>
  <si>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</si>
  <si>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</si>
  <si>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</si>
  <si>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</si>
  <si>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</si>
  <si>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</si>
  <si>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</si>
  <si>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</si>
  <si>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</si>
  <si>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</si>
  <si>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</si>
  <si>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</si>
  <si>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</si>
  <si>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</si>
  <si>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</si>
  <si>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</si>
  <si>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</si>
  <si>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</si>
  <si>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</si>
  <si>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</si>
  <si>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</si>
  <si>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</si>
  <si>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</si>
  <si>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</si>
  <si>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</si>
  <si>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</si>
  <si>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</si>
  <si>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</si>
  <si>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</si>
  <si>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</si>
  <si>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</si>
  <si>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</si>
  <si>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</si>
  <si>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</si>
  <si>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</si>
  <si>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</si>
  <si>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</si>
  <si>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</si>
  <si>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</si>
  <si>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</si>
  <si>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</si>
  <si>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</si>
  <si>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</si>
  <si>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</si>
  <si>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</si>
  <si>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</si>
  <si>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</si>
  <si>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</si>
  <si>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</si>
  <si>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</si>
  <si>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</si>
  <si>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</si>
  <si>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</si>
  <si>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</si>
  <si>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</si>
  <si>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</si>
  <si>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</si>
  <si>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</si>
  <si>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</si>
  <si>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</si>
  <si>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</si>
  <si>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</si>
  <si>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</si>
  <si>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</si>
  <si>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</si>
  <si>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</si>
  <si>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</si>
  <si>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</si>
  <si>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</si>
  <si>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</si>
  <si>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</si>
  <si>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</si>
  <si>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</si>
  <si>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</si>
  <si>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</si>
  <si>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</si>
  <si>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</si>
  <si>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</si>
  <si>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</si>
  <si>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</si>
  <si>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</si>
  <si>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</si>
  <si>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</si>
  <si>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</si>
  <si>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</si>
  <si>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</si>
  <si>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</si>
  <si>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</si>
  <si>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</si>
  <si>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</si>
  <si>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</si>
  <si>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</si>
  <si>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</si>
  <si>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</si>
  <si>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</si>
  <si>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</si>
  <si>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</si>
  <si>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Namdari S, Chong PP, Behzad-Behbahani A, Geramizadeh B, Nazhvani AD, Sekawi Z, Farhadi A.</t>
  </si>
  <si>
    <t>https://pubmed.ncbi.nlm.nih.gov/36073532</t>
  </si>
  <si>
    <t>Singh N, Winston DJ, Razonable RR, Lyon GM, Huang ML, Jerome KR, Silveira FP, Wagener MM, Limaye AP.</t>
  </si>
  <si>
    <t>https://pubmed.ncbi.nlm.nih.gov/33587431</t>
  </si>
  <si>
    <t>Sloan PE, Rodriguez C, Holtz LR.</t>
  </si>
  <si>
    <t>https://pubmed.ncbi.nlm.nih.gov/34587860</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</si>
  <si>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</si>
  <si>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</si>
  <si>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</si>
  <si>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</si>
  <si>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</si>
  <si>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</si>
  <si>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</si>
  <si>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</si>
  <si>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</si>
  <si>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</si>
  <si>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</si>
  <si>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</si>
  <si>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Al-Sadeq DW, Zedan HT, Aldewik N, Elkhider A, Hicazi A, Younes N, Ayoub HH, Raddad LA, Yassine HM, Nasrallah GK.</t>
  </si>
  <si>
    <t>https://pubmed.ncbi.nlm.nih.gov/35757074</t>
  </si>
  <si>
    <t>Mollel JT, Said JS, Masalu RJ, Hannoun C, Mbunde MVN, Nondo RSO, Bergström T, Trybala E.</t>
  </si>
  <si>
    <t>https://pubmed.ncbi.nlm.nih.gov/35304278</t>
  </si>
  <si>
    <t>Leiskau C, Tsaka S, Meyer-Ruhnke L, Mutschler FE, Pfister ED, Lainka E, Baumann U.</t>
  </si>
  <si>
    <t>https://pubmed.ncbi.nlm.nih.gov/36572350</t>
  </si>
  <si>
    <t>Agostini S, Mancuso R, Costa AS, Citterio LA, Guerini FR, Meloni M, Navarro J, Clerici M.</t>
  </si>
  <si>
    <t>https://pubmed.ncbi.nlm.nih.gov/34206597</t>
  </si>
  <si>
    <t>Fortman D, Avellan MGP, Hurd D, Schwartz M, Dubner H, Hewitt C, Berton S, Ernst S, Rose A, Zarour HWH, Davar D.</t>
  </si>
  <si>
    <t>https://pubmed.ncbi.nlm.nih.gov/36806616</t>
  </si>
  <si>
    <t>Razonable RR, Zerr DM; AST Infectious Diseases Community of Practice.</t>
  </si>
  <si>
    <t>https://pubmed.ncbi.nlm.nih.gov/20070668</t>
  </si>
  <si>
    <t>Vinnard C, Blumberg EA.</t>
  </si>
  <si>
    <t>https://pubmed.ncbi.nlm.nih.gov/19891754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</si>
  <si>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</si>
  <si>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</si>
  <si>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</si>
  <si>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</si>
  <si>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</si>
  <si>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</si>
  <si>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</si>
  <si>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</si>
  <si>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</si>
  <si>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</si>
  <si>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</si>
  <si>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</si>
  <si>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</si>
  <si>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</si>
  <si>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</si>
  <si>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</si>
  <si>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</si>
  <si>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</si>
  <si>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</si>
  <si>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</si>
  <si>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</si>
  <si>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</si>
  <si>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</si>
  <si>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</si>
  <si>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</si>
  <si>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</si>
  <si>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</si>
  <si>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</si>
  <si>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</si>
  <si>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</si>
  <si>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</si>
  <si>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</si>
  <si>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</si>
  <si>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</si>
  <si>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</si>
  <si>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</si>
  <si>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</si>
  <si>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</si>
  <si>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</si>
  <si>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</si>
  <si>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</si>
  <si>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</si>
  <si>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</si>
  <si>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</si>
  <si>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</si>
  <si>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</si>
  <si>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</si>
  <si>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</si>
  <si>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</si>
  <si>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</si>
  <si>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</si>
  <si>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</si>
  <si>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</si>
  <si>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</si>
  <si>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</si>
  <si>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</si>
  <si>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</si>
  <si>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</si>
  <si>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</si>
  <si>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</si>
  <si>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</si>
  <si>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</si>
  <si>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</si>
  <si>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</si>
  <si>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</si>
  <si>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</si>
  <si>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</si>
  <si>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</si>
  <si>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</si>
  <si>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</si>
  <si>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</si>
  <si>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</si>
  <si>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</si>
  <si>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</si>
  <si>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</si>
  <si>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</si>
  <si>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</si>
  <si>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</si>
  <si>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</si>
  <si>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</si>
  <si>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</si>
  <si>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</si>
  <si>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</si>
  <si>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</si>
  <si>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</si>
  <si>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</si>
  <si>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</si>
  <si>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</si>
  <si>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</si>
  <si>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</si>
  <si>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</si>
  <si>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</si>
  <si>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</si>
  <si>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</si>
  <si>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</si>
  <si>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</si>
  <si>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</si>
  <si>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</si>
  <si>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</si>
  <si>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</si>
  <si>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</si>
  <si>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</si>
  <si>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</si>
  <si>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</si>
  <si>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</si>
  <si>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</si>
  <si>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</si>
  <si>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</si>
  <si>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</si>
  <si>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https://pubmed.ncbi.nlm.nih.gov/7606018</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</si>
  <si>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</si>
  <si>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</si>
  <si>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</si>
  <si>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</si>
  <si>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</si>
  <si>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</si>
  <si>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</si>
  <si>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</si>
  <si>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</si>
  <si>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</si>
  <si>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</si>
  <si>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</si>
  <si>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</si>
  <si>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</si>
  <si>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</si>
  <si>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</si>
  <si>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</si>
  <si>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</si>
  <si>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</si>
  <si>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</si>
  <si>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</si>
  <si>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</si>
  <si>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</si>
  <si>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</si>
  <si>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</si>
  <si>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</si>
  <si>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</si>
  <si>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</si>
  <si>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</si>
  <si>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</si>
  <si>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</si>
  <si>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</si>
  <si>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Chapenko S, Folkmane I, Tomsone V, Kozireva S, Bicans J, Amerika D, Rozentals R, Murovska M.</t>
  </si>
  <si>
    <t>https://pubmed.ncbi.nlm.nih.gov/11406212</t>
  </si>
  <si>
    <t>de Oña M, Melón S, Rodriguez JL, Sanmartin JC, Bernardo MJ.</t>
  </si>
  <si>
    <t>https://pubmed.ncbi.nlm.nih.gov/11959192</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</si>
  <si>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</si>
  <si>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</si>
  <si>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</si>
  <si>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</si>
  <si>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</si>
  <si>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</si>
  <si>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</si>
  <si>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</si>
  <si>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</si>
  <si>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</si>
  <si>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</si>
  <si>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</si>
  <si>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</si>
  <si>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</si>
  <si>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</si>
  <si>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</si>
  <si>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</si>
  <si>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</si>
  <si>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</si>
  <si>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</si>
  <si>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</si>
  <si>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</si>
  <si>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</si>
  <si>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</si>
  <si>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</si>
  <si>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</si>
  <si>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</si>
  <si>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</si>
  <si>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</si>
  <si>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</si>
  <si>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</si>
  <si>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Zambelli A, Montagna D, Da Prada GA, Maccario R, Zibera C, Moretta A, Ponchio L, Lozza L, Baiardi P, Maserati R, Marone P, Della Cuna GR.</t>
  </si>
  <si>
    <t>https://pubmed.ncbi.nlm.nih.gov/12552979</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</si>
  <si>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</si>
  <si>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</si>
  <si>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</si>
  <si>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</si>
  <si>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</si>
  <si>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</si>
  <si>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</si>
  <si>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</si>
  <si>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</si>
  <si>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</si>
  <si>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</si>
  <si>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</si>
  <si>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</si>
  <si>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</si>
  <si>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</si>
  <si>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</si>
  <si>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</si>
  <si>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</si>
  <si>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</si>
  <si>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</si>
  <si>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</si>
  <si>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</si>
  <si>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</si>
  <si>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</si>
  <si>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</si>
  <si>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</si>
  <si>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</si>
  <si>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</si>
  <si>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</si>
  <si>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</si>
  <si>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</si>
  <si>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</si>
  <si>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</si>
  <si>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</si>
  <si>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</si>
  <si>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</si>
  <si>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</si>
  <si>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</si>
  <si>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</si>
  <si>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</si>
  <si>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</si>
  <si>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</si>
  <si>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</si>
  <si>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</si>
  <si>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</si>
  <si>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</si>
  <si>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</si>
  <si>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</si>
  <si>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</si>
  <si>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</si>
  <si>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</si>
  <si>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</si>
  <si>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</si>
  <si>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</si>
  <si>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</si>
  <si>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</si>
  <si>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</si>
  <si>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</si>
  <si>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</si>
  <si>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</si>
  <si>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</si>
  <si>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</si>
  <si>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</si>
  <si>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</si>
  <si>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</si>
  <si>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</si>
  <si>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</si>
  <si>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</si>
  <si>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</si>
  <si>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</si>
  <si>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</si>
  <si>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</si>
  <si>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</si>
  <si>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</si>
  <si>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</si>
  <si>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</si>
  <si>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</si>
  <si>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</si>
  <si>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</si>
  <si>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</si>
  <si>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</si>
  <si>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</si>
  <si>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</si>
  <si>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</si>
  <si>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</si>
  <si>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</si>
  <si>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</si>
  <si>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</si>
  <si>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</si>
  <si>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</si>
  <si>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</si>
  <si>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</si>
  <si>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</si>
  <si>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</si>
  <si>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</si>
  <si>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</si>
  <si>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</si>
  <si>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</si>
  <si>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Katsafanas GC, Schirmer EC, Wyatt LS, Frenkel N.</t>
  </si>
  <si>
    <t>https://pubmed.ncbi.nlm.nih.gov/8790409</t>
  </si>
  <si>
    <t>Goel P, Tailor P, Chande AG, Basu A, Mukhopadhyaya R.</t>
  </si>
  <si>
    <t>https://pubmed.ncbi.nlm.nih.gov/23454489</t>
  </si>
  <si>
    <t>Gravel A, Hall CB, Flamand L.</t>
  </si>
  <si>
    <t>https://pubmed.ncbi.nlm.nih.gov/23408849</t>
  </si>
  <si>
    <t>Akhyani N, Fotheringham J, Yao K, Rashti F, Jacobson S.</t>
  </si>
  <si>
    <t>https://pubmed.ncbi.nlm.nih.gov/16966219</t>
  </si>
  <si>
    <t>Campbell A, Hogestyn JM, Folts CJ, Lopez B, Pröschel C, Mock D, Mayer-Pröschel M.</t>
  </si>
  <si>
    <t>https://pubmed.ncbi.nlm.nih.gov/28638124</t>
  </si>
  <si>
    <t>https://pubmed.ncbi.nlm.nih.gov/1314872</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</si>
  <si>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</si>
  <si>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</si>
  <si>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</si>
  <si>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</si>
  <si>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</si>
  <si>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</si>
  <si>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</si>
  <si>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</si>
  <si>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</si>
  <si>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</si>
  <si>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</si>
  <si>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</si>
  <si>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</si>
  <si>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</si>
  <si>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</si>
  <si>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</si>
  <si>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</si>
  <si>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</si>
  <si>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</si>
  <si>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</si>
  <si>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</si>
  <si>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</si>
  <si>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</si>
  <si>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</si>
  <si>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</si>
  <si>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</si>
  <si>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</si>
  <si>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</si>
  <si>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</si>
  <si>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</si>
  <si>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</si>
  <si>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</si>
  <si>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</si>
  <si>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</si>
  <si>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</si>
  <si>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</si>
  <si>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</si>
  <si>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</si>
  <si>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</si>
  <si>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</si>
  <si>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</si>
  <si>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</si>
  <si>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</si>
  <si>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</si>
  <si>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</si>
  <si>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</si>
  <si>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</si>
  <si>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</si>
  <si>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</si>
  <si>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</si>
  <si>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</si>
  <si>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</si>
  <si>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</si>
  <si>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</si>
  <si>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</si>
  <si>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</si>
  <si>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</si>
  <si>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</si>
  <si>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</si>
  <si>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</si>
  <si>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</si>
  <si>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</si>
  <si>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</si>
  <si>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</si>
  <si>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</si>
  <si>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</si>
  <si>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</si>
  <si>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</si>
  <si>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</si>
  <si>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</si>
  <si>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</si>
  <si>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</si>
  <si>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</si>
  <si>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</si>
  <si>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</si>
  <si>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</si>
  <si>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</si>
  <si>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</si>
  <si>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</si>
  <si>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</si>
  <si>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</si>
  <si>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</si>
  <si>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</si>
  <si>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</si>
  <si>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</si>
  <si>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</si>
  <si>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</si>
  <si>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</si>
  <si>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</si>
  <si>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</si>
  <si>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</si>
  <si>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</si>
  <si>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</si>
  <si>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</si>
  <si>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</si>
  <si>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https://pubmed.ncbi.nlm.nih.gov/8601223</t>
  </si>
  <si>
    <t>Kondo K, Sashihara J, Shimada K, Takemoto M, Amo K, Miyagawa H, Yamanishi K.</t>
  </si>
  <si>
    <t>https://pubmed.ncbi.nlm.nih.gov/12525662</t>
  </si>
  <si>
    <t>Cavallo R, Jemma C, Merlino C.</t>
  </si>
  <si>
    <t>https://pubmed.ncbi.nlm.nih.gov/1668969</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</si>
  <si>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</si>
  <si>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</si>
  <si>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</si>
  <si>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</si>
  <si>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</si>
  <si>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</si>
  <si>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</si>
  <si>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</si>
  <si>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</si>
  <si>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</si>
  <si>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</si>
  <si>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</si>
  <si>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</si>
  <si>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</si>
  <si>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</si>
  <si>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</si>
  <si>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</si>
  <si>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</si>
  <si>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</si>
  <si>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</si>
  <si>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</si>
  <si>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</si>
  <si>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</si>
  <si>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</si>
  <si>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</si>
  <si>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</si>
  <si>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</si>
  <si>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</si>
  <si>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</si>
  <si>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</si>
  <si>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</si>
  <si>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</si>
  <si>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</si>
  <si>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</si>
  <si>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</si>
  <si>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</si>
  <si>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</si>
  <si>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</si>
  <si>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</si>
  <si>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</si>
  <si>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</si>
  <si>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</si>
  <si>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Persson L, Dahl H, Linde A, Engervall P, Vikerfors T, Tidefelt U.</t>
  </si>
  <si>
    <t>https://pubmed.ncbi.nlm.nih.gov/12925104</t>
  </si>
  <si>
    <t>Kempf W, Adams V, Wey N, Moos R, Schmid M, Avitabile E, Campadelli-Fiume G.</t>
  </si>
  <si>
    <t>https://pubmed.ncbi.nlm.nih.gov/9207138</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</si>
  <si>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</si>
  <si>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</si>
  <si>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</si>
  <si>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</si>
  <si>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</si>
  <si>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</si>
  <si>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Ogawa H, Suzutani T, Baba Y, Koyano S, Nozawa N, Ishibashi K, Fujieda K, Inoue N, Omori K.</t>
  </si>
  <si>
    <t>https://pubmed.ncbi.nlm.nih.gov/17299707</t>
  </si>
  <si>
    <t>Ito T, Urushima H, Sakaue M, Yukawa S, Honda H, Hirai K, Igura T, Hayashi N, Maeda K, Kitagawa T, Kondo K.</t>
  </si>
  <si>
    <t>https://pubmed.ncbi.nlm.nih.gov/24611562</t>
  </si>
  <si>
    <t>Cermelli C, Moroni A, Pietrosemoli P, Pecorari M, Portolani M.</t>
  </si>
  <si>
    <t>https://pubmed.ncbi.nlm.nih.gov/1313531</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</si>
  <si>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</si>
  <si>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</si>
  <si>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</si>
  <si>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</si>
  <si>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</si>
  <si>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</si>
  <si>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</si>
  <si>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</si>
  <si>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</si>
  <si>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</si>
  <si>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</si>
  <si>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</si>
  <si>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</si>
  <si>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</si>
  <si>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</si>
  <si>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</si>
  <si>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</si>
  <si>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</si>
  <si>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</si>
  <si>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</si>
  <si>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</si>
  <si>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</si>
  <si>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</si>
  <si>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</si>
  <si>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</si>
  <si>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</si>
  <si>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</si>
  <si>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</si>
  <si>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</si>
  <si>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</si>
  <si>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</si>
  <si>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</si>
  <si>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</si>
  <si>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</si>
  <si>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</si>
  <si>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</si>
  <si>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</si>
  <si>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</si>
  <si>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</si>
  <si>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</si>
  <si>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</si>
  <si>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</si>
  <si>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</si>
  <si>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</si>
  <si>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</si>
  <si>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</si>
  <si>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</si>
  <si>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</si>
  <si>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</si>
  <si>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</si>
  <si>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</si>
  <si>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</si>
  <si>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</si>
  <si>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</si>
  <si>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</si>
  <si>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Burd EM, Carrigan DR.</t>
  </si>
  <si>
    <t>https://pubmed.ncbi.nlm.nih.gov/8212852</t>
  </si>
  <si>
    <t>Black JB, Schwarz TF, Patton JL, Kite-Powell K, Pellett PE, Wiersbitzky S, Bruns R, Müller C, Jäger G, Stewart JA.</t>
  </si>
  <si>
    <t>https://pubmed.ncbi.nlm.nih.gov/8770508</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</si>
  <si>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</si>
  <si>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</si>
  <si>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</si>
  <si>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</si>
  <si>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</si>
  <si>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</si>
  <si>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</si>
  <si>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</si>
  <si>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</si>
  <si>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</si>
  <si>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</si>
  <si>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</si>
  <si>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</si>
  <si>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</si>
  <si>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</si>
  <si>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</si>
  <si>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</si>
  <si>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</si>
  <si>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</si>
  <si>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</si>
  <si>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Ma XT, Song YH, Lu DM, Mu GF, Li G, Ji LX, Yang RC, Wu KF.</t>
  </si>
  <si>
    <t>https://pubmed.ncbi.nlm.nih.gov/10800159</t>
  </si>
  <si>
    <t>Hill JA, Ikoma M, Zerr DM, Basom RS, Peddu V, Huang ML, Hall Sedlak R, Jerome KR, Boeckh M, Barcy S.</t>
  </si>
  <si>
    <t>https://pubmed.ncbi.nlm.nih.gov/30429336</t>
  </si>
  <si>
    <t>Kida K, Isozumi R, Ito M.</t>
  </si>
  <si>
    <t>https://pubmed.ncbi.nlm.nih.gov/11192519</t>
  </si>
  <si>
    <t>Koide W, Ito M, Torigoe S, Ihara T, Kamiya H, Sakurai M.</t>
  </si>
  <si>
    <t>https://pubmed.ncbi.nlm.nih.gov/9586694</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</si>
  <si>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</si>
  <si>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</si>
  <si>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</si>
  <si>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</si>
  <si>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</si>
  <si>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</si>
  <si>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</si>
  <si>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</si>
  <si>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</si>
  <si>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</si>
  <si>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</si>
  <si>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</si>
  <si>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</si>
  <si>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</si>
  <si>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</si>
  <si>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</si>
  <si>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</si>
  <si>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</si>
  <si>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</si>
  <si>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</si>
  <si>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</si>
  <si>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</si>
  <si>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</si>
  <si>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</si>
  <si>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</si>
  <si>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</si>
  <si>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</si>
  <si>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</si>
  <si>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</si>
  <si>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</si>
  <si>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</si>
  <si>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</si>
  <si>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</si>
  <si>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</si>
  <si>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</si>
  <si>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</si>
  <si>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</si>
  <si>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</si>
  <si>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</si>
  <si>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</si>
  <si>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</si>
  <si>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</si>
  <si>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</si>
  <si>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</si>
  <si>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</si>
  <si>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</si>
  <si>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</si>
  <si>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</si>
  <si>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</si>
  <si>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</si>
  <si>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</si>
  <si>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</si>
  <si>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</si>
  <si>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</si>
  <si>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</si>
  <si>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</si>
  <si>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</si>
  <si>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</si>
  <si>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Takahashi K, Sonoda S, Higashi K, Kondo T, Takahashi H, Takahashi M, Yamanishi K.</t>
  </si>
  <si>
    <t>https://pubmed.ncbi.nlm.nih.gov/2542623</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</si>
  <si>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</si>
  <si>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</si>
  <si>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</si>
  <si>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</si>
  <si>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</si>
  <si>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</si>
  <si>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</si>
  <si>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</si>
  <si>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</si>
  <si>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</si>
  <si>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</si>
  <si>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</si>
  <si>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</si>
  <si>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</si>
  <si>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Ogata M, Satou T, Kawano R, Yoshikawa T, Ikewaki J, Kohno K, Ando T, Miyazaki Y, Ohtsuka E, Saburi Y, Kikuchi H, Saikawa T, Kadota J.</t>
  </si>
  <si>
    <t>https://pubmed.ncbi.nlm.nih.gov/21328386</t>
  </si>
  <si>
    <t>Sloan P, Rodriguez C, Bedell BA, Murray J, Dagle J, Ryckman K, Holtz L.</t>
  </si>
  <si>
    <t>https://pubmed.ncbi.nlm.nih.gov/32401076</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</si>
  <si>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</si>
  <si>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</si>
  <si>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</si>
  <si>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</si>
  <si>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</si>
  <si>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</si>
  <si>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</si>
  <si>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</si>
  <si>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</si>
  <si>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</si>
  <si>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</si>
  <si>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</si>
  <si>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</si>
  <si>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</si>
  <si>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Shioda S, Kasai F, Ozawa M, Hirayama N, Satoh M, Kameoka Y, Watanabe K, Shimizu N, Tang H, Mori Y, Kohara A.</t>
  </si>
  <si>
    <t>https://pubmed.ncbi.nlm.nih.gov/28755030</t>
  </si>
  <si>
    <t>Klussmann JP, Krueger E, Sloots T, Berneman Z, Arnold G, Krueger GR.</t>
  </si>
  <si>
    <t>https://pubmed.ncbi.nlm.nih.gov/9174632</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</si>
  <si>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</si>
  <si>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</si>
  <si>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</si>
  <si>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</si>
  <si>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</si>
  <si>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</si>
  <si>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</si>
  <si>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</si>
  <si>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</si>
  <si>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</si>
  <si>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</si>
  <si>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</si>
  <si>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</si>
  <si>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</si>
  <si>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Eriksson BM, Dahl H, Wang FZ, Elvin K, Hillerdal G, Lundholm M, Linde A, Olding-Stenkvist E.</t>
  </si>
  <si>
    <t>https://pubmed.ncbi.nlm.nih.gov/8953678</t>
  </si>
  <si>
    <t>Handous I, Achour B, Marzouk M, Rouis S, Hazgui O, Brini I, Khelif A, Hannachi N, Boukadida J.</t>
  </si>
  <si>
    <t>https://pubmed.ncbi.nlm.nih.gov/32183884</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</si>
  <si>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</si>
  <si>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</si>
  <si>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</si>
  <si>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</si>
  <si>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</si>
  <si>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</si>
  <si>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Dupont L, Du L, Poulter M, Choi S, McIntosh M, Reeves MB.</t>
  </si>
  <si>
    <t>https://pubmed.ncbi.nlm.nih.gov/31273084</t>
  </si>
  <si>
    <t>Nakano S, Sugita S, Tomaru Y, Hono A, Nakamuro T, Kubota T, Takase H, Mochizuki M, Takahashi M, Shimizu N.</t>
  </si>
  <si>
    <t>https://pubmed.ncbi.nlm.nih.gov/28282487</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</si>
  <si>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</si>
  <si>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</si>
  <si>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</si>
  <si>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</si>
  <si>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</si>
  <si>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</si>
  <si>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</si>
  <si>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</si>
  <si>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</si>
  <si>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</si>
  <si>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</si>
  <si>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</si>
  <si>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</si>
  <si>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</si>
  <si>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</si>
  <si>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</si>
  <si>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Keil T, Liu D, Lloyd M, Coombs W, Moffat J, Visalli R.</t>
  </si>
  <si>
    <t>https://pubmed.ncbi.nlm.nih.gov/32903425</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</si>
  <si>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</si>
  <si>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</si>
  <si>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</si>
  <si>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</si>
  <si>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</si>
  <si>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</si>
  <si>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</si>
  <si>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</si>
  <si>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</si>
  <si>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</si>
  <si>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</si>
  <si>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</si>
  <si>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</si>
  <si>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</si>
  <si>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</si>
  <si>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</si>
  <si>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</si>
  <si>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</si>
  <si>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</si>
  <si>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</si>
  <si>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</si>
  <si>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</si>
  <si>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</si>
  <si>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</si>
  <si>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Dadwal SS, Papanicolaou GA, Boeckh M.</t>
  </si>
  <si>
    <t>https://pubmed.ncbi.nlm.nih.gov/36493341</t>
  </si>
  <si>
    <t>Grand RJ.</t>
  </si>
  <si>
    <t>https://pubmed.ncbi.nlm.nih.gov/36367762</t>
  </si>
  <si>
    <t>Brüssow H.</t>
  </si>
  <si>
    <t>https://pubmed.ncbi.nlm.nih.gov/37602673</t>
  </si>
  <si>
    <t>Hosomi S, Nishida Y, Fujiwara Y.</t>
  </si>
  <si>
    <t>https://pubmed.ncbi.nlm.nih.gov/34576764</t>
  </si>
  <si>
    <t>Itzhaki RF.</t>
  </si>
  <si>
    <t>https://pubmed.ncbi.nlm.nih.gov/34205498</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</si>
  <si>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</si>
  <si>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</si>
  <si>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</si>
  <si>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</si>
  <si>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</si>
  <si>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</si>
  <si>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</si>
  <si>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</si>
  <si>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</si>
  <si>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</si>
  <si>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</si>
  <si>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</si>
  <si>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</si>
  <si>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</si>
  <si>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</si>
  <si>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</si>
  <si>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</si>
  <si>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</si>
  <si>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</si>
  <si>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</si>
  <si>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</si>
  <si>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</si>
  <si>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</si>
  <si>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</si>
  <si>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</si>
  <si>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</si>
  <si>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</si>
  <si>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</si>
  <si>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</si>
  <si>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</si>
  <si>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</si>
  <si>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</si>
  <si>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</si>
  <si>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</si>
  <si>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</si>
  <si>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</si>
  <si>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</si>
  <si>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</si>
  <si>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</si>
  <si>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</si>
  <si>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</si>
  <si>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</si>
  <si>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</si>
  <si>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</si>
  <si>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</si>
  <si>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</si>
  <si>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</si>
  <si>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</si>
  <si>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</si>
  <si>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</si>
  <si>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</si>
  <si>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</si>
  <si>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</si>
  <si>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</si>
  <si>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</si>
  <si>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</si>
  <si>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</si>
  <si>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</si>
  <si>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</si>
  <si>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</si>
  <si>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</si>
  <si>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</si>
  <si>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</si>
  <si>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</si>
  <si>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</si>
  <si>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</si>
  <si>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</si>
  <si>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</si>
  <si>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</si>
  <si>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</si>
  <si>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</si>
  <si>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</si>
  <si>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</si>
  <si>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</si>
  <si>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</si>
  <si>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</si>
  <si>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</si>
  <si>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</si>
  <si>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</si>
  <si>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</si>
  <si>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</si>
  <si>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</si>
  <si>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</si>
  <si>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</si>
  <si>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</si>
  <si>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</si>
  <si>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</si>
  <si>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</si>
  <si>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</si>
  <si>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</si>
  <si>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</si>
  <si>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</si>
  <si>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</si>
  <si>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</si>
  <si>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</si>
  <si>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</si>
  <si>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</si>
  <si>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</si>
  <si>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</si>
  <si>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</si>
  <si>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</si>
  <si>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</si>
  <si>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</si>
  <si>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</si>
  <si>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</si>
  <si>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</si>
  <si>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</si>
  <si>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</si>
  <si>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</si>
  <si>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</si>
  <si>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</si>
  <si>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</si>
  <si>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</si>
  <si>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</si>
  <si>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</si>
  <si>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</si>
  <si>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</si>
  <si>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</si>
  <si>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</si>
  <si>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</si>
  <si>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</si>
  <si>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</si>
  <si>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</si>
  <si>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</si>
  <si>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</si>
  <si>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</si>
  <si>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</si>
  <si>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</si>
  <si>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</si>
  <si>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</si>
  <si>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</si>
  <si>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</si>
  <si>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</si>
  <si>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</si>
  <si>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</si>
  <si>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</si>
  <si>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</si>
  <si>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</si>
  <si>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</si>
  <si>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</si>
  <si>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</si>
  <si>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</si>
  <si>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</si>
  <si>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</si>
  <si>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</si>
  <si>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</si>
  <si>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</si>
  <si>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</si>
  <si>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</si>
  <si>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</si>
  <si>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</si>
  <si>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</si>
  <si>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</si>
  <si>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</si>
  <si>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</si>
  <si>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</si>
  <si>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</si>
  <si>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</si>
  <si>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</si>
  <si>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</si>
  <si>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</si>
  <si>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</si>
  <si>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</si>
  <si>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</si>
  <si>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https://pubmed.ncbi.nlm.nih.gov/23347215</t>
  </si>
  <si>
    <t>Caserta MT, Mock DJ, Dewhurst S.</t>
  </si>
  <si>
    <t>https://pubmed.ncbi.nlm.nih.gov/11512088</t>
  </si>
  <si>
    <t>https://pubmed.ncbi.nlm.nih.gov/19907110</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</si>
  <si>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</si>
  <si>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</si>
  <si>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</si>
  <si>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</si>
  <si>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</si>
  <si>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</si>
  <si>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</si>
  <si>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</si>
  <si>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</si>
  <si>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</si>
  <si>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</si>
  <si>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https://pubmed.ncbi.nlm.nih.gov/14624112</t>
  </si>
  <si>
    <t>https://pubmed.ncbi.nlm.nih.gov/20832191</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</si>
  <si>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</si>
  <si>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</si>
  <si>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</si>
  <si>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</si>
  <si>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</si>
  <si>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</si>
  <si>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</si>
  <si>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</si>
  <si>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</si>
  <si>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</si>
  <si>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</si>
  <si>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</si>
  <si>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</si>
  <si>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</si>
  <si>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</si>
  <si>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</si>
  <si>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</si>
  <si>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</si>
  <si>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</si>
  <si>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</si>
  <si>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</si>
  <si>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</si>
  <si>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</si>
  <si>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</si>
  <si>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</si>
  <si>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</si>
  <si>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</si>
  <si>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</si>
  <si>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</si>
  <si>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</si>
  <si>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</si>
  <si>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</si>
  <si>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</si>
  <si>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</si>
  <si>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</si>
  <si>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</si>
  <si>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</si>
  <si>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</si>
  <si>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</si>
  <si>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</si>
  <si>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</si>
  <si>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</si>
  <si>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</si>
  <si>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</si>
  <si>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</si>
  <si>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</si>
  <si>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</si>
  <si>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</si>
  <si>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</si>
  <si>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</si>
  <si>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</si>
  <si>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</si>
  <si>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</si>
  <si>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</si>
  <si>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</si>
  <si>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</si>
  <si>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</si>
  <si>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</si>
  <si>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</si>
  <si>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</si>
  <si>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</si>
  <si>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</si>
  <si>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</si>
  <si>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</si>
  <si>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</si>
  <si>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</si>
  <si>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</si>
  <si>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</si>
  <si>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</si>
  <si>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</si>
  <si>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</si>
  <si>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</si>
  <si>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</si>
  <si>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</si>
  <si>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</si>
  <si>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</si>
  <si>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</si>
  <si>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</si>
  <si>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</si>
  <si>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</si>
  <si>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</si>
  <si>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</si>
  <si>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</si>
  <si>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</si>
  <si>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</si>
  <si>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</si>
  <si>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</si>
  <si>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</si>
  <si>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</si>
  <si>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</si>
  <si>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</si>
  <si>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</si>
  <si>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</si>
  <si>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</si>
  <si>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</si>
  <si>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</si>
  <si>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</si>
  <si>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</si>
  <si>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</si>
  <si>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</si>
  <si>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</si>
  <si>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</si>
  <si>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</si>
  <si>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</si>
  <si>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</si>
  <si>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</si>
  <si>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</si>
  <si>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</si>
  <si>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Tong LX, Worswick SD.</t>
  </si>
  <si>
    <t>https://pubmed.ncbi.nlm.nih.gov/25582535</t>
  </si>
  <si>
    <t>Tyler KL.</t>
  </si>
  <si>
    <t>https://pubmed.ncbi.nlm.nih.gov/19667214</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</si>
  <si>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</si>
  <si>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</si>
  <si>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</si>
  <si>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</si>
  <si>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</si>
  <si>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</si>
  <si>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</si>
  <si>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</si>
  <si>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</si>
  <si>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</si>
  <si>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</si>
  <si>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</si>
  <si>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</si>
  <si>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</si>
  <si>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</si>
  <si>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</si>
  <si>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</si>
  <si>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</si>
  <si>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</si>
  <si>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</si>
  <si>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</si>
  <si>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</si>
  <si>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</si>
  <si>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Razonable RR, Lautenschlager I.</t>
  </si>
  <si>
    <t>https://pubmed.ncbi.nlm.nih.gov/21161019</t>
  </si>
  <si>
    <t>Kennedy PGE.</t>
  </si>
  <si>
    <t>https://pubmed.ncbi.nlm.nih.gov/33048220</t>
  </si>
  <si>
    <t>Kühn JE.</t>
  </si>
  <si>
    <t>https://pubmed.ncbi.nlm.nih.gov/10878482</t>
  </si>
  <si>
    <t>McClain KL, Natkunam Y, Swerdlow SH.</t>
  </si>
  <si>
    <t>https://pubmed.ncbi.nlm.nih.gov/15561688</t>
  </si>
  <si>
    <t>Sun HY, Singh N.</t>
  </si>
  <si>
    <t>https://pubmed.ncbi.nlm.nih.gov/18778180</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</si>
  <si>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</si>
  <si>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</si>
  <si>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</si>
  <si>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</si>
  <si>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</si>
  <si>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</si>
  <si>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</si>
  <si>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</si>
  <si>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</si>
  <si>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</si>
  <si>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</si>
  <si>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</si>
  <si>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</si>
  <si>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</si>
  <si>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</si>
  <si>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</si>
  <si>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</si>
  <si>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</si>
  <si>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</si>
  <si>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</si>
  <si>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</si>
  <si>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</si>
  <si>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</si>
  <si>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Brennan DC, Aguado JM, Potena L, Jardine AG, Legendre C, Säemann MD, Mueller NJ, Merville P, Emery V, Nashan B.</t>
  </si>
  <si>
    <t>https://pubmed.ncbi.nlm.nih.gov/23165654</t>
  </si>
  <si>
    <t>Streblow DN, Orloff SL, Nelson JA.</t>
  </si>
  <si>
    <t>https://pubmed.ncbi.nlm.nih.gov/17716883</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</si>
  <si>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</si>
  <si>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</si>
  <si>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</si>
  <si>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</si>
  <si>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</si>
  <si>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</si>
  <si>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</si>
  <si>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</si>
  <si>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</si>
  <si>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</si>
  <si>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</si>
  <si>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</si>
  <si>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</si>
  <si>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</si>
  <si>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</si>
  <si>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</si>
  <si>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</si>
  <si>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</si>
  <si>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</si>
  <si>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</si>
  <si>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</si>
  <si>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</si>
  <si>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</si>
  <si>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</si>
  <si>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</si>
  <si>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</si>
  <si>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</si>
  <si>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</si>
  <si>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</si>
  <si>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</si>
  <si>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</si>
  <si>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</si>
  <si>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</si>
  <si>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</si>
  <si>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</si>
  <si>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</si>
  <si>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</si>
  <si>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</si>
  <si>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</si>
  <si>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</si>
  <si>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</si>
  <si>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</si>
  <si>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</si>
  <si>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</si>
  <si>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</si>
  <si>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</si>
  <si>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</si>
  <si>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</si>
  <si>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</si>
  <si>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</si>
  <si>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</si>
  <si>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</si>
  <si>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</si>
  <si>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</si>
  <si>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</si>
  <si>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</si>
  <si>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</si>
  <si>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</si>
  <si>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</si>
  <si>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</si>
  <si>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</si>
  <si>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</si>
  <si>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</si>
  <si>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</si>
  <si>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</si>
  <si>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</si>
  <si>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</si>
  <si>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</si>
  <si>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</si>
  <si>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</si>
  <si>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</si>
  <si>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</si>
  <si>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</si>
  <si>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</si>
  <si>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</si>
  <si>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</si>
  <si>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</si>
  <si>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</si>
  <si>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</si>
  <si>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</si>
  <si>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</si>
  <si>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</si>
  <si>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</si>
  <si>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</si>
  <si>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</si>
  <si>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</si>
  <si>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</si>
  <si>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</si>
  <si>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</si>
  <si>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</si>
  <si>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</si>
  <si>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</si>
  <si>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</si>
  <si>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</si>
  <si>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</si>
  <si>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</si>
  <si>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</si>
  <si>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</si>
  <si>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</si>
  <si>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</si>
  <si>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</si>
  <si>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</si>
  <si>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</si>
  <si>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</si>
  <si>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</si>
  <si>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</si>
  <si>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</si>
  <si>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</si>
  <si>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</si>
  <si>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</si>
  <si>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</si>
  <si>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</si>
  <si>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</si>
  <si>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</si>
  <si>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</si>
  <si>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</si>
  <si>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</si>
  <si>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</si>
  <si>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</si>
  <si>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</si>
  <si>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</si>
  <si>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</si>
  <si>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</si>
  <si>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</si>
  <si>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</si>
  <si>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</si>
  <si>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</si>
  <si>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</si>
  <si>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</si>
  <si>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</si>
  <si>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</si>
  <si>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</si>
  <si>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</si>
  <si>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</si>
  <si>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</si>
  <si>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</si>
  <si>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</si>
  <si>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</si>
  <si>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</si>
  <si>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</si>
  <si>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</si>
  <si>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</si>
  <si>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</si>
  <si>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</si>
  <si>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</si>
  <si>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</si>
  <si>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</si>
  <si>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</si>
  <si>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</si>
  <si>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</si>
  <si>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</si>
  <si>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</si>
  <si>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</si>
  <si>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</si>
  <si>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</si>
  <si>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</si>
  <si>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</si>
  <si>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</si>
  <si>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</si>
  <si>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</si>
  <si>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</si>
  <si>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</si>
  <si>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</si>
  <si>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</si>
  <si>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</si>
  <si>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</si>
  <si>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</si>
  <si>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</si>
  <si>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</si>
  <si>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</si>
  <si>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</si>
  <si>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</si>
  <si>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</si>
  <si>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</si>
  <si>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</si>
  <si>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</si>
  <si>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</si>
  <si>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</si>
  <si>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</si>
  <si>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</si>
  <si>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</si>
  <si>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</si>
  <si>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</si>
  <si>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</si>
  <si>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</si>
  <si>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</si>
  <si>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</si>
  <si>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</si>
  <si>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</si>
  <si>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</si>
  <si>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</si>
  <si>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</si>
  <si>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</si>
  <si>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</si>
  <si>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</si>
  <si>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</si>
  <si>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</si>
  <si>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</si>
  <si>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</si>
  <si>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</si>
  <si>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</si>
  <si>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</si>
  <si>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</si>
  <si>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</si>
  <si>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</si>
  <si>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</si>
  <si>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</si>
  <si>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</si>
  <si>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</si>
  <si>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</si>
  <si>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</si>
  <si>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</si>
  <si>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</si>
  <si>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</si>
  <si>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</si>
  <si>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</si>
  <si>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</si>
  <si>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</si>
  <si>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</si>
  <si>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</si>
  <si>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</si>
  <si>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</si>
  <si>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</si>
  <si>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</si>
  <si>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</si>
  <si>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</si>
  <si>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</si>
  <si>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</si>
  <si>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</si>
  <si>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</si>
  <si>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</si>
  <si>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</si>
  <si>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</si>
  <si>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</si>
  <si>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</si>
  <si>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</si>
  <si>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</si>
  <si>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</si>
  <si>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</si>
  <si>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</si>
  <si>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</si>
  <si>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</si>
  <si>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</si>
  <si>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</si>
  <si>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</si>
  <si>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</si>
  <si>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</si>
  <si>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</si>
  <si>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</si>
  <si>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</si>
  <si>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</si>
  <si>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</si>
  <si>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</si>
  <si>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</si>
  <si>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</si>
  <si>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</si>
  <si>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</si>
  <si>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</si>
  <si>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</si>
  <si>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</si>
  <si>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</si>
  <si>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</si>
  <si>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</si>
  <si>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</si>
  <si>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</si>
  <si>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</si>
  <si>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</si>
  <si>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</si>
  <si>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</si>
  <si>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</si>
  <si>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</si>
  <si>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</si>
  <si>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</si>
  <si>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</si>
  <si>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</si>
  <si>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</si>
  <si>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</si>
  <si>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</si>
  <si>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</si>
  <si>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</si>
  <si>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</si>
  <si>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</si>
  <si>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</si>
  <si>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</si>
  <si>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</si>
  <si>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</si>
  <si>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</si>
  <si>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</si>
  <si>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</si>
  <si>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</si>
  <si>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</si>
  <si>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</si>
  <si>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</si>
  <si>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</si>
  <si>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</si>
  <si>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</si>
  <si>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</si>
  <si>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</si>
  <si>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</si>
  <si>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</si>
  <si>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</si>
  <si>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</si>
  <si>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</si>
  <si>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</si>
  <si>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</si>
  <si>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</si>
  <si>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</si>
  <si>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</si>
  <si>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</si>
  <si>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</si>
  <si>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</si>
  <si>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</si>
  <si>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</si>
  <si>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</si>
  <si>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</si>
  <si>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</si>
  <si>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</si>
  <si>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</si>
  <si>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</si>
  <si>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</si>
  <si>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</si>
  <si>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</si>
  <si>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</si>
  <si>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</si>
  <si>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</si>
  <si>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</si>
  <si>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</si>
  <si>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</si>
  <si>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</si>
  <si>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</si>
  <si>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</si>
  <si>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</si>
  <si>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</si>
  <si>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</si>
  <si>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</si>
  <si>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</si>
  <si>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</si>
  <si>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</si>
  <si>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</si>
  <si>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</si>
  <si>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</si>
  <si>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</si>
  <si>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</si>
  <si>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</si>
  <si>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</si>
  <si>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</si>
  <si>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</si>
  <si>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</si>
  <si>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</si>
  <si>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</si>
  <si>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</si>
  <si>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</si>
  <si>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</si>
  <si>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</si>
  <si>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</si>
  <si>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</si>
  <si>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</si>
  <si>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</si>
  <si>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</si>
  <si>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</si>
  <si>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</si>
  <si>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</si>
  <si>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</si>
  <si>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</si>
  <si>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</si>
  <si>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</si>
  <si>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</si>
  <si>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</si>
  <si>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</si>
  <si>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</si>
  <si>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</si>
  <si>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</si>
  <si>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</si>
  <si>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</si>
  <si>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</si>
  <si>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</si>
  <si>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</si>
  <si>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</si>
  <si>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</si>
  <si>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</si>
  <si>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</si>
  <si>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</si>
  <si>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</si>
  <si>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</si>
  <si>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</si>
  <si>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</si>
  <si>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</si>
  <si>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</si>
  <si>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</si>
  <si>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</si>
  <si>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</si>
  <si>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</si>
  <si>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</si>
  <si>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</si>
  <si>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</si>
  <si>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</si>
  <si>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</si>
  <si>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</si>
  <si>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</si>
  <si>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</si>
  <si>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</si>
  <si>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</si>
  <si>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</si>
  <si>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</si>
  <si>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</si>
  <si>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</si>
  <si>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</si>
  <si>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</si>
  <si>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</si>
  <si>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</si>
  <si>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</si>
  <si>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</si>
  <si>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</si>
  <si>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</si>
  <si>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</si>
  <si>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</si>
  <si>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</si>
  <si>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</si>
  <si>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</si>
  <si>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</si>
  <si>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</si>
  <si>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</si>
  <si>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</si>
  <si>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</si>
  <si>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</si>
  <si>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</si>
  <si>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</si>
  <si>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</si>
  <si>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</si>
  <si>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</si>
  <si>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</si>
  <si>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</si>
  <si>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</si>
  <si>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</si>
  <si>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</si>
  <si>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</si>
  <si>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</si>
  <si>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</si>
  <si>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</si>
  <si>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</si>
  <si>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</si>
  <si>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</si>
  <si>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</si>
  <si>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</si>
  <si>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</si>
  <si>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</si>
  <si>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</si>
  <si>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</si>
  <si>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</si>
  <si>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</si>
  <si>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</si>
  <si>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</si>
  <si>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</si>
  <si>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</si>
  <si>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</si>
  <si>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</si>
  <si>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</si>
  <si>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</si>
  <si>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</si>
  <si>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</si>
  <si>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</si>
  <si>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</si>
  <si>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</si>
  <si>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</si>
  <si>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</si>
  <si>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</si>
  <si>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</si>
  <si>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</si>
  <si>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</si>
  <si>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</si>
  <si>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</si>
  <si>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</si>
  <si>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</si>
  <si>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</si>
  <si>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</si>
  <si>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</si>
  <si>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</si>
  <si>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</si>
  <si>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</si>
  <si>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</si>
  <si>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</si>
  <si>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</si>
  <si>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</si>
  <si>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</si>
  <si>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</si>
  <si>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</si>
  <si>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</si>
  <si>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</si>
  <si>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</si>
  <si>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</si>
  <si>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</si>
  <si>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</si>
  <si>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</si>
  <si>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</si>
  <si>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</si>
  <si>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</si>
  <si>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</si>
  <si>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</si>
  <si>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</si>
  <si>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</si>
  <si>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</si>
  <si>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</si>
  <si>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</si>
  <si>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</si>
  <si>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</si>
  <si>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</si>
  <si>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</si>
  <si>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</si>
  <si>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</si>
  <si>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</si>
  <si>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</si>
  <si>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</si>
  <si>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</si>
  <si>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</si>
  <si>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</si>
  <si>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</si>
  <si>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</si>
  <si>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</si>
  <si>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</si>
  <si>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</si>
  <si>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</si>
  <si>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</si>
  <si>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</si>
  <si>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</si>
  <si>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</si>
  <si>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</si>
  <si>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</si>
  <si>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</si>
  <si>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</si>
  <si>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</si>
  <si>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</si>
  <si>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</si>
  <si>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</si>
  <si>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</si>
  <si>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</si>
  <si>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</si>
  <si>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</si>
  <si>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</si>
  <si>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</si>
  <si>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</si>
  <si>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</si>
  <si>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</si>
  <si>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</si>
  <si>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</si>
  <si>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</si>
  <si>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</si>
  <si>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</si>
  <si>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</si>
  <si>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</si>
  <si>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</si>
  <si>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</si>
  <si>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</si>
  <si>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</si>
  <si>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</si>
  <si>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</si>
  <si>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</si>
  <si>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</si>
  <si>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</si>
  <si>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</si>
  <si>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</si>
  <si>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</si>
  <si>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</si>
  <si>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</si>
  <si>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</si>
  <si>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</si>
  <si>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</si>
  <si>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</si>
  <si>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</si>
  <si>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</si>
  <si>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</si>
  <si>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</si>
  <si>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</si>
  <si>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</si>
  <si>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</si>
  <si>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</si>
  <si>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</si>
  <si>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</si>
  <si>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</si>
  <si>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</si>
  <si>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</si>
  <si>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</si>
  <si>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</si>
  <si>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</si>
  <si>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</si>
  <si>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</si>
  <si>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</si>
  <si>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</si>
  <si>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</si>
  <si>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</si>
  <si>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</si>
  <si>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</si>
  <si>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</si>
  <si>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</si>
  <si>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</si>
  <si>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</si>
  <si>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</si>
  <si>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</si>
  <si>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</si>
  <si>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</si>
  <si>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</si>
  <si>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</si>
  <si>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</si>
  <si>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</si>
  <si>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</si>
  <si>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</si>
  <si>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</si>
  <si>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</si>
  <si>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</si>
  <si>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</si>
  <si>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</si>
  <si>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</si>
  <si>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</si>
  <si>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</si>
  <si>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</si>
  <si>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</si>
  <si>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</si>
  <si>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</si>
  <si>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</si>
  <si>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</si>
  <si>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</si>
  <si>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</si>
  <si>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</si>
  <si>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</si>
  <si>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</si>
  <si>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</si>
  <si>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</si>
  <si>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</si>
  <si>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</si>
  <si>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</si>
  <si>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</si>
  <si>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</si>
  <si>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</si>
  <si>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</si>
  <si>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</si>
  <si>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</si>
  <si>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</si>
  <si>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</si>
  <si>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</si>
  <si>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</si>
  <si>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</si>
  <si>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</si>
  <si>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</si>
  <si>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</si>
  <si>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</si>
  <si>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</si>
  <si>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</si>
  <si>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</si>
  <si>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</si>
  <si>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</si>
  <si>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</si>
  <si>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</si>
  <si>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</si>
  <si>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</si>
  <si>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</si>
  <si>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</si>
  <si>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</si>
  <si>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</si>
  <si>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</si>
  <si>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</si>
  <si>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</si>
  <si>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</si>
  <si>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</si>
  <si>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</si>
  <si>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</si>
  <si>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</si>
  <si>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</si>
  <si>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</si>
  <si>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</si>
  <si>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</si>
  <si>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</si>
  <si>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</si>
  <si>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</si>
  <si>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</si>
  <si>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</si>
  <si>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</si>
  <si>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</si>
  <si>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</si>
  <si>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</si>
  <si>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</si>
  <si>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</si>
  <si>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</si>
  <si>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</si>
  <si>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</si>
  <si>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</si>
  <si>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</si>
  <si>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</si>
  <si>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</si>
  <si>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</si>
  <si>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</si>
  <si>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</si>
  <si>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</si>
  <si>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</si>
  <si>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</si>
  <si>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</si>
  <si>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</si>
  <si>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</si>
  <si>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</si>
  <si>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</si>
  <si>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</si>
  <si>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</si>
  <si>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</si>
  <si>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</si>
  <si>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</si>
  <si>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</si>
  <si>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</si>
  <si>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</si>
  <si>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</si>
  <si>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</si>
  <si>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</si>
  <si>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</si>
  <si>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</si>
  <si>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</si>
  <si>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</si>
  <si>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</si>
  <si>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</si>
  <si>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</si>
  <si>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</si>
  <si>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</si>
  <si>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</si>
  <si>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</si>
  <si>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</si>
  <si>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</si>
  <si>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</si>
  <si>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</si>
  <si>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</si>
  <si>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</si>
  <si>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</si>
  <si>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</si>
  <si>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</si>
  <si>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</si>
  <si>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</si>
  <si>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</si>
  <si>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</si>
  <si>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</si>
  <si>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</si>
  <si>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</si>
  <si>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</si>
  <si>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</si>
  <si>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</si>
  <si>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</si>
  <si>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</si>
  <si>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</si>
  <si>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</si>
  <si>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</si>
  <si>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</si>
  <si>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</si>
  <si>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</si>
  <si>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</si>
  <si>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</si>
  <si>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</si>
  <si>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</si>
  <si>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</si>
  <si>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</si>
  <si>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</si>
  <si>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</si>
  <si>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</si>
  <si>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</si>
  <si>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</si>
  <si>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</si>
  <si>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</si>
  <si>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</si>
  <si>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</si>
  <si>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</si>
  <si>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</si>
  <si>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</si>
  <si>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</si>
  <si>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</si>
  <si>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</si>
  <si>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</si>
  <si>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</si>
  <si>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</si>
  <si>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</si>
  <si>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</si>
  <si>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</si>
  <si>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</si>
  <si>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</si>
  <si>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</si>
  <si>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</si>
  <si>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</si>
  <si>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</si>
  <si>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</si>
  <si>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</si>
  <si>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</si>
  <si>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</si>
  <si>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</si>
  <si>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</si>
  <si>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</si>
  <si>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</si>
  <si>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</si>
  <si>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</si>
  <si>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</si>
  <si>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</si>
  <si>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</si>
  <si>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</si>
  <si>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</si>
  <si>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</si>
  <si>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</si>
  <si>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</si>
  <si>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</si>
  <si>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</si>
  <si>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</si>
  <si>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</si>
  <si>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</si>
  <si>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</si>
  <si>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</si>
  <si>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</si>
  <si>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</si>
  <si>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</si>
  <si>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</si>
  <si>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</si>
  <si>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</si>
  <si>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</si>
  <si>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</si>
  <si>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</si>
  <si>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</si>
  <si>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</si>
  <si>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</si>
  <si>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</si>
  <si>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</si>
  <si>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</si>
  <si>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</si>
  <si>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</si>
  <si>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</si>
  <si>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</si>
  <si>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</si>
  <si>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</si>
  <si>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</si>
  <si>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</si>
  <si>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</si>
  <si>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</si>
  <si>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</si>
  <si>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</si>
  <si>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</si>
  <si>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</si>
  <si>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</si>
  <si>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</si>
  <si>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</si>
  <si>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</si>
  <si>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</si>
  <si>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</si>
  <si>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</si>
  <si>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</si>
  <si>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</si>
  <si>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</si>
  <si>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</si>
  <si>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</si>
  <si>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1000mg/d acyclovir orally from days -8 to +35 for viral prophylaxis</t>
  </si>
  <si>
    <t>cyclosporine, mycophenolate mofetil, methotrexate, tacrolimus, prednisolone</t>
  </si>
  <si>
    <t>Reduced intensity conditiong: 5 patients</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</si>
  <si>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</si>
  <si>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</si>
  <si>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</si>
  <si>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</si>
  <si>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</si>
  <si>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</si>
  <si>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</si>
  <si>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</si>
  <si>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</si>
  <si>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</si>
  <si>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</si>
  <si>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</si>
  <si>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</si>
  <si>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</si>
  <si>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</si>
  <si>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</si>
  <si>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</si>
  <si>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</si>
  <si>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</si>
  <si>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</si>
  <si>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</si>
  <si>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</si>
  <si>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</si>
  <si>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</si>
  <si>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</si>
  <si>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</si>
  <si>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</si>
  <si>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</si>
  <si>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</si>
  <si>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</si>
  <si>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</si>
  <si>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</si>
  <si>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</si>
  <si>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</si>
  <si>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</si>
  <si>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</si>
  <si>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</si>
  <si>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</si>
  <si>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</si>
  <si>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</si>
  <si>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</si>
  <si>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</si>
  <si>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</si>
  <si>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</si>
  <si>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</si>
  <si>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</si>
  <si>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</si>
  <si>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</si>
  <si>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</si>
  <si>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</si>
  <si>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</si>
  <si>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</si>
  <si>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</si>
  <si>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</si>
  <si>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</si>
  <si>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</si>
  <si>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</si>
  <si>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</si>
  <si>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</si>
  <si>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</si>
  <si>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</si>
  <si>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</si>
  <si>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</si>
  <si>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</si>
  <si>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</si>
  <si>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</si>
  <si>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</si>
  <si>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</si>
  <si>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</si>
  <si>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</si>
  <si>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</si>
  <si>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</si>
  <si>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</si>
  <si>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</si>
  <si>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</si>
  <si>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</si>
  <si>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</si>
  <si>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</si>
  <si>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</si>
  <si>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</si>
  <si>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</si>
  <si>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</si>
  <si>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</si>
  <si>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</si>
  <si>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</si>
  <si>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</si>
  <si>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</si>
  <si>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</si>
  <si>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</si>
  <si>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</si>
  <si>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</si>
  <si>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</si>
  <si>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</si>
  <si>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</si>
  <si>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</si>
  <si>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</si>
  <si>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</si>
  <si>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</si>
  <si>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</si>
  <si>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</si>
  <si>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</si>
  <si>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</si>
  <si>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</si>
  <si>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</si>
  <si>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</si>
  <si>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</si>
  <si>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</si>
  <si>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</si>
  <si>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</si>
  <si>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</si>
  <si>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</si>
  <si>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</si>
  <si>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</si>
  <si>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</si>
  <si>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</si>
  <si>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</si>
  <si>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</si>
  <si>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</si>
  <si>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</si>
  <si>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</si>
  <si>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</si>
  <si>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</si>
  <si>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</si>
  <si>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</si>
  <si>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</si>
  <si>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</si>
  <si>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</si>
  <si>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</si>
  <si>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</si>
  <si>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</si>
  <si>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</si>
  <si>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</si>
  <si>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</si>
  <si>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</si>
  <si>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</si>
  <si>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</si>
  <si>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</si>
  <si>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</si>
  <si>
    <t>Hill W</t>
  </si>
  <si>
    <t>Cunningham AL</t>
  </si>
  <si>
    <t>Koukoulias K</t>
  </si>
  <si>
    <t>Wormser VR</t>
  </si>
  <si>
    <t>Phan J</t>
  </si>
  <si>
    <t>Lareau CA</t>
  </si>
  <si>
    <t>Rodriguez-Frias F</t>
  </si>
  <si>
    <t>Fappani C</t>
  </si>
  <si>
    <t>Added by DT in 2024 update</t>
  </si>
  <si>
    <t>https://pubmed.ncbi.nlm.nih.gov/38243840</t>
  </si>
  <si>
    <t>https://pubmed.ncbi.nlm.nih.gov/38238927</t>
  </si>
  <si>
    <t>https://pubmed.ncbi.nlm.nih.gov/38228644</t>
  </si>
  <si>
    <t>https://pubmed.ncbi.nlm.nih.gov/38187380</t>
  </si>
  <si>
    <t>https://pubmed.ncbi.nlm.nih.gov/38041493</t>
  </si>
  <si>
    <t>https://pubmed.ncbi.nlm.nih.gov/38007049</t>
  </si>
  <si>
    <t>https://pubmed.ncbi.nlm.nih.gov/37938768</t>
  </si>
  <si>
    <t>https://pubmed.ncbi.nlm.nih.gov/37808908</t>
  </si>
  <si>
    <t>https://pubmed.ncbi.nlm.nih.gov/37796084</t>
  </si>
  <si>
    <t>(hematopoietic OR stem cell OR cord blood OR bone marrow OR transplant*) AND (HHV-6 OR MeSH term: herpesvirus 6 OR HHV6 OR human herpesvirus-6 OR HHV-6B OR HHV6B OR human herpesvirus-6B OR HHV-6A OR HHV6A OR human herpesvirus-6A)</t>
  </si>
  <si>
    <t>2.1.2024</t>
  </si>
  <si>
    <t>Hill 2024</t>
  </si>
  <si>
    <t>Characteristics</t>
  </si>
  <si>
    <t xml:space="preserve">Total Studies </t>
  </si>
  <si>
    <t>Adult vs. pediatric studies % (age range)</t>
  </si>
  <si>
    <t>GVHD prophylaxis</t>
  </si>
  <si>
    <t>Conditioning regimen</t>
  </si>
  <si>
    <t>Cohort size</t>
  </si>
  <si>
    <t>N patients in analyzed results</t>
  </si>
  <si>
    <t>cohort size for all included studies</t>
  </si>
  <si>
    <t>Antiviral ppx categorical</t>
  </si>
  <si>
    <t>ACY</t>
  </si>
  <si>
    <t>GAN</t>
  </si>
  <si>
    <t>ACY and GAN</t>
  </si>
  <si>
    <t>IVIg</t>
  </si>
  <si>
    <t>Unclear or ND</t>
  </si>
  <si>
    <t>Mortality type percent</t>
  </si>
  <si>
    <t>N</t>
  </si>
  <si>
    <t>N (range)</t>
  </si>
  <si>
    <t xml:space="preserve">Average number of patients per study </t>
  </si>
  <si>
    <t>Studies that administered antiviral prophylaxis (N)</t>
  </si>
  <si>
    <t>Samples used for testing (N)</t>
  </si>
  <si>
    <t xml:space="preserve">Study Design </t>
  </si>
  <si>
    <t>HHV-6 Monitoring frequency</t>
  </si>
  <si>
    <t>Retrospective</t>
  </si>
  <si>
    <t>Follow-up period (days)</t>
  </si>
  <si>
    <t>Prospective</t>
  </si>
  <si>
    <t>1x per week</t>
  </si>
  <si>
    <t>1x per week until 1 month and then 1x per 3 months until 24 months</t>
  </si>
  <si>
    <t>1x per 2 weeks</t>
  </si>
  <si>
    <t>Underlying diseases: ALL</t>
  </si>
  <si>
    <t>Underlying diseases: AML</t>
  </si>
  <si>
    <t>Underlying diseases: CML</t>
  </si>
  <si>
    <t>Underlying diseases: NHL</t>
  </si>
  <si>
    <t>Underlying diseases: AML or MDS</t>
  </si>
  <si>
    <t>Underlying diseases: Neuroblastoma</t>
  </si>
  <si>
    <t>Underlying diseases: Non-malignancy</t>
  </si>
  <si>
    <t>Underlying diseases: Unspecified malignancy</t>
  </si>
  <si>
    <t>Underlying diseases: Unspecified</t>
  </si>
  <si>
    <t>1x per 1-2 weeks</t>
  </si>
  <si>
    <t>Underlying diseases: Myeloma</t>
  </si>
  <si>
    <t>Underlying diseases: Unspecified leukemia</t>
  </si>
  <si>
    <t>Underlying diseases: Unspecified lymphoma</t>
  </si>
  <si>
    <t>2x per week</t>
  </si>
  <si>
    <t>1x per week for 1 month, then 1x per month for 3 months</t>
  </si>
  <si>
    <t>1x per week through day 60, then 1x peer 2 weeks through day 100</t>
  </si>
  <si>
    <t>collected on day 20 and day 40</t>
  </si>
  <si>
    <t>Zerr 2012</t>
  </si>
  <si>
    <t>Zerr 2005</t>
  </si>
  <si>
    <t>Included per study</t>
  </si>
  <si>
    <t>ALL</t>
  </si>
  <si>
    <t>AML</t>
  </si>
  <si>
    <t>CML</t>
  </si>
  <si>
    <t>NHL</t>
  </si>
  <si>
    <t>AML or MDS</t>
  </si>
  <si>
    <t>Myeloma</t>
  </si>
  <si>
    <t>Unspecified lymphoma</t>
  </si>
  <si>
    <t>Unspecified leukemia</t>
  </si>
  <si>
    <t>Neuroblastoma</t>
  </si>
  <si>
    <t>Unspecified malignancy</t>
  </si>
  <si>
    <t>Non-malignancy</t>
  </si>
  <si>
    <t>Unspecified</t>
  </si>
  <si>
    <t>Threshold for HHV-6 detection, copies/mL (N)</t>
  </si>
  <si>
    <t>Other</t>
  </si>
  <si>
    <t>Included in Statistcal Analysis</t>
  </si>
  <si>
    <t>Included in NRM Meta-Analysis (Fig. 2)</t>
  </si>
  <si>
    <t>Included in OM Meta-Analysis (Fig. 3)</t>
  </si>
  <si>
    <t>HHV-6 Monitoring frequency categorical</t>
  </si>
  <si>
    <t>EDTA Plasma. Age given as N above and below 10</t>
  </si>
  <si>
    <t>Peripheral Blood. Definition of "died"? I'm assuming ACM here</t>
  </si>
  <si>
    <t>Peripheral Blood. Data obtained from author 10/23/23</t>
  </si>
  <si>
    <t>PBMC before Jan 2007, Whole blood after Jan 2007. 5 copies/mg DNA in-house PCR before Jan 2007, 50 copies/mL commercial PCR kit on whole blood after Jan 2007</t>
  </si>
  <si>
    <r>
      <t>Included in RM Meta-Analysis</t>
    </r>
    <r>
      <rPr>
        <sz val="10"/>
        <color theme="1"/>
        <rFont val="Times New Roman"/>
        <family val="1"/>
      </rPr>
      <t> </t>
    </r>
  </si>
  <si>
    <t xml:space="preserve">GVHD ppx: CsA </t>
  </si>
  <si>
    <t>GVHD ppx: TAC</t>
  </si>
  <si>
    <t>GVHD ppx: MTX</t>
  </si>
  <si>
    <t>GVHD ppx: TAC + MTX</t>
  </si>
  <si>
    <t>GVHD ppx: Sirolimus</t>
  </si>
  <si>
    <t>GVHD ppx: cyclophosphamide</t>
  </si>
  <si>
    <t>GVHD ppx: ATG</t>
  </si>
  <si>
    <t>GVHD ppx: alemtuzumab</t>
  </si>
  <si>
    <t>GVHD ppx: CsA + prednisolone</t>
  </si>
  <si>
    <t>GVHD ppx: CsA + unspecified steroids</t>
  </si>
  <si>
    <t>GVHD ppx: CsA + MTX</t>
  </si>
  <si>
    <t>GVHD ppx: CsA + MMF</t>
  </si>
  <si>
    <t>GVHD ppx: CsA + MMF + TAC</t>
  </si>
  <si>
    <t>GVHD ppx: MMF + MTX</t>
  </si>
  <si>
    <t>GVHD ppx: CsA MMF + MTX</t>
  </si>
  <si>
    <t>GVHD ppx: TAC/MTX/MMF</t>
  </si>
  <si>
    <t>RIC</t>
  </si>
  <si>
    <t>MAC</t>
  </si>
  <si>
    <t xml:space="preserve">CsA </t>
  </si>
  <si>
    <t>TAC</t>
  </si>
  <si>
    <t>MTX</t>
  </si>
  <si>
    <t>TAC + MTX</t>
  </si>
  <si>
    <t>Sirolimus</t>
  </si>
  <si>
    <t>Cyclophosphamide</t>
  </si>
  <si>
    <t>ATG</t>
  </si>
  <si>
    <t>alemtuzumab</t>
  </si>
  <si>
    <t>CsA + prednisolone</t>
  </si>
  <si>
    <t>CsA + unspecified steroids</t>
  </si>
  <si>
    <t>CsA + MTX</t>
  </si>
  <si>
    <t>CsA + MMF</t>
  </si>
  <si>
    <t>CsA + MMF + TAC</t>
  </si>
  <si>
    <t>MMF + MTX</t>
  </si>
  <si>
    <t>CsA MMF + MTX</t>
  </si>
  <si>
    <t>TAC/MTX/MMF</t>
  </si>
  <si>
    <t xml:space="preserve">Outcomes reported </t>
  </si>
  <si>
    <t>(Range of mortality %)</t>
  </si>
  <si>
    <t>Mean follow-up period</t>
  </si>
  <si>
    <t>(Days and range)</t>
  </si>
  <si>
    <t>Underlying diseases (N patients across all studies)</t>
  </si>
  <si>
    <t>Type of HCT</t>
  </si>
  <si>
    <t>Transplant: BMT</t>
  </si>
  <si>
    <t>Transplant: CBT</t>
  </si>
  <si>
    <t>Transplant: PBSC</t>
  </si>
  <si>
    <t>Transplant: Unspecified</t>
  </si>
  <si>
    <t>Circle back</t>
  </si>
  <si>
    <t>BMT</t>
  </si>
  <si>
    <t>CBT</t>
  </si>
  <si>
    <t>PBSC</t>
  </si>
  <si>
    <t>Stem cell source</t>
  </si>
  <si>
    <t>N patients with and without mortality by type</t>
  </si>
  <si>
    <t>No OM</t>
  </si>
  <si>
    <t>No RM</t>
  </si>
  <si>
    <t>No NRM</t>
  </si>
  <si>
    <t>HHV-6 positive</t>
  </si>
  <si>
    <t>HHV-6 negative</t>
  </si>
  <si>
    <t>Follow up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</si>
</sst>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
      <u/>
      <sz val="12"/>
      <color theme="10"/>
      <name val="Calibri"/>
      <family val="2"/>
      <scheme val="minor"/>
    </font>
    <font>
      <sz val="11"/>
      <color theme="1"/>
      <name val="Calibri"/>
      <family val="2"/>
      <scheme val="minor"/>
    </font>
    <font>
      <sz val="11"/>
      <color theme="1"/>
      <name val="Times New Roman"/>
      <family val="1"/>
    </font>
    <font>
      <sz val="12"/>
      <color theme="1"/>
      <name val="Calibri"/>
      <family val="2"/>
      <scheme val="minor"/>
    </font>
    <font>
      <sz val="10"/>
      <color theme="1"/>
      <name val="Calibri"/>
      <family val="2"/>
    </font>
    <font>
      <sz val="12"/>
      <color theme="1"/>
      <name val="&quot;Helvetica Neue&quot;"/>
    </font>
    <font>
      <b/>
      <sz val="12"/>
      <color rgb="FF000000"/>
      <name val="Calibri"/>
      <family val="2"/>
      <scheme val="minor"/>
    </font>
    <font>
      <sz val="12"/>
      <color rgb="FF000000"/>
      <name val="Calibri"/>
      <family val="2"/>
      <scheme val="minor"/>
    </font>
    <font>
      <sz val="10"/>
      <color theme="1"/>
      <name val="Times New Roman"/>
      <family val="1"/>
    </font>
    <font>
      <sz val="10"/>
      <color rgb="FF000000"/>
      <name val="Times New Roman"/>
      <family val="1"/>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6">
    <border>
      <left/>
      <right/>
      <top/>
      <bottom/>
      <diagonal/>
    </border>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505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7" fillId="0" borderId="0" applyNumberFormat="0" applyFill="0" applyBorder="0" applyAlignment="0" applyProtection="0"/>
    <xf numFmtId="9" fontId="40" fillId="0" borderId="0" applyFont="0" applyFill="0" applyBorder="0" applyAlignment="0" applyProtection="0"/>
  </cellStyleXfs>
  <cellXfs count="167">
    <xf numFmtId="0" fontId="0" fillId="0" borderId="0" xfId="0"/>
    <xf numFmtId="0" fontId="16" fillId="0" borderId="0" xfId="0" applyFont="1"/>
    <xf numFmtId="0" fontId="17" fillId="0" borderId="0" xfId="0" applyFont="1"/>
    <xf numFmtId="0" fontId="18" fillId="0" borderId="0" xfId="0" applyFont="1"/>
    <xf numFmtId="0" fontId="16" fillId="0" borderId="0" xfId="0" applyFont="1" applyAlignment="1">
      <alignment horizontal="right"/>
    </xf>
    <xf numFmtId="0" fontId="19" fillId="0" borderId="0" xfId="0" applyFont="1"/>
    <xf numFmtId="0" fontId="18" fillId="0" borderId="0" xfId="0" applyFont="1" applyAlignment="1">
      <alignment wrapText="1"/>
    </xf>
    <xf numFmtId="0" fontId="20" fillId="0" borderId="0" xfId="0" applyFont="1" applyAlignment="1">
      <alignment wrapText="1"/>
    </xf>
    <xf numFmtId="0" fontId="20" fillId="0" borderId="0" xfId="0" applyFont="1"/>
    <xf numFmtId="0" fontId="20" fillId="0" borderId="0" xfId="0" applyFont="1" applyAlignment="1">
      <alignment horizontal="right" wrapText="1"/>
    </xf>
    <xf numFmtId="0" fontId="17" fillId="0" borderId="0" xfId="0" applyFont="1" applyAlignment="1">
      <alignment wrapText="1"/>
    </xf>
    <xf numFmtId="0" fontId="21" fillId="0" borderId="0" xfId="0" applyFont="1"/>
    <xf numFmtId="0" fontId="22" fillId="2" borderId="0" xfId="0" applyFont="1" applyFill="1"/>
    <xf numFmtId="0" fontId="23" fillId="0" borderId="0" xfId="0" applyFont="1" applyAlignment="1">
      <alignment wrapText="1"/>
    </xf>
    <xf numFmtId="0" fontId="23" fillId="0" borderId="0" xfId="0" applyFont="1" applyAlignment="1">
      <alignment horizontal="right" wrapText="1"/>
    </xf>
    <xf numFmtId="0" fontId="17" fillId="0" borderId="0" xfId="0" applyFont="1" applyAlignment="1">
      <alignment horizontal="right" wrapText="1"/>
    </xf>
    <xf numFmtId="0" fontId="24" fillId="0" borderId="0" xfId="0" applyFont="1" applyAlignment="1">
      <alignment wrapText="1"/>
    </xf>
    <xf numFmtId="0" fontId="25" fillId="0" borderId="0" xfId="0" applyFont="1"/>
    <xf numFmtId="49" fontId="18" fillId="0" borderId="0" xfId="0" applyNumberFormat="1" applyFont="1" applyAlignment="1">
      <alignment vertical="top"/>
    </xf>
    <xf numFmtId="0" fontId="18" fillId="0" borderId="0" xfId="0" applyFont="1" applyAlignment="1">
      <alignment horizontal="right"/>
    </xf>
    <xf numFmtId="0" fontId="29" fillId="0" borderId="0" xfId="0" applyFont="1"/>
    <xf numFmtId="49" fontId="32" fillId="0" borderId="0" xfId="0" applyNumberFormat="1" applyFont="1" applyAlignment="1">
      <alignment vertical="top"/>
    </xf>
    <xf numFmtId="0" fontId="33" fillId="0" borderId="0" xfId="0" applyFont="1" applyAlignment="1">
      <alignment horizontal="center" vertical="top"/>
    </xf>
    <xf numFmtId="0" fontId="18" fillId="0" borderId="1" xfId="0" applyFont="1" applyBorder="1"/>
    <xf numFmtId="1" fontId="18" fillId="0" borderId="1" xfId="0" applyNumberFormat="1" applyFont="1" applyBorder="1"/>
    <xf numFmtId="0" fontId="0" fillId="0" borderId="1" xfId="0" applyBorder="1"/>
    <xf numFmtId="0" fontId="30" fillId="0" borderId="1" xfId="0" applyFont="1" applyBorder="1" applyAlignment="1">
      <alignment vertical="top"/>
    </xf>
    <xf numFmtId="0" fontId="30" fillId="0" borderId="1" xfId="0" applyFont="1" applyBorder="1" applyAlignment="1">
      <alignment horizontal="center" vertical="top"/>
    </xf>
    <xf numFmtId="0" fontId="20" fillId="0" borderId="1" xfId="0" applyFont="1" applyBorder="1"/>
    <xf numFmtId="0" fontId="15" fillId="0" borderId="0" xfId="0" applyFont="1"/>
    <xf numFmtId="0" fontId="27" fillId="0" borderId="0" xfId="0" applyFont="1"/>
    <xf numFmtId="0" fontId="35" fillId="0" borderId="0" xfId="0" applyFont="1"/>
    <xf numFmtId="0" fontId="23" fillId="0" borderId="0" xfId="0" applyFont="1"/>
    <xf numFmtId="0" fontId="36" fillId="0" borderId="0" xfId="0" applyFont="1"/>
    <xf numFmtId="0" fontId="28" fillId="0" borderId="0" xfId="0" applyFont="1"/>
    <xf numFmtId="0" fontId="13" fillId="0" borderId="0" xfId="0" applyFont="1" applyAlignment="1">
      <alignment horizontal="right" wrapText="1"/>
    </xf>
    <xf numFmtId="0" fontId="12" fillId="0" borderId="0" xfId="0" applyFont="1"/>
    <xf numFmtId="0" fontId="11" fillId="0" borderId="0" xfId="0" applyFont="1"/>
    <xf numFmtId="0" fontId="15" fillId="3" borderId="0" xfId="0" applyFont="1" applyFill="1"/>
    <xf numFmtId="0" fontId="9" fillId="3" borderId="0" xfId="0" applyFont="1" applyFill="1"/>
    <xf numFmtId="0" fontId="15" fillId="0" borderId="1" xfId="0" applyFont="1" applyBorder="1"/>
    <xf numFmtId="0" fontId="27" fillId="0" borderId="1" xfId="0" applyFont="1" applyBorder="1"/>
    <xf numFmtId="0" fontId="9" fillId="3" borderId="1" xfId="0" applyFont="1" applyFill="1" applyBorder="1"/>
    <xf numFmtId="0" fontId="9" fillId="0" borderId="1" xfId="0" applyFont="1" applyBorder="1"/>
    <xf numFmtId="0" fontId="15" fillId="3" borderId="1" xfId="0" applyFont="1" applyFill="1" applyBorder="1"/>
    <xf numFmtId="0" fontId="35" fillId="0" borderId="1" xfId="0" applyFont="1" applyBorder="1"/>
    <xf numFmtId="0" fontId="14" fillId="0" borderId="1" xfId="0" applyFont="1" applyBorder="1"/>
    <xf numFmtId="0" fontId="12" fillId="0" borderId="1" xfId="0" applyFont="1" applyBorder="1"/>
    <xf numFmtId="0" fontId="11" fillId="3" borderId="1" xfId="0" applyFont="1" applyFill="1" applyBorder="1"/>
    <xf numFmtId="0" fontId="10" fillId="0" borderId="1" xfId="0" applyFont="1" applyBorder="1"/>
    <xf numFmtId="0" fontId="14" fillId="3" borderId="1" xfId="0" applyFont="1" applyFill="1" applyBorder="1"/>
    <xf numFmtId="0" fontId="31" fillId="0" borderId="1" xfId="0" applyFont="1" applyBorder="1"/>
    <xf numFmtId="0" fontId="15" fillId="0" borderId="2" xfId="0" applyFont="1" applyBorder="1"/>
    <xf numFmtId="0" fontId="37" fillId="0" borderId="0" xfId="1"/>
    <xf numFmtId="0" fontId="8" fillId="0" borderId="0" xfId="0" applyFont="1"/>
    <xf numFmtId="0" fontId="8" fillId="3" borderId="1" xfId="0" applyFont="1" applyFill="1" applyBorder="1"/>
    <xf numFmtId="0" fontId="8" fillId="0" borderId="1" xfId="0" applyFont="1" applyBorder="1"/>
    <xf numFmtId="0" fontId="7" fillId="0" borderId="0" xfId="0" applyFont="1"/>
    <xf numFmtId="0" fontId="6" fillId="0" borderId="0" xfId="0" applyFont="1"/>
    <xf numFmtId="0" fontId="39" fillId="0" borderId="1" xfId="0" applyFont="1" applyBorder="1" applyAlignment="1">
      <alignment vertical="center" wrapText="1"/>
    </xf>
    <xf numFmtId="9" fontId="15" fillId="0" borderId="0" xfId="2" applyFont="1"/>
    <xf numFmtId="9" fontId="15" fillId="0" borderId="2" xfId="2" applyFont="1" applyBorder="1"/>
    <xf numFmtId="9" fontId="0" fillId="0" borderId="0" xfId="0" applyNumberFormat="1"/>
    <xf numFmtId="0" fontId="6" fillId="0" borderId="1" xfId="0" applyFont="1" applyBorder="1"/>
    <xf numFmtId="0" fontId="0" fillId="0" borderId="0" xfId="0" applyAlignment="1">
      <alignment horizontal="left"/>
    </xf>
    <xf numFmtId="0" fontId="5" fillId="0" borderId="0" xfId="0" applyFont="1"/>
    <xf numFmtId="9" fontId="15" fillId="0" borderId="1" xfId="2" applyFont="1" applyBorder="1"/>
    <xf numFmtId="0" fontId="36" fillId="0" borderId="2" xfId="0" applyFont="1" applyBorder="1"/>
    <xf numFmtId="0" fontId="0" fillId="0" borderId="2" xfId="0" applyBorder="1"/>
    <xf numFmtId="1" fontId="18" fillId="0" borderId="2" xfId="0" applyNumberFormat="1" applyFont="1" applyBorder="1"/>
    <xf numFmtId="0" fontId="4" fillId="0" borderId="0" xfId="0" applyFont="1"/>
    <xf numFmtId="0" fontId="34" fillId="0" borderId="1" xfId="0" applyFont="1" applyBorder="1" applyAlignment="1">
      <alignment vertical="center" wrapText="1"/>
    </xf>
    <xf numFmtId="1" fontId="4" fillId="0" borderId="0" xfId="0" applyNumberFormat="1" applyFont="1"/>
    <xf numFmtId="0" fontId="4" fillId="0" borderId="2" xfId="0" applyFont="1" applyBorder="1"/>
    <xf numFmtId="0" fontId="4" fillId="0" borderId="1" xfId="0" applyFont="1" applyBorder="1"/>
    <xf numFmtId="0" fontId="34" fillId="0" borderId="0" xfId="0" applyFont="1" applyAlignment="1">
      <alignment wrapText="1"/>
    </xf>
    <xf numFmtId="0" fontId="0" fillId="0" borderId="0" xfId="0" applyAlignment="1">
      <alignment wrapText="1"/>
    </xf>
    <xf numFmtId="0" fontId="43" fillId="0" borderId="1" xfId="0" applyFont="1" applyBorder="1" applyAlignment="1">
      <alignment vertical="center" wrapText="1"/>
    </xf>
    <xf numFmtId="0" fontId="4" fillId="0" borderId="1" xfId="0" applyFont="1" applyBorder="1" applyAlignment="1">
      <alignment vertical="top"/>
    </xf>
    <xf numFmtId="0" fontId="42" fillId="0" borderId="1" xfId="0" applyFont="1" applyBorder="1" applyAlignment="1">
      <alignment vertical="top"/>
    </xf>
    <xf numFmtId="0" fontId="18" fillId="0" borderId="2" xfId="0" applyFont="1" applyBorder="1"/>
    <xf numFmtId="0" fontId="44" fillId="0" borderId="1" xfId="0" applyFont="1" applyBorder="1" applyAlignment="1">
      <alignment vertical="top"/>
    </xf>
    <xf numFmtId="0" fontId="39" fillId="0" borderId="1" xfId="0" applyFont="1" applyBorder="1" applyAlignment="1">
      <alignment horizontal="left" vertical="center" wrapText="1"/>
    </xf>
    <xf numFmtId="0" fontId="4" fillId="0" borderId="1" xfId="0" applyFont="1" applyBorder="1" applyAlignment="1">
      <alignment vertical="center"/>
    </xf>
    <xf numFmtId="0" fontId="44" fillId="0" borderId="1" xfId="0" applyFont="1" applyBorder="1" applyAlignment="1">
      <alignment vertical="center"/>
    </xf>
    <xf numFmtId="1" fontId="0" fillId="0" borderId="0" xfId="0" applyNumberFormat="1"/>
    <xf numFmtId="0" fontId="4" fillId="0" borderId="0" xfId="0" applyFont="1" applyAlignment="1">
      <alignment horizontal="left"/>
    </xf>
    <xf numFmtId="0" fontId="24" fillId="0" borderId="0" xfId="0" applyFont="1" applyAlignment="1">
      <alignment horizontal="left" wrapText="1"/>
    </xf>
    <xf numFmtId="0" fontId="17" fillId="0" borderId="0" xfId="0" applyFont="1" applyAlignment="1">
      <alignment horizontal="left"/>
    </xf>
    <xf numFmtId="0" fontId="38" fillId="0" borderId="0" xfId="0" applyFont="1" applyAlignment="1">
      <alignment horizontal="left"/>
    </xf>
    <xf numFmtId="0" fontId="18" fillId="0" borderId="1" xfId="0" applyFont="1" applyBorder="1" applyAlignment="1">
      <alignment vertical="top"/>
    </xf>
    <xf numFmtId="0" fontId="6" fillId="0" borderId="13" xfId="0" applyFont="1" applyBorder="1"/>
    <xf numFmtId="0" fontId="3" fillId="0" borderId="0" xfId="0" applyFont="1"/>
    <xf numFmtId="0" fontId="3" fillId="0" borderId="1" xfId="0" applyFont="1" applyBorder="1"/>
    <xf numFmtId="0" fontId="44" fillId="0" borderId="1" xfId="0" applyFont="1" applyBorder="1"/>
    <xf numFmtId="0" fontId="45" fillId="0" borderId="4" xfId="0" applyFont="1" applyBorder="1" applyAlignment="1">
      <alignment horizontal="left" vertical="center" wrapText="1"/>
    </xf>
    <xf numFmtId="0" fontId="45" fillId="0" borderId="5" xfId="0" applyFont="1" applyBorder="1" applyAlignment="1">
      <alignment vertical="center" wrapText="1"/>
    </xf>
    <xf numFmtId="0" fontId="45" fillId="0" borderId="5" xfId="0" applyFont="1" applyBorder="1" applyAlignment="1">
      <alignment horizontal="left" vertical="center" wrapText="1"/>
    </xf>
    <xf numFmtId="0" fontId="46" fillId="0" borderId="5" xfId="0" applyFont="1" applyBorder="1" applyAlignment="1">
      <alignment horizontal="center" vertical="center" wrapText="1"/>
    </xf>
    <xf numFmtId="0" fontId="46" fillId="0" borderId="6" xfId="0" applyFont="1" applyBorder="1" applyAlignment="1">
      <alignment horizontal="center" vertical="center" wrapText="1"/>
    </xf>
    <xf numFmtId="0" fontId="45" fillId="0" borderId="14" xfId="0" applyFont="1" applyBorder="1" applyAlignment="1">
      <alignment vertical="center" wrapText="1"/>
    </xf>
    <xf numFmtId="0" fontId="45" fillId="0" borderId="14" xfId="0" applyFont="1" applyBorder="1" applyAlignment="1">
      <alignment horizontal="left" vertical="center" wrapText="1"/>
    </xf>
    <xf numFmtId="0" fontId="47" fillId="0" borderId="14" xfId="0" applyFont="1" applyBorder="1"/>
    <xf numFmtId="0" fontId="47" fillId="0" borderId="6" xfId="0" applyFont="1" applyBorder="1"/>
    <xf numFmtId="0" fontId="45" fillId="0" borderId="10" xfId="0" applyFont="1" applyBorder="1" applyAlignment="1">
      <alignment horizontal="left" vertical="center" wrapText="1"/>
    </xf>
    <xf numFmtId="1" fontId="45" fillId="0" borderId="3" xfId="0" applyNumberFormat="1" applyFont="1" applyBorder="1" applyAlignment="1">
      <alignment vertical="center" wrapText="1"/>
    </xf>
    <xf numFmtId="0" fontId="45" fillId="0" borderId="3" xfId="0" applyFont="1" applyBorder="1" applyAlignment="1">
      <alignment horizontal="left" vertical="center" wrapText="1"/>
    </xf>
    <xf numFmtId="0" fontId="45" fillId="0" borderId="11" xfId="0" applyFont="1" applyBorder="1" applyAlignment="1">
      <alignment horizontal="left" vertical="center" wrapText="1"/>
    </xf>
    <xf numFmtId="0" fontId="45" fillId="0" borderId="15" xfId="0" applyFont="1" applyBorder="1" applyAlignment="1">
      <alignment vertical="center" wrapText="1"/>
    </xf>
    <xf numFmtId="0" fontId="45" fillId="0" borderId="15" xfId="0" applyFont="1" applyBorder="1" applyAlignment="1">
      <alignment horizontal="left" vertical="center" wrapText="1"/>
    </xf>
    <xf numFmtId="0" fontId="46" fillId="0" borderId="15" xfId="0" applyFont="1" applyBorder="1" applyAlignment="1">
      <alignment vertical="center" wrapText="1"/>
    </xf>
    <xf numFmtId="0" fontId="47" fillId="0" borderId="14" xfId="0" applyFont="1" applyBorder="1" applyAlignment="1">
      <alignment horizontal="left"/>
    </xf>
    <xf numFmtId="0" fontId="45" fillId="0" borderId="6" xfId="0" applyFont="1" applyBorder="1" applyAlignment="1">
      <alignment horizontal="left" vertical="center" wrapText="1"/>
    </xf>
    <xf numFmtId="0" fontId="47" fillId="0" borderId="15" xfId="0" applyFont="1" applyBorder="1" applyAlignment="1">
      <alignment horizontal="left"/>
    </xf>
    <xf numFmtId="0" fontId="47" fillId="0" borderId="15" xfId="0" applyFont="1" applyBorder="1"/>
    <xf numFmtId="0" fontId="41" fillId="0" borderId="15" xfId="0" applyFont="1" applyBorder="1"/>
    <xf numFmtId="0" fontId="47" fillId="0" borderId="12" xfId="0" applyFont="1" applyBorder="1"/>
    <xf numFmtId="0" fontId="45" fillId="0" borderId="12" xfId="0" applyFont="1" applyBorder="1" applyAlignment="1">
      <alignment horizontal="left" vertical="center" wrapText="1"/>
    </xf>
    <xf numFmtId="0" fontId="45" fillId="0" borderId="9" xfId="0" applyFont="1" applyBorder="1" applyAlignment="1">
      <alignment horizontal="left" vertical="center" wrapText="1"/>
    </xf>
    <xf numFmtId="0" fontId="45" fillId="0" borderId="4" xfId="0" applyFont="1" applyBorder="1" applyAlignment="1">
      <alignment vertical="center" wrapText="1"/>
    </xf>
    <xf numFmtId="0" fontId="45" fillId="0" borderId="12" xfId="0" applyFont="1" applyBorder="1" applyAlignment="1">
      <alignment vertical="center" wrapText="1"/>
    </xf>
    <xf numFmtId="0" fontId="45" fillId="0" borderId="8" xfId="0" applyFont="1" applyBorder="1" applyAlignment="1">
      <alignment horizontal="left" vertical="center" wrapText="1"/>
    </xf>
    <xf numFmtId="0" fontId="45" fillId="0" borderId="7" xfId="0" applyFont="1" applyBorder="1" applyAlignment="1">
      <alignment horizontal="left" vertical="center" wrapText="1"/>
    </xf>
    <xf numFmtId="0" fontId="41" fillId="0" borderId="0" xfId="0" applyFont="1" applyAlignment="1">
      <alignment vertical="top"/>
    </xf>
    <xf numFmtId="0" fontId="26" fillId="0" borderId="0" xfId="0" applyFont="1" applyAlignment="1">
      <alignment wrapText="1"/>
    </xf>
    <xf numFmtId="0" fontId="41" fillId="0" borderId="0" xfId="0" applyFont="1"/>
    <xf numFmtId="0" fontId="18" fillId="0" borderId="0" xfId="0" applyFont="1" applyAlignment="1">
      <alignment vertical="top"/>
    </xf>
    <xf numFmtId="0" fontId="18" fillId="0" borderId="2" xfId="0" applyFont="1" applyBorder="1" applyAlignment="1">
      <alignment vertical="top"/>
    </xf>
    <xf numFmtId="0" fontId="47" fillId="0" borderId="7" xfId="0" applyFont="1" applyBorder="1"/>
    <xf numFmtId="0" fontId="45" fillId="0" borderId="8" xfId="0" applyFont="1" applyBorder="1" applyAlignment="1">
      <alignment vertical="center" wrapText="1"/>
    </xf>
    <xf numFmtId="0" fontId="46" fillId="0" borderId="4" xfId="0" applyFont="1" applyBorder="1" applyAlignment="1">
      <alignment vertical="center" wrapText="1"/>
    </xf>
    <xf numFmtId="0" fontId="45" fillId="0" borderId="7" xfId="0" applyFont="1" applyBorder="1" applyAlignment="1">
      <alignment vertical="center" wrapText="1"/>
    </xf>
    <xf numFmtId="0" fontId="47" fillId="0" borderId="12" xfId="0" applyFont="1" applyBorder="1" applyAlignment="1">
      <alignment horizontal="left"/>
    </xf>
    <xf numFmtId="0" fontId="47" fillId="0" borderId="7" xfId="0" applyFont="1" applyBorder="1" applyAlignment="1">
      <alignment horizontal="left"/>
    </xf>
    <xf numFmtId="0" fontId="47" fillId="0" borderId="4" xfId="0" applyFont="1" applyBorder="1"/>
    <xf numFmtId="0" fontId="2" fillId="0" borderId="0" xfId="0" applyFont="1"/>
    <xf numFmtId="0" fontId="39" fillId="0" borderId="14" xfId="0" applyFont="1" applyBorder="1" applyAlignment="1">
      <alignment horizontal="left" vertical="center" wrapText="1"/>
    </xf>
    <xf numFmtId="0" fontId="39" fillId="0" borderId="15" xfId="0" applyFont="1" applyBorder="1" applyAlignment="1">
      <alignment horizontal="left" vertical="center" wrapText="1"/>
    </xf>
    <xf numFmtId="0" fontId="39" fillId="0" borderId="12" xfId="0" applyFont="1" applyBorder="1" applyAlignment="1">
      <alignment horizontal="left" vertical="center" wrapText="1"/>
    </xf>
    <xf numFmtId="0" fontId="45" fillId="0" borderId="14" xfId="0" applyFont="1" applyBorder="1" applyAlignment="1">
      <alignment horizontal="left"/>
    </xf>
    <xf numFmtId="0" fontId="45" fillId="0" borderId="15" xfId="0" applyFont="1" applyBorder="1" applyAlignment="1">
      <alignment horizontal="left"/>
    </xf>
    <xf numFmtId="0" fontId="45" fillId="0" borderId="12" xfId="0" applyFont="1" applyBorder="1" applyAlignment="1">
      <alignment horizontal="left"/>
    </xf>
    <xf numFmtId="0" fontId="45" fillId="0" borderId="14" xfId="0" applyFont="1" applyBorder="1"/>
    <xf numFmtId="0" fontId="45" fillId="0" borderId="15" xfId="0" applyFont="1" applyBorder="1"/>
    <xf numFmtId="0" fontId="45" fillId="0" borderId="12" xfId="0" applyFont="1" applyBorder="1"/>
    <xf numFmtId="0" fontId="1" fillId="0" borderId="0" xfId="0" applyFont="1" applyAlignment="1">
      <alignment horizontal="left"/>
    </xf>
    <xf numFmtId="0" fontId="1" fillId="0" borderId="2" xfId="0" applyFont="1" applyBorder="1" applyAlignment="1">
      <alignment horizontal="left"/>
    </xf>
    <xf numFmtId="0" fontId="18" fillId="0" borderId="2" xfId="0" applyFont="1" applyBorder="1" applyAlignment="1">
      <alignment horizontal="left"/>
    </xf>
    <xf numFmtId="0" fontId="6" fillId="0" borderId="3" xfId="0" applyFont="1" applyBorder="1"/>
    <xf numFmtId="0" fontId="0" fillId="0" borderId="3" xfId="0" applyBorder="1" applyAlignment="1">
      <alignment horizontal="right"/>
    </xf>
    <xf numFmtId="0" fontId="0" fillId="0" borderId="3" xfId="0" applyBorder="1"/>
    <xf numFmtId="0" fontId="1" fillId="0" borderId="1" xfId="0" applyFont="1" applyBorder="1" applyAlignment="1">
      <alignment horizontal="left"/>
    </xf>
    <xf numFmtId="0" fontId="6" fillId="0" borderId="12" xfId="0" applyFont="1" applyBorder="1"/>
    <xf numFmtId="0" fontId="0" fillId="0" borderId="12" xfId="0" applyBorder="1" applyAlignment="1">
      <alignment horizontal="right"/>
    </xf>
    <xf numFmtId="0" fontId="1" fillId="0" borderId="2" xfId="0" applyFont="1" applyBorder="1"/>
    <xf numFmtId="0" fontId="1" fillId="0" borderId="9" xfId="0" applyFont="1" applyBorder="1"/>
    <xf numFmtId="0" fontId="1" fillId="0" borderId="12" xfId="0" applyFont="1" applyBorder="1"/>
    <xf numFmtId="0" fontId="1" fillId="0" borderId="9" xfId="0" applyFont="1" applyBorder="1" applyAlignment="1">
      <alignment horizontal="left"/>
    </xf>
    <xf numFmtId="0" fontId="45" fillId="0" borderId="14" xfId="0" applyFont="1" applyBorder="1" applyAlignment="1">
      <alignment horizontal="left" vertical="center"/>
    </xf>
    <xf numFmtId="0" fontId="45" fillId="0" borderId="15" xfId="0" applyFont="1" applyBorder="1" applyAlignment="1">
      <alignment horizontal="left" vertical="center"/>
    </xf>
    <xf numFmtId="0" fontId="45" fillId="0" borderId="12" xfId="0" applyFont="1" applyBorder="1" applyAlignment="1">
      <alignment horizontal="left" vertical="center"/>
    </xf>
    <xf numFmtId="0" fontId="45" fillId="0" borderId="14" xfId="0" applyFont="1" applyBorder="1" applyAlignment="1">
      <alignment horizontal="left" vertical="center" wrapText="1"/>
    </xf>
    <xf numFmtId="0" fontId="45" fillId="0" borderId="15" xfId="0" applyFont="1" applyBorder="1" applyAlignment="1">
      <alignment horizontal="left" vertical="center" wrapText="1"/>
    </xf>
    <xf numFmtId="0" fontId="45" fillId="0" borderId="12" xfId="0" applyFont="1" applyBorder="1" applyAlignment="1">
      <alignment horizontal="left" vertical="center" wrapText="1"/>
    </xf>
    <xf numFmtId="0" fontId="45" fillId="0" borderId="7" xfId="0" applyFont="1" applyBorder="1" applyAlignment="1">
      <alignment horizontal="left" vertical="center" wrapText="1"/>
    </xf>
    <xf numFmtId="0" fontId="45" fillId="0" borderId="4" xfId="0" applyFont="1" applyBorder="1" applyAlignment="1">
      <alignment horizontal="left" vertical="center" wrapText="1"/>
    </xf>
    <xf numFmtId="0" fontId="45" fillId="0" borderId="8" xfId="0" applyFont="1" applyBorder="1" applyAlignment="1">
      <alignment horizontal="left" vertical="center" wrapText="1"/>
    </xf>
  </cellXfs>
  <cellStyles count="3">
    <cellStyle name="Hyperlink" xfId="1" builtinId="8"/>
    <cellStyle name="Normal" xfId="0" builtinId="0"/>
    <cellStyle name="Percent" xfId="2" builtinId="5"/>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60"/>
  <sheetViews>
    <sheetView topLeftCell="B1" zoomScale="110" zoomScaleNormal="110" workbookViewId="0">
      <pane ySplit="1" topLeftCell="A2" activePane="bottomLeft" state="frozen"/>
      <selection activeCell="B1" sqref="B1"/>
      <selection pane="bottomLeft" activeCell="M28" sqref="M28"/>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18.83203125" customWidth="1"/>
    <col min="7" max="7" width="8.6640625" customWidth="1"/>
    <col min="8" max="8" width="11.1640625" customWidth="1"/>
    <col min="9" max="9" width="37" customWidth="1"/>
    <col min="10" max="11" width="7.83203125" customWidth="1"/>
    <col min="12" max="12" width="31.33203125" customWidth="1"/>
    <col min="13" max="13" width="7" customWidth="1"/>
    <col min="14" max="14" width="49.5" customWidth="1"/>
    <col min="15" max="15" width="7.5" customWidth="1"/>
    <col min="16" max="16" width="11.1640625" customWidth="1"/>
    <col min="17" max="17" width="10.83203125"/>
    <col min="18" max="27" width="11.1640625" customWidth="1"/>
  </cols>
  <sheetData>
    <row r="1" spans="1:23" ht="16">
      <c r="A1" s="1" t="s">
        <v>0</v>
      </c>
      <c r="B1" s="1" t="s">
        <v>1</v>
      </c>
      <c r="C1" s="1" t="s">
        <v>2</v>
      </c>
      <c r="D1" s="2" t="s">
        <v>3</v>
      </c>
      <c r="E1" s="2" t="s">
        <v>4</v>
      </c>
      <c r="F1" s="2" t="s">
        <v>5</v>
      </c>
      <c r="G1" s="3" t="s">
        <v>6</v>
      </c>
      <c r="H1" s="2" t="s">
        <v>7</v>
      </c>
      <c r="I1" s="54" t="s">
        <v>3634</v>
      </c>
      <c r="Q1" s="1"/>
      <c r="R1" s="1"/>
      <c r="S1" s="1"/>
      <c r="T1" s="2"/>
      <c r="U1" s="2"/>
      <c r="V1" s="2"/>
      <c r="W1" s="3"/>
    </row>
    <row r="2" spans="1:23" ht="16">
      <c r="A2" s="4">
        <v>38243840</v>
      </c>
      <c r="B2" s="1" t="s">
        <v>3616</v>
      </c>
      <c r="C2" s="4">
        <v>2024</v>
      </c>
      <c r="D2" s="53" t="s">
        <v>3625</v>
      </c>
      <c r="E2" s="3" t="s">
        <v>10</v>
      </c>
      <c r="G2" s="3" t="s">
        <v>3624</v>
      </c>
      <c r="H2" s="3" t="s">
        <v>11</v>
      </c>
      <c r="I2" s="3" t="s">
        <v>3635</v>
      </c>
      <c r="U2" s="54"/>
      <c r="W2" s="54"/>
    </row>
    <row r="3" spans="1:23" ht="16">
      <c r="A3" s="4">
        <v>38228644</v>
      </c>
      <c r="B3" s="1" t="s">
        <v>2761</v>
      </c>
      <c r="C3" s="4">
        <v>2024</v>
      </c>
      <c r="D3" s="5" t="s">
        <v>3627</v>
      </c>
      <c r="E3" s="3" t="s">
        <v>10</v>
      </c>
      <c r="G3" s="3" t="s">
        <v>3624</v>
      </c>
      <c r="H3" s="2" t="s">
        <v>15</v>
      </c>
      <c r="I3" s="2" t="s">
        <v>16</v>
      </c>
      <c r="U3" s="54"/>
      <c r="V3" s="6"/>
      <c r="W3" s="54"/>
    </row>
    <row r="4" spans="1:23" ht="16">
      <c r="A4" s="4">
        <v>37532126</v>
      </c>
      <c r="B4" s="1" t="s">
        <v>8</v>
      </c>
      <c r="C4" s="4">
        <v>2023</v>
      </c>
      <c r="D4" s="5" t="s">
        <v>9</v>
      </c>
      <c r="E4" s="3" t="s">
        <v>10</v>
      </c>
      <c r="H4" s="2" t="s">
        <v>19</v>
      </c>
      <c r="I4" s="2" t="s">
        <v>20</v>
      </c>
      <c r="U4" s="54"/>
      <c r="W4" s="54"/>
    </row>
    <row r="5" spans="1:23" ht="16">
      <c r="A5" s="4">
        <v>37279857</v>
      </c>
      <c r="B5" s="1" t="s">
        <v>27</v>
      </c>
      <c r="C5" s="4">
        <v>2023</v>
      </c>
      <c r="D5" s="5" t="s">
        <v>28</v>
      </c>
      <c r="E5" s="3" t="s">
        <v>10</v>
      </c>
      <c r="G5" t="s">
        <v>14</v>
      </c>
      <c r="H5" s="3" t="s">
        <v>23</v>
      </c>
      <c r="U5" s="54"/>
      <c r="W5" s="54"/>
    </row>
    <row r="6" spans="1:23" ht="17">
      <c r="A6" s="4">
        <v>37067947</v>
      </c>
      <c r="B6" s="1" t="s">
        <v>12</v>
      </c>
      <c r="C6" s="4">
        <v>2023</v>
      </c>
      <c r="D6" s="5" t="s">
        <v>13</v>
      </c>
      <c r="E6" s="3" t="s">
        <v>10</v>
      </c>
      <c r="G6" t="s">
        <v>14</v>
      </c>
      <c r="H6" s="3" t="s">
        <v>23</v>
      </c>
      <c r="I6" s="6" t="str" cm="1">
        <f t="array" ref="I6:I45">_xlfn.UNIQUE(F:F)</f>
        <v>Reason for exclusion</v>
      </c>
      <c r="L6" s="7" t="s">
        <v>26</v>
      </c>
      <c r="U6" s="54"/>
      <c r="V6" s="54"/>
      <c r="W6" s="54"/>
    </row>
    <row r="7" spans="1:23" ht="34">
      <c r="A7" s="4">
        <v>34523191</v>
      </c>
      <c r="B7" s="1" t="s">
        <v>24</v>
      </c>
      <c r="C7" s="4">
        <v>2023</v>
      </c>
      <c r="D7" s="5" t="s">
        <v>25</v>
      </c>
      <c r="E7" s="3" t="s">
        <v>10</v>
      </c>
      <c r="G7" t="s">
        <v>14</v>
      </c>
      <c r="H7" s="3" t="s">
        <v>23</v>
      </c>
      <c r="I7" s="6">
        <v>0</v>
      </c>
      <c r="J7" s="3">
        <f t="shared" ref="J7:J45" si="0">COUNTIF(F:F,I7)</f>
        <v>0</v>
      </c>
      <c r="L7" s="7" t="s">
        <v>30</v>
      </c>
      <c r="M7" s="8">
        <f>COUNTA(A:A)-1</f>
        <v>1319</v>
      </c>
      <c r="U7" s="54"/>
      <c r="V7" s="54"/>
      <c r="W7" s="54"/>
    </row>
    <row r="8" spans="1:23" ht="34" customHeight="1">
      <c r="A8" s="4">
        <v>34390240</v>
      </c>
      <c r="B8" s="1" t="s">
        <v>17</v>
      </c>
      <c r="C8" s="4">
        <v>2022</v>
      </c>
      <c r="D8" s="5" t="s">
        <v>18</v>
      </c>
      <c r="E8" s="3" t="s">
        <v>10</v>
      </c>
      <c r="G8" t="s">
        <v>14</v>
      </c>
      <c r="H8" s="3" t="s">
        <v>23</v>
      </c>
      <c r="I8" s="6" t="str">
        <v>Review</v>
      </c>
      <c r="J8" s="3">
        <f t="shared" si="0"/>
        <v>212</v>
      </c>
      <c r="L8" s="7" t="s">
        <v>34</v>
      </c>
      <c r="M8" s="8">
        <f>COUNTIF(E:E,"Yes")</f>
        <v>1063</v>
      </c>
      <c r="N8" s="7" t="s">
        <v>35</v>
      </c>
      <c r="O8">
        <f>SUM(O9:O10)</f>
        <v>1063</v>
      </c>
      <c r="U8" s="54"/>
      <c r="W8" s="54"/>
    </row>
    <row r="9" spans="1:23" ht="34">
      <c r="A9" s="4">
        <v>34298243</v>
      </c>
      <c r="B9" s="1" t="s">
        <v>21</v>
      </c>
      <c r="C9" s="4">
        <v>2021</v>
      </c>
      <c r="D9" s="5" t="s">
        <v>22</v>
      </c>
      <c r="E9" s="3" t="s">
        <v>10</v>
      </c>
      <c r="G9" t="s">
        <v>14</v>
      </c>
      <c r="H9" s="3" t="s">
        <v>23</v>
      </c>
      <c r="I9" s="6" t="str">
        <v>Does not assess cohort of HSC recipient</v>
      </c>
      <c r="J9" s="3">
        <f t="shared" si="0"/>
        <v>17</v>
      </c>
      <c r="N9" s="9" t="s">
        <v>39</v>
      </c>
      <c r="O9" s="8">
        <f>SUM(J8:J9,J11:J36,J38:J45)</f>
        <v>1031</v>
      </c>
      <c r="U9" s="54"/>
      <c r="V9" s="54"/>
      <c r="W9" s="54"/>
    </row>
    <row r="10" spans="1:23" ht="34">
      <c r="A10" s="4">
        <v>33533068</v>
      </c>
      <c r="B10" s="1" t="s">
        <v>31</v>
      </c>
      <c r="C10" s="4">
        <v>2021</v>
      </c>
      <c r="D10" s="5" t="s">
        <v>32</v>
      </c>
      <c r="E10" s="3" t="s">
        <v>10</v>
      </c>
      <c r="G10" t="s">
        <v>14</v>
      </c>
      <c r="H10" s="3" t="s">
        <v>23</v>
      </c>
      <c r="I10" s="6" t="str">
        <v>Mortality data not detailed for HHV-6 pos vs HHV-6 neg</v>
      </c>
      <c r="J10" s="3">
        <f t="shared" si="0"/>
        <v>30</v>
      </c>
      <c r="N10" s="35" t="s">
        <v>3604</v>
      </c>
      <c r="O10" s="8">
        <f>SUM(J10,J37)</f>
        <v>32</v>
      </c>
      <c r="U10" s="54"/>
      <c r="W10" s="54"/>
    </row>
    <row r="11" spans="1:23" ht="19" customHeight="1">
      <c r="A11" s="4">
        <v>33378595</v>
      </c>
      <c r="B11" s="1" t="s">
        <v>187</v>
      </c>
      <c r="C11" s="4">
        <v>2021</v>
      </c>
      <c r="D11" s="5" t="s">
        <v>188</v>
      </c>
      <c r="E11" s="3" t="s">
        <v>10</v>
      </c>
      <c r="H11" s="3" t="s">
        <v>23</v>
      </c>
      <c r="I11" s="6" t="str">
        <v>Case report</v>
      </c>
      <c r="J11" s="3">
        <f t="shared" si="0"/>
        <v>278</v>
      </c>
      <c r="L11" s="7" t="s">
        <v>46</v>
      </c>
      <c r="M11" s="8">
        <f>COUNTIF(E:E,"No")</f>
        <v>256</v>
      </c>
      <c r="N11" t="str">
        <f>IF(M7-M8&lt;&gt;M11,TEXT("&lt;- Values do not add up ("&amp;M6-M7&amp;")",),"")</f>
        <v/>
      </c>
    </row>
    <row r="12" spans="1:23" ht="23" customHeight="1">
      <c r="A12" s="4">
        <v>33326670</v>
      </c>
      <c r="B12" s="1" t="s">
        <v>269</v>
      </c>
      <c r="C12" s="4">
        <v>2021</v>
      </c>
      <c r="D12" s="5" t="s">
        <v>270</v>
      </c>
      <c r="E12" s="3" t="s">
        <v>10</v>
      </c>
      <c r="H12" s="3" t="s">
        <v>23</v>
      </c>
      <c r="I12" s="6" t="str">
        <v>Assesses HHV-6A infection mechanisms</v>
      </c>
      <c r="J12" s="3">
        <f t="shared" si="0"/>
        <v>1</v>
      </c>
      <c r="L12" s="7" t="s">
        <v>50</v>
      </c>
      <c r="M12" s="8">
        <f>COUNTIF('Full-text review 2023 update'!G:G,"Yes")</f>
        <v>185</v>
      </c>
      <c r="N12" s="7" t="s">
        <v>35</v>
      </c>
      <c r="O12">
        <f>SUM(O13:O15)</f>
        <v>185</v>
      </c>
    </row>
    <row r="13" spans="1:23" ht="39" customHeight="1">
      <c r="A13" s="4">
        <v>33308840</v>
      </c>
      <c r="B13" s="1" t="s">
        <v>476</v>
      </c>
      <c r="C13" s="4">
        <v>2021</v>
      </c>
      <c r="D13" s="5" t="s">
        <v>477</v>
      </c>
      <c r="E13" s="3" t="s">
        <v>10</v>
      </c>
      <c r="H13" s="3" t="s">
        <v>23</v>
      </c>
      <c r="I13" s="6" t="str">
        <v>ME/CFS was criteria for inclusion in study</v>
      </c>
      <c r="J13" s="3">
        <f t="shared" si="0"/>
        <v>1</v>
      </c>
      <c r="N13" s="9" t="s">
        <v>54</v>
      </c>
      <c r="O13" s="7">
        <f>'Full-text review 2023 update'!O3</f>
        <v>146</v>
      </c>
    </row>
    <row r="14" spans="1:23" ht="34">
      <c r="A14" s="4">
        <v>33217174</v>
      </c>
      <c r="B14" s="1" t="s">
        <v>112</v>
      </c>
      <c r="C14" s="4">
        <v>2021</v>
      </c>
      <c r="D14" s="5" t="s">
        <v>113</v>
      </c>
      <c r="E14" s="3" t="s">
        <v>10</v>
      </c>
      <c r="H14" s="3" t="s">
        <v>23</v>
      </c>
      <c r="I14" s="6" t="str">
        <v>Not in English</v>
      </c>
      <c r="J14" s="3">
        <f t="shared" si="0"/>
        <v>5</v>
      </c>
      <c r="N14" s="9" t="s">
        <v>58</v>
      </c>
      <c r="O14" s="7">
        <f>'Full-text review 2023 update'!M3</f>
        <v>20</v>
      </c>
    </row>
    <row r="15" spans="1:23" ht="34">
      <c r="A15" s="4">
        <v>33133590</v>
      </c>
      <c r="B15" s="1" t="s">
        <v>540</v>
      </c>
      <c r="C15" s="4">
        <v>2020</v>
      </c>
      <c r="D15" s="5" t="s">
        <v>541</v>
      </c>
      <c r="E15" s="3" t="s">
        <v>10</v>
      </c>
      <c r="H15" s="3" t="s">
        <v>23</v>
      </c>
      <c r="I15" s="6" t="str">
        <v>Assesses CMV infection mechanisms</v>
      </c>
      <c r="J15" s="3">
        <f t="shared" si="0"/>
        <v>1</v>
      </c>
      <c r="N15" s="9" t="s">
        <v>62</v>
      </c>
      <c r="O15" s="7">
        <f>'Full-text review 2023 update'!K3</f>
        <v>19</v>
      </c>
      <c r="P15" s="8" t="s">
        <v>23</v>
      </c>
    </row>
    <row r="16" spans="1:23" ht="19" customHeight="1">
      <c r="A16" s="4">
        <v>33085827</v>
      </c>
      <c r="B16" s="1" t="s">
        <v>560</v>
      </c>
      <c r="C16" s="4">
        <v>2021</v>
      </c>
      <c r="D16" s="5" t="s">
        <v>561</v>
      </c>
      <c r="E16" s="3" t="s">
        <v>10</v>
      </c>
      <c r="H16" s="3" t="s">
        <v>23</v>
      </c>
      <c r="I16" s="6" t="str">
        <v>Assesses HHV-6 infection mechanisms</v>
      </c>
      <c r="J16" s="3">
        <f t="shared" si="0"/>
        <v>3</v>
      </c>
      <c r="L16" s="7" t="s">
        <v>66</v>
      </c>
      <c r="M16" s="8">
        <f>COUNTIF('Full-text review 2023 update'!G:G,"No")</f>
        <v>71</v>
      </c>
      <c r="N16" t="str">
        <f>IF(M11-M12&lt;&gt;M16,TEXT("&lt;- Values do not add up ("&amp;M11-M12&amp;")",),"")</f>
        <v/>
      </c>
    </row>
    <row r="17" spans="1:15" ht="34" customHeight="1">
      <c r="A17" s="4">
        <v>33053448</v>
      </c>
      <c r="B17" s="1" t="s">
        <v>282</v>
      </c>
      <c r="C17" s="4">
        <v>2021</v>
      </c>
      <c r="D17" s="5" t="s">
        <v>283</v>
      </c>
      <c r="E17" s="3" t="s">
        <v>10</v>
      </c>
      <c r="H17" s="3" t="s">
        <v>23</v>
      </c>
      <c r="I17" s="6" t="str">
        <v>Assesses HSV infection mechanisms</v>
      </c>
      <c r="J17" s="3">
        <f t="shared" si="0"/>
        <v>1</v>
      </c>
      <c r="L17" s="7" t="s">
        <v>70</v>
      </c>
      <c r="M17" cm="1">
        <f t="array" ref="M17">SUM(--(LEN(_xlfn.UNIQUE(_xlfn._xlws.FILTER('Included studies 2023 update'!C:C,'Included studies 2023 update'!E:E="Yes","")))&gt;0))</f>
        <v>43</v>
      </c>
      <c r="N17" s="7" t="str" cm="1">
        <f t="array" ref="N17:N25">_xlfn.UNIQUE('Included studies 2023 update'!F:F)</f>
        <v>Reason for exclusion</v>
      </c>
      <c r="O17">
        <f>SUM(O19:O25)</f>
        <v>43</v>
      </c>
    </row>
    <row r="18" spans="1:15" ht="17">
      <c r="A18" s="4">
        <v>32906131</v>
      </c>
      <c r="B18" s="1" t="s">
        <v>570</v>
      </c>
      <c r="C18" s="4">
        <v>2021</v>
      </c>
      <c r="D18" s="5" t="s">
        <v>571</v>
      </c>
      <c r="E18" s="3" t="s">
        <v>10</v>
      </c>
      <c r="H18" s="3" t="s">
        <v>23</v>
      </c>
      <c r="I18" s="6" t="str">
        <v>iciHHV-6 was criteria for inclusion in study</v>
      </c>
      <c r="J18" s="3">
        <f t="shared" si="0"/>
        <v>1</v>
      </c>
      <c r="N18" s="7">
        <v>0</v>
      </c>
      <c r="O18" s="8"/>
    </row>
    <row r="19" spans="1:15" ht="19" customHeight="1">
      <c r="A19" s="4">
        <v>32860815</v>
      </c>
      <c r="B19" s="1" t="s">
        <v>227</v>
      </c>
      <c r="C19" s="4">
        <v>2021</v>
      </c>
      <c r="D19" s="5" t="s">
        <v>228</v>
      </c>
      <c r="E19" s="3" t="s">
        <v>10</v>
      </c>
      <c r="H19" s="3" t="s">
        <v>23</v>
      </c>
      <c r="I19" s="6" t="str">
        <v>Eulogy</v>
      </c>
      <c r="J19" s="3">
        <f t="shared" si="0"/>
        <v>1</v>
      </c>
      <c r="N19" s="7" t="str">
        <v>Study includes 10 or fewer for either analysis group</v>
      </c>
      <c r="O19" s="8" cm="1">
        <f t="array" ref="O19">SUM(--(LEN(_xlfn.UNIQUE(_xlfn._xlws.FILTER('Included studies 2023 update'!C:C,'Included studies 2023 update'!F:F=N19,"")))&gt;0))</f>
        <v>10</v>
      </c>
    </row>
    <row r="20" spans="1:15" ht="34">
      <c r="A20" s="4">
        <v>32860467</v>
      </c>
      <c r="B20" s="1" t="s">
        <v>40</v>
      </c>
      <c r="C20" s="4">
        <v>2021</v>
      </c>
      <c r="D20" s="5" t="s">
        <v>41</v>
      </c>
      <c r="E20" s="3" t="s">
        <v>10</v>
      </c>
      <c r="H20" s="3" t="s">
        <v>23</v>
      </c>
      <c r="I20" s="6" t="str">
        <v>CNS dysfunction was criteria for inclusion in study</v>
      </c>
      <c r="J20" s="3">
        <f t="shared" si="0"/>
        <v>1</v>
      </c>
      <c r="N20" s="7" t="str">
        <v>Study used BALF for sample</v>
      </c>
      <c r="O20" s="8" cm="1">
        <f t="array" ref="O20">SUM(--(LEN(_xlfn.UNIQUE(_xlfn._xlws.FILTER('Included studies 2023 update'!C:C,'Included studies 2023 update'!F:F=N20,"")))&gt;0))</f>
        <v>1</v>
      </c>
    </row>
    <row r="21" spans="1:15" ht="34">
      <c r="A21" s="4">
        <v>32663845</v>
      </c>
      <c r="B21" s="1" t="s">
        <v>36</v>
      </c>
      <c r="C21" s="4">
        <v>2021</v>
      </c>
      <c r="D21" s="5" t="s">
        <v>37</v>
      </c>
      <c r="E21" s="3" t="s">
        <v>10</v>
      </c>
      <c r="H21" s="3" t="s">
        <v>23</v>
      </c>
      <c r="I21" s="6" t="str">
        <v>HHV-6 encephalitis was criteria for inclusion in study</v>
      </c>
      <c r="J21" s="3">
        <f t="shared" si="0"/>
        <v>1</v>
      </c>
      <c r="N21" s="7" t="str">
        <v>Study reports unclear HHV-6 mortality data</v>
      </c>
      <c r="O21" s="8" cm="1">
        <f t="array" ref="O21">SUM(--(LEN(_xlfn.UNIQUE(_xlfn._xlws.FILTER('Included studies 2023 update'!C:C,'Included studies 2023 update'!F:F=N21,"")))&gt;0))</f>
        <v>15</v>
      </c>
    </row>
    <row r="22" spans="1:15" ht="34">
      <c r="A22" s="4">
        <v>32450288</v>
      </c>
      <c r="B22" s="1" t="s">
        <v>566</v>
      </c>
      <c r="C22" s="4">
        <v>2020</v>
      </c>
      <c r="D22" s="5" t="s">
        <v>567</v>
      </c>
      <c r="E22" s="3" t="s">
        <v>10</v>
      </c>
      <c r="H22" s="3" t="s">
        <v>23</v>
      </c>
      <c r="I22" s="6" t="str">
        <v>Cohort of transplant recipients with no patients receiving HSC</v>
      </c>
      <c r="J22" s="3">
        <f t="shared" si="0"/>
        <v>133</v>
      </c>
      <c r="N22" t="str">
        <v>HHV-6 status not assessed systematically</v>
      </c>
      <c r="O22" s="8" cm="1">
        <f t="array" ref="O22">SUM(--(LEN(_xlfn.UNIQUE(_xlfn._xlws.FILTER('Included studies 2023 update'!C:C,'Included studies 2023 update'!F:F=N22,"")))&gt;0))</f>
        <v>8</v>
      </c>
    </row>
    <row r="23" spans="1:15" ht="19" customHeight="1">
      <c r="A23" s="4">
        <v>32386102</v>
      </c>
      <c r="B23" s="1" t="s">
        <v>498</v>
      </c>
      <c r="C23" s="4">
        <v>2020</v>
      </c>
      <c r="D23" s="5" t="s">
        <v>499</v>
      </c>
      <c r="E23" s="3" t="s">
        <v>10</v>
      </c>
      <c r="H23" s="3" t="s">
        <v>23</v>
      </c>
      <c r="I23" s="6" t="str">
        <v>No transplant</v>
      </c>
      <c r="J23" s="3">
        <f t="shared" si="0"/>
        <v>240</v>
      </c>
      <c r="N23" s="8" t="str">
        <v>Method of HHV-6 monitoring not discussed</v>
      </c>
      <c r="O23" s="8" cm="1">
        <f t="array" ref="O23">SUM(--(LEN(_xlfn.UNIQUE(_xlfn._xlws.FILTER('Included studies 2023 update'!C:C,'Included studies 2023 update'!F:F=N23,"")))&gt;0))</f>
        <v>4</v>
      </c>
    </row>
    <row r="24" spans="1:15" ht="17">
      <c r="A24" s="4">
        <v>32076716</v>
      </c>
      <c r="B24" s="1" t="s">
        <v>386</v>
      </c>
      <c r="C24" s="4">
        <v>2020</v>
      </c>
      <c r="D24" s="5" t="s">
        <v>387</v>
      </c>
      <c r="E24" s="3" t="s">
        <v>10</v>
      </c>
      <c r="H24" s="3" t="s">
        <v>23</v>
      </c>
      <c r="I24" s="6" t="str">
        <v>Not in Humans</v>
      </c>
      <c r="J24" s="3">
        <f t="shared" si="0"/>
        <v>2</v>
      </c>
      <c r="N24" t="str">
        <v>Study evaluates the same cohort as Hill 2018</v>
      </c>
      <c r="O24" s="8" cm="1">
        <f t="array" ref="O24">SUM(--(LEN(_xlfn.UNIQUE(_xlfn._xlws.FILTER('Included studies 2023 update'!C:C,'Included studies 2023 update'!F:F=N24,"")))&gt;0))</f>
        <v>1</v>
      </c>
    </row>
    <row r="25" spans="1:15" ht="17">
      <c r="A25" s="4">
        <v>32036434</v>
      </c>
      <c r="B25" s="1" t="s">
        <v>480</v>
      </c>
      <c r="C25" s="4">
        <v>2020</v>
      </c>
      <c r="D25" s="5" t="s">
        <v>481</v>
      </c>
      <c r="E25" s="3" t="s">
        <v>10</v>
      </c>
      <c r="H25" s="3" t="s">
        <v>23</v>
      </c>
      <c r="I25" s="6" t="str">
        <v>No Abstract</v>
      </c>
      <c r="J25" s="3">
        <f t="shared" si="0"/>
        <v>1</v>
      </c>
      <c r="N25" t="str">
        <v>Study reports no deaths for HHV-6 positive and negative patients, precluding analysis</v>
      </c>
      <c r="O25" s="8" cm="1">
        <f t="array" ref="O25">SUM(--(LEN(_xlfn.UNIQUE(_xlfn._xlws.FILTER('Included studies 2023 update'!C:C,'Included studies 2023 update'!F:F=N25,"")))&gt;0))</f>
        <v>4</v>
      </c>
    </row>
    <row r="26" spans="1:15" ht="19" customHeight="1">
      <c r="A26" s="4">
        <v>32017805</v>
      </c>
      <c r="B26" s="1" t="s">
        <v>354</v>
      </c>
      <c r="C26" s="4">
        <v>2020</v>
      </c>
      <c r="D26" s="5" t="s">
        <v>355</v>
      </c>
      <c r="E26" s="3" t="s">
        <v>10</v>
      </c>
      <c r="H26" s="3" t="s">
        <v>23</v>
      </c>
      <c r="I26" s="6" t="str">
        <v>Comment</v>
      </c>
      <c r="J26" s="3">
        <f t="shared" si="0"/>
        <v>23</v>
      </c>
      <c r="L26" s="7" t="s">
        <v>90</v>
      </c>
      <c r="M26" s="8" cm="1">
        <f t="array" ref="M26">SUM(--(LEN(_xlfn.UNIQUE(_xlfn._xlws.FILTER('Included studies 2023 update'!C:C,'Included studies 2023 update'!E:E="No","")))&gt;0))</f>
        <v>28</v>
      </c>
      <c r="N26" t="str">
        <f>IF(M16-M17&lt;&gt;M26,TEXT("&lt;- Values do not add up ("&amp;M16-M17&amp;")",),"")</f>
        <v/>
      </c>
    </row>
    <row r="27" spans="1:15" ht="17">
      <c r="A27" s="4">
        <v>32004700</v>
      </c>
      <c r="B27" s="1" t="s">
        <v>558</v>
      </c>
      <c r="C27" s="4">
        <v>2020</v>
      </c>
      <c r="D27" s="5" t="s">
        <v>559</v>
      </c>
      <c r="E27" s="3" t="s">
        <v>10</v>
      </c>
      <c r="H27" s="3" t="s">
        <v>23</v>
      </c>
      <c r="I27" s="6" t="str">
        <v>No HHV6</v>
      </c>
      <c r="J27" s="3">
        <f t="shared" si="0"/>
        <v>11</v>
      </c>
    </row>
    <row r="28" spans="1:15" ht="17">
      <c r="A28" s="4">
        <v>31782875</v>
      </c>
      <c r="B28" s="1" t="s">
        <v>568</v>
      </c>
      <c r="C28" s="4">
        <v>2020</v>
      </c>
      <c r="D28" s="5" t="s">
        <v>569</v>
      </c>
      <c r="E28" s="3" t="s">
        <v>10</v>
      </c>
      <c r="H28" s="3" t="s">
        <v>23</v>
      </c>
      <c r="I28" s="6" t="str">
        <v>Article not in English</v>
      </c>
      <c r="J28" s="3">
        <f t="shared" si="0"/>
        <v>34</v>
      </c>
    </row>
    <row r="29" spans="1:15" ht="17">
      <c r="A29" s="4">
        <v>31754252</v>
      </c>
      <c r="B29" s="1" t="s">
        <v>332</v>
      </c>
      <c r="C29" s="4">
        <v>2020</v>
      </c>
      <c r="D29" s="5" t="s">
        <v>333</v>
      </c>
      <c r="E29" s="3" t="s">
        <v>10</v>
      </c>
      <c r="H29" s="3" t="s">
        <v>23</v>
      </c>
      <c r="I29" s="6" t="str">
        <v>Retraction</v>
      </c>
      <c r="J29" s="3">
        <f t="shared" si="0"/>
        <v>2</v>
      </c>
    </row>
    <row r="30" spans="1:15" ht="17">
      <c r="A30" s="4">
        <v>31704470</v>
      </c>
      <c r="B30" s="1" t="s">
        <v>524</v>
      </c>
      <c r="C30" s="4">
        <v>2020</v>
      </c>
      <c r="D30" s="5" t="s">
        <v>525</v>
      </c>
      <c r="E30" s="3" t="s">
        <v>10</v>
      </c>
      <c r="H30" s="3" t="s">
        <v>23</v>
      </c>
      <c r="I30" s="6" t="str">
        <v>Focus is iciHHV6</v>
      </c>
      <c r="J30" s="3">
        <f t="shared" si="0"/>
        <v>13</v>
      </c>
    </row>
    <row r="31" spans="1:15" ht="17">
      <c r="A31" s="4">
        <v>31650671</v>
      </c>
      <c r="B31" s="1" t="s">
        <v>43</v>
      </c>
      <c r="C31" s="4">
        <v>2020</v>
      </c>
      <c r="D31" s="5" t="s">
        <v>44</v>
      </c>
      <c r="E31" s="3" t="s">
        <v>10</v>
      </c>
      <c r="H31" s="3" t="s">
        <v>23</v>
      </c>
      <c r="I31" s="6" t="str">
        <v>Book Chapter</v>
      </c>
      <c r="J31" s="3">
        <f t="shared" si="0"/>
        <v>1</v>
      </c>
    </row>
    <row r="32" spans="1:15" ht="17">
      <c r="A32" s="4">
        <v>31520510</v>
      </c>
      <c r="B32" s="1" t="s">
        <v>276</v>
      </c>
      <c r="C32" s="4">
        <v>2019</v>
      </c>
      <c r="D32" s="5" t="s">
        <v>277</v>
      </c>
      <c r="E32" s="3" t="s">
        <v>10</v>
      </c>
      <c r="H32" s="3" t="s">
        <v>23</v>
      </c>
      <c r="I32" s="6" t="str">
        <v>Clinical Guidelines</v>
      </c>
      <c r="J32" s="3">
        <f t="shared" si="0"/>
        <v>3</v>
      </c>
    </row>
    <row r="33" spans="1:10" ht="17">
      <c r="A33" s="4">
        <v>31449472</v>
      </c>
      <c r="B33" s="1" t="s">
        <v>51</v>
      </c>
      <c r="C33" s="4">
        <v>2019</v>
      </c>
      <c r="D33" s="5" t="s">
        <v>52</v>
      </c>
      <c r="E33" s="3" t="s">
        <v>10</v>
      </c>
      <c r="H33" s="3" t="s">
        <v>23</v>
      </c>
      <c r="I33" s="6" t="str">
        <v>Meta-Analysis</v>
      </c>
      <c r="J33" s="3">
        <f t="shared" si="0"/>
        <v>1</v>
      </c>
    </row>
    <row r="34" spans="1:10" ht="17">
      <c r="A34" s="4">
        <v>31380705</v>
      </c>
      <c r="B34" s="1" t="s">
        <v>546</v>
      </c>
      <c r="C34" s="4">
        <v>2019</v>
      </c>
      <c r="D34" s="5" t="s">
        <v>547</v>
      </c>
      <c r="E34" s="3" t="s">
        <v>10</v>
      </c>
      <c r="H34" s="3" t="s">
        <v>23</v>
      </c>
      <c r="I34" s="6" t="str">
        <v>No HHV-6 testing</v>
      </c>
      <c r="J34" s="3">
        <f t="shared" si="0"/>
        <v>1</v>
      </c>
    </row>
    <row r="35" spans="1:10" ht="17">
      <c r="A35" s="4">
        <v>31334297</v>
      </c>
      <c r="B35" s="1" t="s">
        <v>450</v>
      </c>
      <c r="C35" s="4">
        <v>2019</v>
      </c>
      <c r="D35" s="5" t="s">
        <v>451</v>
      </c>
      <c r="E35" s="3" t="s">
        <v>10</v>
      </c>
      <c r="H35" s="3" t="s">
        <v>23</v>
      </c>
      <c r="I35" s="6" t="str">
        <v>No abstract available</v>
      </c>
      <c r="J35" s="3">
        <f t="shared" si="0"/>
        <v>30</v>
      </c>
    </row>
    <row r="36" spans="1:10" ht="17">
      <c r="A36" s="4">
        <v>31075291</v>
      </c>
      <c r="B36" s="1" t="s">
        <v>265</v>
      </c>
      <c r="C36" s="4">
        <v>2019</v>
      </c>
      <c r="D36" s="5" t="s">
        <v>266</v>
      </c>
      <c r="E36" s="3" t="s">
        <v>10</v>
      </c>
      <c r="H36" s="3" t="s">
        <v>23</v>
      </c>
      <c r="I36" s="6" t="str">
        <v>Comparing testing</v>
      </c>
      <c r="J36" s="3">
        <f t="shared" si="0"/>
        <v>2</v>
      </c>
    </row>
    <row r="37" spans="1:10" ht="17">
      <c r="A37" s="4">
        <v>31063196</v>
      </c>
      <c r="B37" s="1" t="s">
        <v>83</v>
      </c>
      <c r="C37" s="4">
        <v>2019</v>
      </c>
      <c r="D37" s="5" t="s">
        <v>84</v>
      </c>
      <c r="E37" s="3" t="s">
        <v>10</v>
      </c>
      <c r="H37" s="3" t="s">
        <v>23</v>
      </c>
      <c r="I37" s="6" t="str">
        <v>No analysis of mortality</v>
      </c>
      <c r="J37" s="3">
        <f t="shared" si="0"/>
        <v>2</v>
      </c>
    </row>
    <row r="38" spans="1:10" ht="17">
      <c r="A38" s="4">
        <v>30875143</v>
      </c>
      <c r="B38" s="1" t="s">
        <v>374</v>
      </c>
      <c r="C38" s="4">
        <v>2019</v>
      </c>
      <c r="D38" s="5" t="s">
        <v>375</v>
      </c>
      <c r="E38" s="3" t="s">
        <v>10</v>
      </c>
      <c r="H38" s="3" t="s">
        <v>23</v>
      </c>
      <c r="I38" s="6" t="str">
        <v>Not on HHV6</v>
      </c>
      <c r="J38" s="3">
        <f t="shared" si="0"/>
        <v>2</v>
      </c>
    </row>
    <row r="39" spans="1:10" ht="17">
      <c r="A39" s="4">
        <v>30815505</v>
      </c>
      <c r="B39" s="1" t="s">
        <v>504</v>
      </c>
      <c r="C39" s="4">
        <v>2019</v>
      </c>
      <c r="D39" s="5" t="s">
        <v>505</v>
      </c>
      <c r="E39" s="3" t="s">
        <v>10</v>
      </c>
      <c r="H39" s="3" t="s">
        <v>23</v>
      </c>
      <c r="I39" s="6" t="str">
        <v>Duplicate</v>
      </c>
      <c r="J39" s="3">
        <f t="shared" si="0"/>
        <v>1</v>
      </c>
    </row>
    <row r="40" spans="1:10" ht="17">
      <c r="A40" s="4">
        <v>30773083</v>
      </c>
      <c r="B40" s="1" t="s">
        <v>67</v>
      </c>
      <c r="C40" s="4">
        <v>2019</v>
      </c>
      <c r="D40" s="5" t="s">
        <v>68</v>
      </c>
      <c r="E40" s="3" t="s">
        <v>10</v>
      </c>
      <c r="H40" s="3" t="s">
        <v>23</v>
      </c>
      <c r="I40" s="6" t="str">
        <v>Editorial</v>
      </c>
      <c r="J40" s="3">
        <f t="shared" si="0"/>
        <v>2</v>
      </c>
    </row>
    <row r="41" spans="1:10" ht="17">
      <c r="A41" s="4">
        <v>30742492</v>
      </c>
      <c r="B41" s="1" t="s">
        <v>500</v>
      </c>
      <c r="C41" s="4">
        <v>2019</v>
      </c>
      <c r="D41" s="5" t="s">
        <v>501</v>
      </c>
      <c r="E41" s="3" t="s">
        <v>10</v>
      </c>
      <c r="H41" s="3" t="s">
        <v>23</v>
      </c>
      <c r="I41" s="6" t="str">
        <v>Focus on testing</v>
      </c>
      <c r="J41" s="3">
        <f t="shared" si="0"/>
        <v>2</v>
      </c>
    </row>
    <row r="42" spans="1:10" ht="17">
      <c r="A42" s="4">
        <v>30696997</v>
      </c>
      <c r="B42" s="1" t="s">
        <v>532</v>
      </c>
      <c r="C42" s="4">
        <v>2019</v>
      </c>
      <c r="D42" s="5" t="s">
        <v>533</v>
      </c>
      <c r="E42" s="3" t="s">
        <v>10</v>
      </c>
      <c r="H42" s="3" t="s">
        <v>23</v>
      </c>
      <c r="I42" s="6" t="str">
        <v>Treatment study</v>
      </c>
      <c r="J42" s="3">
        <f t="shared" si="0"/>
        <v>1</v>
      </c>
    </row>
    <row r="43" spans="1:10" ht="17">
      <c r="A43" s="4">
        <v>30519529</v>
      </c>
      <c r="B43" s="1" t="s">
        <v>464</v>
      </c>
      <c r="C43" s="4">
        <v>2018</v>
      </c>
      <c r="D43" s="5" t="s">
        <v>465</v>
      </c>
      <c r="E43" s="3" t="s">
        <v>10</v>
      </c>
      <c r="H43" s="3" t="s">
        <v>23</v>
      </c>
      <c r="I43" s="6" t="str">
        <v>Conference</v>
      </c>
      <c r="J43" s="3">
        <f t="shared" si="0"/>
        <v>1</v>
      </c>
    </row>
    <row r="44" spans="1:10" ht="17">
      <c r="A44" s="4">
        <v>30414316</v>
      </c>
      <c r="B44" s="1" t="s">
        <v>400</v>
      </c>
      <c r="C44" s="4">
        <v>2019</v>
      </c>
      <c r="D44" s="5" t="s">
        <v>401</v>
      </c>
      <c r="E44" s="3" t="s">
        <v>10</v>
      </c>
      <c r="H44" s="3" t="s">
        <v>23</v>
      </c>
      <c r="I44" s="6" t="str">
        <v>Testing method</v>
      </c>
      <c r="J44" s="3">
        <f t="shared" si="0"/>
        <v>1</v>
      </c>
    </row>
    <row r="45" spans="1:10" ht="17">
      <c r="A45" s="4">
        <v>30359733</v>
      </c>
      <c r="B45" s="1" t="s">
        <v>175</v>
      </c>
      <c r="C45" s="4">
        <v>2019</v>
      </c>
      <c r="D45" s="5" t="s">
        <v>176</v>
      </c>
      <c r="E45" s="3" t="s">
        <v>10</v>
      </c>
      <c r="H45" s="3" t="s">
        <v>23</v>
      </c>
      <c r="I45" s="6" t="str">
        <v>Development of testing</v>
      </c>
      <c r="J45" s="3">
        <f t="shared" si="0"/>
        <v>1</v>
      </c>
    </row>
    <row r="46" spans="1:10" ht="16">
      <c r="A46" s="4">
        <v>30256500</v>
      </c>
      <c r="B46" s="1" t="s">
        <v>434</v>
      </c>
      <c r="C46" s="4">
        <v>2019</v>
      </c>
      <c r="D46" s="5" t="s">
        <v>435</v>
      </c>
      <c r="E46" s="3" t="s">
        <v>10</v>
      </c>
      <c r="H46" s="3" t="s">
        <v>23</v>
      </c>
      <c r="I46" s="6"/>
      <c r="J46" s="3"/>
    </row>
    <row r="47" spans="1:10" ht="16">
      <c r="A47" s="4">
        <v>30067953</v>
      </c>
      <c r="B47" s="1" t="s">
        <v>128</v>
      </c>
      <c r="C47" s="4">
        <v>2018</v>
      </c>
      <c r="D47" s="5" t="s">
        <v>129</v>
      </c>
      <c r="E47" s="3" t="s">
        <v>10</v>
      </c>
      <c r="H47" s="3" t="s">
        <v>23</v>
      </c>
      <c r="I47" s="6"/>
      <c r="J47" s="3"/>
    </row>
    <row r="48" spans="1:10" ht="16">
      <c r="A48" s="4">
        <v>30031939</v>
      </c>
      <c r="B48" s="1" t="s">
        <v>173</v>
      </c>
      <c r="C48" s="4">
        <v>2018</v>
      </c>
      <c r="D48" s="5" t="s">
        <v>174</v>
      </c>
      <c r="E48" s="3" t="s">
        <v>10</v>
      </c>
      <c r="H48" s="3" t="s">
        <v>23</v>
      </c>
      <c r="I48" s="6"/>
      <c r="J48" s="3"/>
    </row>
    <row r="49" spans="1:15" ht="16">
      <c r="A49" s="4">
        <v>30026111</v>
      </c>
      <c r="B49" s="1" t="s">
        <v>364</v>
      </c>
      <c r="C49" s="4">
        <v>2018</v>
      </c>
      <c r="D49" s="5" t="s">
        <v>365</v>
      </c>
      <c r="E49" s="3" t="s">
        <v>10</v>
      </c>
      <c r="H49" s="3" t="s">
        <v>23</v>
      </c>
      <c r="J49" s="3"/>
    </row>
    <row r="50" spans="1:15" ht="16">
      <c r="A50" s="4">
        <v>30014227</v>
      </c>
      <c r="B50" s="1" t="s">
        <v>404</v>
      </c>
      <c r="C50" s="4">
        <v>2018</v>
      </c>
      <c r="D50" s="5" t="s">
        <v>405</v>
      </c>
      <c r="E50" s="3" t="s">
        <v>10</v>
      </c>
      <c r="H50" s="3" t="s">
        <v>23</v>
      </c>
    </row>
    <row r="51" spans="1:15" ht="16">
      <c r="A51" s="4">
        <v>29797616</v>
      </c>
      <c r="B51" s="1" t="s">
        <v>47</v>
      </c>
      <c r="C51" s="4">
        <v>2018</v>
      </c>
      <c r="D51" s="5" t="s">
        <v>48</v>
      </c>
      <c r="E51" s="3" t="s">
        <v>10</v>
      </c>
      <c r="H51" s="3" t="s">
        <v>23</v>
      </c>
    </row>
    <row r="52" spans="1:15" ht="16">
      <c r="A52" s="4">
        <v>29787887</v>
      </c>
      <c r="B52" s="1" t="s">
        <v>542</v>
      </c>
      <c r="C52" s="4">
        <v>2019</v>
      </c>
      <c r="D52" s="5" t="s">
        <v>543</v>
      </c>
      <c r="E52" s="3" t="s">
        <v>10</v>
      </c>
      <c r="H52" s="3" t="s">
        <v>23</v>
      </c>
    </row>
    <row r="53" spans="1:15" ht="16">
      <c r="A53" s="4">
        <v>29756385</v>
      </c>
      <c r="B53" s="1" t="s">
        <v>556</v>
      </c>
      <c r="C53" s="4">
        <v>2018</v>
      </c>
      <c r="D53" s="5" t="s">
        <v>557</v>
      </c>
      <c r="E53" s="3" t="s">
        <v>10</v>
      </c>
      <c r="F53" s="3"/>
      <c r="H53" s="3" t="s">
        <v>23</v>
      </c>
    </row>
    <row r="54" spans="1:15" ht="16">
      <c r="A54" s="4">
        <v>29698478</v>
      </c>
      <c r="B54" s="1" t="s">
        <v>300</v>
      </c>
      <c r="C54" s="4">
        <v>2018</v>
      </c>
      <c r="D54" s="5" t="s">
        <v>301</v>
      </c>
      <c r="E54" s="3" t="s">
        <v>10</v>
      </c>
      <c r="F54" s="3"/>
      <c r="H54" s="3" t="s">
        <v>23</v>
      </c>
      <c r="J54" s="6"/>
      <c r="M54" s="8"/>
      <c r="N54" s="3"/>
      <c r="O54" s="3"/>
    </row>
    <row r="55" spans="1:15" ht="16">
      <c r="A55" s="4">
        <v>29679773</v>
      </c>
      <c r="B55" s="1" t="s">
        <v>478</v>
      </c>
      <c r="C55" s="4">
        <v>2018</v>
      </c>
      <c r="D55" s="5" t="s">
        <v>479</v>
      </c>
      <c r="E55" s="3" t="s">
        <v>10</v>
      </c>
      <c r="F55" s="3"/>
      <c r="H55" s="3" t="s">
        <v>23</v>
      </c>
      <c r="J55" s="6"/>
      <c r="M55" s="8"/>
      <c r="N55" s="3"/>
      <c r="O55" s="3"/>
    </row>
    <row r="56" spans="1:15" ht="16">
      <c r="A56" s="4">
        <v>29545911</v>
      </c>
      <c r="B56" s="1" t="s">
        <v>552</v>
      </c>
      <c r="C56" s="4">
        <v>2018</v>
      </c>
      <c r="D56" s="5" t="s">
        <v>553</v>
      </c>
      <c r="E56" s="3" t="s">
        <v>10</v>
      </c>
      <c r="F56" s="3"/>
      <c r="H56" s="3" t="s">
        <v>23</v>
      </c>
      <c r="J56" s="6"/>
      <c r="M56" s="8"/>
      <c r="N56" s="3"/>
      <c r="O56" s="3"/>
    </row>
    <row r="57" spans="1:15" ht="16">
      <c r="A57" s="4">
        <v>29542206</v>
      </c>
      <c r="B57" s="1" t="s">
        <v>414</v>
      </c>
      <c r="C57" s="4">
        <v>2018</v>
      </c>
      <c r="D57" s="5" t="s">
        <v>415</v>
      </c>
      <c r="E57" s="3" t="s">
        <v>10</v>
      </c>
      <c r="F57" s="3"/>
      <c r="H57" s="3" t="s">
        <v>23</v>
      </c>
      <c r="J57" s="6"/>
      <c r="M57" s="8"/>
      <c r="N57" s="3"/>
      <c r="O57" s="3"/>
    </row>
    <row r="58" spans="1:15" ht="16">
      <c r="A58" s="4">
        <v>29494951</v>
      </c>
      <c r="B58" s="1" t="s">
        <v>273</v>
      </c>
      <c r="C58" s="4">
        <v>2018</v>
      </c>
      <c r="D58" s="5" t="s">
        <v>274</v>
      </c>
      <c r="E58" s="3" t="s">
        <v>10</v>
      </c>
      <c r="F58" s="3"/>
      <c r="H58" s="3" t="s">
        <v>23</v>
      </c>
      <c r="J58" s="6"/>
      <c r="M58" s="8"/>
      <c r="N58" s="3"/>
      <c r="O58" s="3"/>
    </row>
    <row r="59" spans="1:15" ht="16">
      <c r="A59" s="4">
        <v>29487057</v>
      </c>
      <c r="B59" s="1" t="s">
        <v>390</v>
      </c>
      <c r="C59" s="4">
        <v>2018</v>
      </c>
      <c r="D59" s="5" t="s">
        <v>391</v>
      </c>
      <c r="E59" s="3" t="s">
        <v>10</v>
      </c>
      <c r="F59" s="3"/>
      <c r="H59" s="3" t="s">
        <v>23</v>
      </c>
      <c r="J59" s="6"/>
      <c r="M59" s="8"/>
      <c r="N59" s="3"/>
      <c r="O59" s="3"/>
    </row>
    <row r="60" spans="1:15" ht="16">
      <c r="A60" s="4">
        <v>29454651</v>
      </c>
      <c r="B60" s="1" t="s">
        <v>288</v>
      </c>
      <c r="C60" s="4">
        <v>2018</v>
      </c>
      <c r="D60" s="5" t="s">
        <v>289</v>
      </c>
      <c r="E60" s="3" t="s">
        <v>10</v>
      </c>
      <c r="F60" s="3"/>
      <c r="H60" s="3" t="s">
        <v>23</v>
      </c>
      <c r="J60" s="6"/>
      <c r="M60" s="8"/>
      <c r="N60" s="3"/>
      <c r="O60" s="3"/>
    </row>
    <row r="61" spans="1:15" ht="16">
      <c r="A61" s="4">
        <v>29297965</v>
      </c>
      <c r="B61" s="1" t="s">
        <v>506</v>
      </c>
      <c r="C61" s="4">
        <v>2018</v>
      </c>
      <c r="D61" s="5" t="s">
        <v>507</v>
      </c>
      <c r="E61" s="3" t="s">
        <v>10</v>
      </c>
      <c r="F61" s="3"/>
      <c r="H61" s="3" t="s">
        <v>23</v>
      </c>
      <c r="J61" s="6"/>
      <c r="M61" s="8"/>
      <c r="N61" s="3"/>
      <c r="O61" s="3"/>
    </row>
    <row r="62" spans="1:15" ht="16">
      <c r="A62" s="4">
        <v>29181879</v>
      </c>
      <c r="B62" s="1" t="s">
        <v>380</v>
      </c>
      <c r="C62" s="4">
        <v>2018</v>
      </c>
      <c r="D62" s="5" t="s">
        <v>381</v>
      </c>
      <c r="E62" s="3" t="s">
        <v>10</v>
      </c>
      <c r="F62" s="3"/>
      <c r="H62" s="3" t="s">
        <v>23</v>
      </c>
      <c r="J62" s="6"/>
      <c r="M62" s="8"/>
      <c r="N62" s="3"/>
      <c r="O62" s="3"/>
    </row>
    <row r="63" spans="1:15" ht="16">
      <c r="A63" s="4">
        <v>29178248</v>
      </c>
      <c r="B63" s="1" t="s">
        <v>514</v>
      </c>
      <c r="C63" s="4">
        <v>2018</v>
      </c>
      <c r="D63" s="5" t="s">
        <v>515</v>
      </c>
      <c r="E63" s="3" t="s">
        <v>10</v>
      </c>
      <c r="F63" s="3"/>
      <c r="H63" s="3" t="s">
        <v>23</v>
      </c>
      <c r="J63" s="6"/>
      <c r="M63" s="8"/>
      <c r="N63" s="3"/>
      <c r="O63" s="3"/>
    </row>
    <row r="64" spans="1:15" ht="16">
      <c r="A64" s="4">
        <v>29022282</v>
      </c>
      <c r="B64" s="1" t="s">
        <v>406</v>
      </c>
      <c r="C64" s="4">
        <v>2018</v>
      </c>
      <c r="D64" s="5" t="s">
        <v>407</v>
      </c>
      <c r="E64" s="3" t="s">
        <v>10</v>
      </c>
      <c r="F64" s="3"/>
      <c r="H64" s="3" t="s">
        <v>23</v>
      </c>
      <c r="J64" s="6"/>
      <c r="M64" s="8"/>
      <c r="N64" s="3"/>
      <c r="O64" s="3"/>
    </row>
    <row r="65" spans="1:15" ht="15" customHeight="1">
      <c r="A65" s="4">
        <v>29020348</v>
      </c>
      <c r="B65" s="1" t="s">
        <v>482</v>
      </c>
      <c r="C65" s="4">
        <v>2018</v>
      </c>
      <c r="D65" s="5" t="s">
        <v>483</v>
      </c>
      <c r="E65" s="3" t="s">
        <v>10</v>
      </c>
      <c r="F65" s="3"/>
      <c r="H65" s="3" t="s">
        <v>23</v>
      </c>
      <c r="J65" s="6"/>
      <c r="M65" s="8"/>
      <c r="N65" s="3"/>
      <c r="O65" s="3"/>
    </row>
    <row r="66" spans="1:15" ht="16">
      <c r="A66" s="4">
        <v>28954348</v>
      </c>
      <c r="B66" s="1" t="s">
        <v>348</v>
      </c>
      <c r="C66" s="4">
        <v>2017</v>
      </c>
      <c r="D66" s="5" t="s">
        <v>349</v>
      </c>
      <c r="E66" s="3" t="s">
        <v>10</v>
      </c>
      <c r="F66" s="3"/>
      <c r="H66" s="3" t="s">
        <v>23</v>
      </c>
      <c r="J66" s="6"/>
      <c r="M66" s="8"/>
      <c r="N66" s="3"/>
      <c r="O66" s="3"/>
    </row>
    <row r="67" spans="1:15" ht="16">
      <c r="A67" s="4">
        <v>28939451</v>
      </c>
      <c r="B67" s="1" t="s">
        <v>526</v>
      </c>
      <c r="C67" s="4">
        <v>2018</v>
      </c>
      <c r="D67" s="5" t="s">
        <v>527</v>
      </c>
      <c r="E67" s="3" t="s">
        <v>10</v>
      </c>
      <c r="F67" s="3"/>
      <c r="H67" s="3" t="s">
        <v>23</v>
      </c>
      <c r="J67" s="6"/>
      <c r="M67" s="8"/>
      <c r="N67" s="3"/>
      <c r="O67" s="3"/>
    </row>
    <row r="68" spans="1:15" ht="16">
      <c r="A68" s="4">
        <v>28783452</v>
      </c>
      <c r="B68" s="1" t="s">
        <v>366</v>
      </c>
      <c r="C68" s="4">
        <v>2017</v>
      </c>
      <c r="D68" s="5" t="s">
        <v>367</v>
      </c>
      <c r="E68" s="3" t="s">
        <v>10</v>
      </c>
      <c r="F68" s="3"/>
      <c r="H68" s="3" t="s">
        <v>23</v>
      </c>
      <c r="J68" s="6"/>
      <c r="M68" s="8"/>
      <c r="N68" s="3"/>
      <c r="O68" s="3"/>
    </row>
    <row r="69" spans="1:15" ht="16">
      <c r="A69" s="4">
        <v>28783148</v>
      </c>
      <c r="B69" s="1" t="s">
        <v>328</v>
      </c>
      <c r="C69" s="4">
        <v>2017</v>
      </c>
      <c r="D69" s="5" t="s">
        <v>329</v>
      </c>
      <c r="E69" s="3" t="s">
        <v>10</v>
      </c>
      <c r="F69" s="3"/>
      <c r="H69" s="3" t="s">
        <v>23</v>
      </c>
      <c r="J69" s="6"/>
      <c r="M69" s="8"/>
      <c r="N69" s="3"/>
      <c r="O69" s="3"/>
    </row>
    <row r="70" spans="1:15" ht="16">
      <c r="A70" s="4">
        <v>28668490</v>
      </c>
      <c r="B70" s="1" t="s">
        <v>520</v>
      </c>
      <c r="C70" s="4">
        <v>2017</v>
      </c>
      <c r="D70" s="5" t="s">
        <v>521</v>
      </c>
      <c r="E70" s="3" t="s">
        <v>10</v>
      </c>
      <c r="F70" s="3"/>
      <c r="H70" s="3" t="s">
        <v>23</v>
      </c>
      <c r="J70" s="6"/>
      <c r="M70" s="8"/>
      <c r="N70" s="3"/>
      <c r="O70" s="3"/>
    </row>
    <row r="71" spans="1:15" ht="16">
      <c r="A71" s="4">
        <v>28601677</v>
      </c>
      <c r="B71" s="1" t="s">
        <v>474</v>
      </c>
      <c r="C71" s="4">
        <v>2017</v>
      </c>
      <c r="D71" s="5" t="s">
        <v>475</v>
      </c>
      <c r="E71" s="3" t="s">
        <v>10</v>
      </c>
      <c r="F71" s="3"/>
      <c r="G71" s="3"/>
      <c r="H71" s="3" t="s">
        <v>23</v>
      </c>
      <c r="J71" s="6"/>
      <c r="M71" s="8"/>
      <c r="N71" s="3"/>
      <c r="O71" s="3"/>
    </row>
    <row r="72" spans="1:15" ht="16">
      <c r="A72" s="4">
        <v>28551368</v>
      </c>
      <c r="B72" s="1" t="s">
        <v>408</v>
      </c>
      <c r="C72" s="4">
        <v>2017</v>
      </c>
      <c r="D72" s="5" t="s">
        <v>409</v>
      </c>
      <c r="E72" s="3" t="s">
        <v>10</v>
      </c>
      <c r="F72" s="3"/>
      <c r="G72" s="3"/>
      <c r="H72" s="3" t="s">
        <v>23</v>
      </c>
      <c r="J72" s="6"/>
      <c r="M72" s="8"/>
      <c r="N72" s="3"/>
      <c r="O72" s="3"/>
    </row>
    <row r="73" spans="1:15" ht="16">
      <c r="A73" s="4">
        <v>28501929</v>
      </c>
      <c r="B73" s="1" t="s">
        <v>422</v>
      </c>
      <c r="C73" s="4">
        <v>2017</v>
      </c>
      <c r="D73" s="5" t="s">
        <v>423</v>
      </c>
      <c r="E73" s="3" t="s">
        <v>10</v>
      </c>
      <c r="F73" s="3"/>
      <c r="G73" s="3"/>
      <c r="H73" s="3" t="s">
        <v>23</v>
      </c>
      <c r="J73" s="6"/>
      <c r="M73" s="8"/>
      <c r="N73" s="3"/>
      <c r="O73" s="3"/>
    </row>
    <row r="74" spans="1:15" ht="16">
      <c r="A74" s="4">
        <v>28392330</v>
      </c>
      <c r="B74" s="1" t="s">
        <v>512</v>
      </c>
      <c r="C74" s="4">
        <v>2017</v>
      </c>
      <c r="D74" s="5" t="s">
        <v>513</v>
      </c>
      <c r="E74" s="3" t="s">
        <v>10</v>
      </c>
      <c r="F74" s="3"/>
      <c r="G74" s="3"/>
      <c r="H74" s="3" t="s">
        <v>23</v>
      </c>
      <c r="J74" s="6"/>
      <c r="M74" s="8"/>
      <c r="N74" s="3"/>
      <c r="O74" s="3"/>
    </row>
    <row r="75" spans="1:15" ht="16">
      <c r="A75" s="4">
        <v>28390986</v>
      </c>
      <c r="B75" s="1" t="s">
        <v>508</v>
      </c>
      <c r="C75" s="4">
        <v>2017</v>
      </c>
      <c r="D75" s="5" t="s">
        <v>509</v>
      </c>
      <c r="E75" s="3" t="s">
        <v>10</v>
      </c>
      <c r="F75" s="3"/>
      <c r="G75" s="3"/>
      <c r="H75" s="3" t="s">
        <v>23</v>
      </c>
      <c r="J75" s="6"/>
      <c r="M75" s="8"/>
      <c r="N75" s="3"/>
      <c r="O75" s="3"/>
    </row>
    <row r="76" spans="1:15" ht="16">
      <c r="A76" s="4">
        <v>28209721</v>
      </c>
      <c r="B76" s="1" t="s">
        <v>308</v>
      </c>
      <c r="C76" s="4">
        <v>2017</v>
      </c>
      <c r="D76" s="5" t="s">
        <v>309</v>
      </c>
      <c r="E76" s="3" t="s">
        <v>10</v>
      </c>
      <c r="F76" s="3"/>
      <c r="G76" s="3"/>
      <c r="H76" s="3" t="s">
        <v>23</v>
      </c>
      <c r="J76" s="6"/>
      <c r="M76" s="8"/>
      <c r="N76" s="3"/>
      <c r="O76" s="3"/>
    </row>
    <row r="77" spans="1:15" ht="16">
      <c r="A77" s="4">
        <v>28207973</v>
      </c>
      <c r="B77" s="1" t="s">
        <v>370</v>
      </c>
      <c r="C77" s="4">
        <v>2017</v>
      </c>
      <c r="D77" s="5" t="s">
        <v>371</v>
      </c>
      <c r="E77" s="3" t="s">
        <v>10</v>
      </c>
      <c r="F77" s="3"/>
      <c r="G77" s="3"/>
      <c r="H77" s="3" t="s">
        <v>23</v>
      </c>
      <c r="J77" s="6"/>
      <c r="M77" s="8"/>
      <c r="N77" s="3"/>
      <c r="O77" s="3"/>
    </row>
    <row r="78" spans="1:15" ht="16">
      <c r="A78" s="4">
        <v>28129450</v>
      </c>
      <c r="B78" s="1" t="s">
        <v>564</v>
      </c>
      <c r="C78" s="4">
        <v>2017</v>
      </c>
      <c r="D78" s="5" t="s">
        <v>565</v>
      </c>
      <c r="E78" s="3" t="s">
        <v>10</v>
      </c>
      <c r="F78" s="3"/>
      <c r="G78" s="3"/>
      <c r="H78" s="3" t="s">
        <v>23</v>
      </c>
      <c r="J78" s="6"/>
      <c r="M78" s="8"/>
      <c r="N78" s="3"/>
      <c r="O78" s="3"/>
    </row>
    <row r="79" spans="1:15" ht="16">
      <c r="A79" s="4">
        <v>27697585</v>
      </c>
      <c r="B79" s="1" t="s">
        <v>59</v>
      </c>
      <c r="C79" s="4">
        <v>2016</v>
      </c>
      <c r="D79" s="5" t="s">
        <v>60</v>
      </c>
      <c r="E79" s="3" t="s">
        <v>10</v>
      </c>
      <c r="F79" s="3"/>
      <c r="G79" s="3"/>
      <c r="H79" s="3" t="s">
        <v>23</v>
      </c>
      <c r="J79" s="6"/>
      <c r="M79" s="8"/>
      <c r="N79" s="3"/>
      <c r="O79" s="3"/>
    </row>
    <row r="80" spans="1:15" ht="16">
      <c r="A80" s="4">
        <v>27703035</v>
      </c>
      <c r="B80" s="1" t="s">
        <v>185</v>
      </c>
      <c r="C80" s="4">
        <v>2016</v>
      </c>
      <c r="D80" s="5" t="s">
        <v>186</v>
      </c>
      <c r="E80" s="3" t="s">
        <v>10</v>
      </c>
      <c r="F80" s="3"/>
      <c r="G80" s="3"/>
      <c r="H80" s="3" t="s">
        <v>23</v>
      </c>
      <c r="J80" s="6"/>
      <c r="M80" s="8"/>
      <c r="N80" s="3"/>
      <c r="O80" s="3"/>
    </row>
    <row r="81" spans="1:15" ht="16">
      <c r="A81" s="4">
        <v>27669362</v>
      </c>
      <c r="B81" s="1" t="s">
        <v>75</v>
      </c>
      <c r="C81" s="4">
        <v>2016</v>
      </c>
      <c r="D81" s="5" t="s">
        <v>76</v>
      </c>
      <c r="E81" s="3" t="s">
        <v>10</v>
      </c>
      <c r="F81" s="3"/>
      <c r="G81" s="3"/>
      <c r="H81" s="3" t="s">
        <v>23</v>
      </c>
      <c r="J81" s="6"/>
      <c r="M81" s="8"/>
      <c r="N81" s="3"/>
      <c r="O81" s="3"/>
    </row>
    <row r="82" spans="1:15" ht="16">
      <c r="A82" s="4">
        <v>27664550</v>
      </c>
      <c r="B82" s="1" t="s">
        <v>338</v>
      </c>
      <c r="C82" s="4">
        <v>2017</v>
      </c>
      <c r="D82" s="5" t="s">
        <v>339</v>
      </c>
      <c r="E82" s="3" t="s">
        <v>10</v>
      </c>
      <c r="F82" s="3"/>
      <c r="G82" s="3"/>
      <c r="H82" s="3" t="s">
        <v>23</v>
      </c>
      <c r="J82" s="6"/>
      <c r="M82" s="8"/>
      <c r="N82" s="3"/>
      <c r="O82" s="3"/>
    </row>
    <row r="83" spans="1:15" ht="16">
      <c r="A83" s="4">
        <v>27522040</v>
      </c>
      <c r="B83" s="1" t="s">
        <v>494</v>
      </c>
      <c r="C83" s="4">
        <v>2016</v>
      </c>
      <c r="D83" s="5" t="s">
        <v>495</v>
      </c>
      <c r="E83" s="3" t="s">
        <v>10</v>
      </c>
      <c r="F83" s="3"/>
      <c r="G83" s="3"/>
      <c r="H83" s="3" t="s">
        <v>23</v>
      </c>
      <c r="J83" s="6"/>
      <c r="M83" s="8"/>
      <c r="N83" s="3"/>
      <c r="O83" s="3"/>
    </row>
    <row r="84" spans="1:15" ht="16">
      <c r="A84" s="4">
        <v>27364410</v>
      </c>
      <c r="B84" s="1" t="s">
        <v>488</v>
      </c>
      <c r="C84" s="4">
        <v>2017</v>
      </c>
      <c r="D84" s="5" t="s">
        <v>489</v>
      </c>
      <c r="E84" s="3" t="s">
        <v>10</v>
      </c>
      <c r="F84" s="3"/>
      <c r="G84" s="3"/>
      <c r="H84" s="3" t="s">
        <v>23</v>
      </c>
      <c r="J84" s="6"/>
      <c r="M84" s="8"/>
      <c r="N84" s="3"/>
      <c r="O84" s="3"/>
    </row>
    <row r="85" spans="1:15" ht="16">
      <c r="A85" s="4">
        <v>27057748</v>
      </c>
      <c r="B85" s="1" t="s">
        <v>554</v>
      </c>
      <c r="C85" s="4">
        <v>2016</v>
      </c>
      <c r="D85" s="5" t="s">
        <v>555</v>
      </c>
      <c r="E85" s="3" t="s">
        <v>10</v>
      </c>
      <c r="F85" s="3"/>
      <c r="G85" s="3"/>
      <c r="H85" s="3" t="s">
        <v>23</v>
      </c>
      <c r="J85" s="6"/>
      <c r="M85" s="8"/>
      <c r="N85" s="3"/>
      <c r="O85" s="3"/>
    </row>
    <row r="86" spans="1:15" ht="16">
      <c r="A86" s="4">
        <v>26984480</v>
      </c>
      <c r="B86" s="1" t="s">
        <v>334</v>
      </c>
      <c r="C86" s="4">
        <v>2016</v>
      </c>
      <c r="D86" s="5" t="s">
        <v>335</v>
      </c>
      <c r="E86" s="3" t="s">
        <v>10</v>
      </c>
      <c r="F86" s="3"/>
      <c r="G86" s="3"/>
      <c r="H86" s="3" t="s">
        <v>23</v>
      </c>
      <c r="J86" s="6"/>
      <c r="M86" s="8"/>
      <c r="N86" s="3"/>
      <c r="O86" s="3"/>
    </row>
    <row r="87" spans="1:15" ht="16">
      <c r="A87" s="4">
        <v>26945690</v>
      </c>
      <c r="B87" s="1" t="s">
        <v>55</v>
      </c>
      <c r="C87" s="4">
        <v>2016</v>
      </c>
      <c r="D87" s="5" t="s">
        <v>56</v>
      </c>
      <c r="E87" s="3" t="s">
        <v>10</v>
      </c>
      <c r="F87" s="3"/>
      <c r="G87" s="3"/>
      <c r="H87" s="3" t="s">
        <v>23</v>
      </c>
      <c r="J87" s="6"/>
      <c r="M87" s="8"/>
      <c r="N87" s="3"/>
      <c r="O87" s="3"/>
    </row>
    <row r="88" spans="1:15" ht="16">
      <c r="A88" s="4">
        <v>26920464</v>
      </c>
      <c r="B88" s="1" t="s">
        <v>530</v>
      </c>
      <c r="C88" s="4">
        <v>2016</v>
      </c>
      <c r="D88" s="5" t="s">
        <v>531</v>
      </c>
      <c r="E88" s="3" t="s">
        <v>10</v>
      </c>
      <c r="F88" s="3"/>
      <c r="G88" s="3"/>
      <c r="H88" s="3" t="s">
        <v>23</v>
      </c>
      <c r="J88" s="6"/>
      <c r="M88" s="8"/>
      <c r="N88" s="3"/>
      <c r="O88" s="3"/>
    </row>
    <row r="89" spans="1:15" ht="16">
      <c r="A89" s="4">
        <v>26809130</v>
      </c>
      <c r="B89" s="1" t="s">
        <v>191</v>
      </c>
      <c r="C89" s="4">
        <v>2016</v>
      </c>
      <c r="D89" s="5" t="s">
        <v>192</v>
      </c>
      <c r="E89" s="3" t="s">
        <v>10</v>
      </c>
      <c r="F89" s="3"/>
      <c r="G89" s="3"/>
      <c r="H89" s="3" t="s">
        <v>23</v>
      </c>
      <c r="J89" s="6"/>
      <c r="M89" s="8"/>
      <c r="N89" s="3"/>
      <c r="O89" s="3"/>
    </row>
    <row r="90" spans="1:15" ht="16">
      <c r="A90" s="4">
        <v>26555946</v>
      </c>
      <c r="B90" s="1" t="s">
        <v>548</v>
      </c>
      <c r="C90" s="4">
        <v>2016</v>
      </c>
      <c r="D90" s="5" t="s">
        <v>549</v>
      </c>
      <c r="E90" s="3" t="s">
        <v>10</v>
      </c>
      <c r="F90" s="3"/>
      <c r="H90" s="3" t="s">
        <v>23</v>
      </c>
      <c r="J90" s="6"/>
      <c r="M90" s="8"/>
      <c r="N90" s="3"/>
      <c r="O90" s="3"/>
    </row>
    <row r="91" spans="1:15" ht="16">
      <c r="A91" s="4">
        <v>26518057</v>
      </c>
      <c r="B91" s="1" t="s">
        <v>135</v>
      </c>
      <c r="C91" s="4">
        <v>2016</v>
      </c>
      <c r="D91" s="5" t="s">
        <v>136</v>
      </c>
      <c r="E91" s="3" t="s">
        <v>10</v>
      </c>
      <c r="F91" s="3"/>
      <c r="H91" s="3" t="s">
        <v>23</v>
      </c>
      <c r="J91" s="6"/>
      <c r="M91" s="8"/>
      <c r="N91" s="3"/>
      <c r="O91" s="3"/>
    </row>
    <row r="92" spans="1:15" ht="16">
      <c r="A92" s="4">
        <v>26493843</v>
      </c>
      <c r="B92" s="1" t="s">
        <v>528</v>
      </c>
      <c r="C92" s="4">
        <v>2016</v>
      </c>
      <c r="D92" s="5" t="s">
        <v>529</v>
      </c>
      <c r="E92" s="3" t="s">
        <v>10</v>
      </c>
      <c r="F92" s="3"/>
      <c r="H92" s="3" t="s">
        <v>23</v>
      </c>
      <c r="J92" s="6"/>
      <c r="M92" s="8"/>
      <c r="N92" s="3"/>
      <c r="O92" s="3"/>
    </row>
    <row r="93" spans="1:15" ht="16">
      <c r="A93" s="4">
        <v>26329541</v>
      </c>
      <c r="B93" s="1" t="s">
        <v>340</v>
      </c>
      <c r="C93" s="4">
        <v>2015</v>
      </c>
      <c r="D93" s="5" t="s">
        <v>341</v>
      </c>
      <c r="E93" s="3" t="s">
        <v>10</v>
      </c>
      <c r="F93" s="3"/>
      <c r="H93" s="3" t="s">
        <v>23</v>
      </c>
      <c r="J93" s="6"/>
      <c r="M93" s="8"/>
      <c r="N93" s="3"/>
      <c r="O93" s="3"/>
    </row>
    <row r="94" spans="1:15" ht="16">
      <c r="A94" s="4">
        <v>26241219</v>
      </c>
      <c r="B94" s="1" t="s">
        <v>169</v>
      </c>
      <c r="C94" s="4">
        <v>2016</v>
      </c>
      <c r="D94" s="5" t="s">
        <v>170</v>
      </c>
      <c r="E94" s="3" t="s">
        <v>10</v>
      </c>
      <c r="F94" s="3"/>
      <c r="H94" s="3" t="s">
        <v>23</v>
      </c>
      <c r="J94" s="6"/>
      <c r="M94" s="8"/>
      <c r="N94" s="3"/>
      <c r="O94" s="3"/>
    </row>
    <row r="95" spans="1:15" ht="16">
      <c r="A95" s="4">
        <v>26226409</v>
      </c>
      <c r="B95" s="1" t="s">
        <v>392</v>
      </c>
      <c r="C95" s="4">
        <v>2015</v>
      </c>
      <c r="D95" s="5" t="s">
        <v>393</v>
      </c>
      <c r="E95" s="3" t="s">
        <v>10</v>
      </c>
      <c r="F95" s="3"/>
      <c r="H95" s="3" t="s">
        <v>23</v>
      </c>
      <c r="J95" s="6"/>
      <c r="M95" s="8"/>
      <c r="N95" s="3"/>
      <c r="O95" s="3"/>
    </row>
    <row r="96" spans="1:15" ht="16">
      <c r="A96" s="4">
        <v>26137657</v>
      </c>
      <c r="B96" s="1" t="s">
        <v>350</v>
      </c>
      <c r="C96" s="4">
        <v>2015</v>
      </c>
      <c r="D96" s="5" t="s">
        <v>351</v>
      </c>
      <c r="E96" s="3" t="s">
        <v>10</v>
      </c>
      <c r="F96" s="3"/>
      <c r="H96" s="3" t="s">
        <v>23</v>
      </c>
    </row>
    <row r="97" spans="1:8" ht="16">
      <c r="A97" s="4">
        <v>26132825</v>
      </c>
      <c r="B97" s="1" t="s">
        <v>416</v>
      </c>
      <c r="C97" s="4">
        <v>2015</v>
      </c>
      <c r="D97" s="5" t="s">
        <v>417</v>
      </c>
      <c r="E97" s="3" t="s">
        <v>10</v>
      </c>
      <c r="F97" s="3"/>
      <c r="H97" s="3" t="s">
        <v>23</v>
      </c>
    </row>
    <row r="98" spans="1:8" ht="16">
      <c r="A98" s="4">
        <v>26121112</v>
      </c>
      <c r="B98" s="1" t="s">
        <v>94</v>
      </c>
      <c r="C98" s="4">
        <v>2015</v>
      </c>
      <c r="D98" s="5" t="s">
        <v>95</v>
      </c>
      <c r="E98" s="3" t="s">
        <v>10</v>
      </c>
      <c r="F98" s="3"/>
      <c r="H98" s="3" t="s">
        <v>23</v>
      </c>
    </row>
    <row r="99" spans="1:8" ht="16">
      <c r="A99" s="4">
        <v>26046087</v>
      </c>
      <c r="B99" s="1" t="s">
        <v>550</v>
      </c>
      <c r="C99" s="4">
        <v>2015</v>
      </c>
      <c r="D99" s="5" t="s">
        <v>551</v>
      </c>
      <c r="E99" s="3" t="s">
        <v>10</v>
      </c>
      <c r="F99" s="3"/>
      <c r="H99" s="3" t="s">
        <v>23</v>
      </c>
    </row>
    <row r="100" spans="1:8" ht="16">
      <c r="A100" s="4">
        <v>25982843</v>
      </c>
      <c r="B100" s="1" t="s">
        <v>318</v>
      </c>
      <c r="C100" s="4">
        <v>2015</v>
      </c>
      <c r="D100" s="5" t="s">
        <v>319</v>
      </c>
      <c r="E100" s="3" t="s">
        <v>10</v>
      </c>
      <c r="F100" s="3"/>
      <c r="H100" s="3" t="s">
        <v>23</v>
      </c>
    </row>
    <row r="101" spans="1:8" ht="16">
      <c r="A101" s="4">
        <v>25946433</v>
      </c>
      <c r="B101" s="1" t="s">
        <v>536</v>
      </c>
      <c r="C101" s="4">
        <v>2015</v>
      </c>
      <c r="D101" s="5" t="s">
        <v>537</v>
      </c>
      <c r="E101" s="3" t="s">
        <v>10</v>
      </c>
      <c r="F101" s="3"/>
      <c r="H101" s="3" t="s">
        <v>23</v>
      </c>
    </row>
    <row r="102" spans="1:8" ht="16">
      <c r="A102" s="4">
        <v>25918347</v>
      </c>
      <c r="B102" s="1" t="s">
        <v>470</v>
      </c>
      <c r="C102" s="4">
        <v>2015</v>
      </c>
      <c r="D102" s="5" t="s">
        <v>471</v>
      </c>
      <c r="E102" s="3" t="s">
        <v>10</v>
      </c>
      <c r="F102" s="3"/>
      <c r="H102" s="3" t="s">
        <v>23</v>
      </c>
    </row>
    <row r="103" spans="1:8" ht="16">
      <c r="A103" s="4">
        <v>25807050</v>
      </c>
      <c r="B103" s="1" t="s">
        <v>538</v>
      </c>
      <c r="C103" s="4">
        <v>2015</v>
      </c>
      <c r="D103" s="5" t="s">
        <v>539</v>
      </c>
      <c r="E103" s="3" t="s">
        <v>10</v>
      </c>
      <c r="F103" s="3"/>
      <c r="H103" s="3" t="s">
        <v>23</v>
      </c>
    </row>
    <row r="104" spans="1:8" ht="16">
      <c r="A104" s="4">
        <v>25650037</v>
      </c>
      <c r="B104" s="1" t="s">
        <v>454</v>
      </c>
      <c r="C104" s="4">
        <v>2015</v>
      </c>
      <c r="D104" s="5" t="s">
        <v>455</v>
      </c>
      <c r="E104" s="3" t="s">
        <v>10</v>
      </c>
      <c r="F104" s="3"/>
      <c r="H104" s="3" t="s">
        <v>23</v>
      </c>
    </row>
    <row r="105" spans="1:8" ht="16">
      <c r="A105" s="4">
        <v>25398808</v>
      </c>
      <c r="B105" s="1" t="s">
        <v>298</v>
      </c>
      <c r="C105" s="4">
        <v>2014</v>
      </c>
      <c r="D105" s="5" t="s">
        <v>299</v>
      </c>
      <c r="E105" s="3" t="s">
        <v>10</v>
      </c>
      <c r="F105" s="3"/>
      <c r="H105" s="3" t="s">
        <v>23</v>
      </c>
    </row>
    <row r="106" spans="1:8" ht="16">
      <c r="A106" s="4">
        <v>25072620</v>
      </c>
      <c r="B106" s="1" t="s">
        <v>402</v>
      </c>
      <c r="C106" s="4">
        <v>2014</v>
      </c>
      <c r="D106" s="5" t="s">
        <v>403</v>
      </c>
      <c r="E106" s="3" t="s">
        <v>10</v>
      </c>
      <c r="F106" s="3"/>
      <c r="H106" s="3" t="s">
        <v>23</v>
      </c>
    </row>
    <row r="107" spans="1:8" ht="16">
      <c r="A107" s="4">
        <v>25066883</v>
      </c>
      <c r="B107" s="1" t="s">
        <v>316</v>
      </c>
      <c r="C107" s="4">
        <v>2014</v>
      </c>
      <c r="D107" s="5" t="s">
        <v>317</v>
      </c>
      <c r="E107" s="3" t="s">
        <v>10</v>
      </c>
      <c r="F107" s="3"/>
      <c r="H107" s="3" t="s">
        <v>23</v>
      </c>
    </row>
    <row r="108" spans="1:8" ht="16">
      <c r="A108" s="4">
        <v>24964991</v>
      </c>
      <c r="B108" s="1" t="s">
        <v>458</v>
      </c>
      <c r="C108" s="4">
        <v>2014</v>
      </c>
      <c r="D108" s="5" t="s">
        <v>459</v>
      </c>
      <c r="E108" s="3" t="s">
        <v>10</v>
      </c>
      <c r="F108" s="3"/>
      <c r="H108" s="3" t="s">
        <v>23</v>
      </c>
    </row>
    <row r="109" spans="1:8" ht="16">
      <c r="A109" s="4">
        <v>24923536</v>
      </c>
      <c r="B109" s="1" t="s">
        <v>522</v>
      </c>
      <c r="C109" s="4">
        <v>2014</v>
      </c>
      <c r="D109" s="5" t="s">
        <v>523</v>
      </c>
      <c r="E109" s="3" t="s">
        <v>10</v>
      </c>
      <c r="F109" s="3"/>
      <c r="H109" s="3" t="s">
        <v>23</v>
      </c>
    </row>
    <row r="110" spans="1:8" ht="16">
      <c r="A110" s="4">
        <v>24881673</v>
      </c>
      <c r="B110" s="1" t="s">
        <v>544</v>
      </c>
      <c r="C110" s="4">
        <v>2014</v>
      </c>
      <c r="D110" s="5" t="s">
        <v>545</v>
      </c>
      <c r="E110" s="3" t="s">
        <v>10</v>
      </c>
      <c r="F110" s="3"/>
      <c r="H110" s="3" t="s">
        <v>23</v>
      </c>
    </row>
    <row r="111" spans="1:8" ht="16">
      <c r="A111" s="4">
        <v>24829249</v>
      </c>
      <c r="B111" s="1" t="s">
        <v>179</v>
      </c>
      <c r="C111" s="4">
        <v>2014</v>
      </c>
      <c r="D111" s="5" t="s">
        <v>180</v>
      </c>
      <c r="E111" s="3" t="s">
        <v>10</v>
      </c>
      <c r="F111" s="3"/>
      <c r="H111" s="3" t="s">
        <v>23</v>
      </c>
    </row>
    <row r="112" spans="1:8" ht="16">
      <c r="A112" s="4">
        <v>24810656</v>
      </c>
      <c r="B112" s="1" t="s">
        <v>130</v>
      </c>
      <c r="C112" s="4">
        <v>2014</v>
      </c>
      <c r="D112" s="5" t="s">
        <v>131</v>
      </c>
      <c r="E112" s="3" t="s">
        <v>10</v>
      </c>
      <c r="F112" s="3"/>
      <c r="H112" s="3" t="s">
        <v>23</v>
      </c>
    </row>
    <row r="113" spans="1:8" ht="16">
      <c r="A113" s="4">
        <v>24658548</v>
      </c>
      <c r="B113" s="1" t="s">
        <v>115</v>
      </c>
      <c r="C113" s="4">
        <v>2014</v>
      </c>
      <c r="D113" s="5" t="s">
        <v>116</v>
      </c>
      <c r="E113" s="3" t="s">
        <v>10</v>
      </c>
      <c r="F113" s="3"/>
      <c r="H113" s="3" t="s">
        <v>23</v>
      </c>
    </row>
    <row r="114" spans="1:8" ht="16">
      <c r="A114" s="4">
        <v>24596281</v>
      </c>
      <c r="B114" s="1" t="s">
        <v>100</v>
      </c>
      <c r="C114" s="4">
        <v>2014</v>
      </c>
      <c r="D114" s="5" t="s">
        <v>101</v>
      </c>
      <c r="E114" s="3" t="s">
        <v>10</v>
      </c>
      <c r="F114" s="3"/>
      <c r="H114" s="3" t="s">
        <v>23</v>
      </c>
    </row>
    <row r="115" spans="1:8" ht="16">
      <c r="A115" s="4">
        <v>24579822</v>
      </c>
      <c r="B115" s="1" t="s">
        <v>320</v>
      </c>
      <c r="C115" s="4">
        <v>2014</v>
      </c>
      <c r="D115" s="5" t="s">
        <v>321</v>
      </c>
      <c r="E115" s="3" t="s">
        <v>10</v>
      </c>
      <c r="F115" s="3"/>
      <c r="H115" s="3" t="s">
        <v>23</v>
      </c>
    </row>
    <row r="116" spans="1:8" ht="16">
      <c r="A116" s="4">
        <v>24548875</v>
      </c>
      <c r="B116" s="1" t="s">
        <v>330</v>
      </c>
      <c r="C116" s="4">
        <v>2014</v>
      </c>
      <c r="D116" s="5" t="s">
        <v>331</v>
      </c>
      <c r="E116" s="3" t="s">
        <v>10</v>
      </c>
      <c r="F116" s="3"/>
      <c r="H116" s="3" t="s">
        <v>23</v>
      </c>
    </row>
    <row r="117" spans="1:8" ht="16">
      <c r="A117" s="4">
        <v>24407957</v>
      </c>
      <c r="B117" s="1" t="s">
        <v>284</v>
      </c>
      <c r="C117" s="4">
        <v>2015</v>
      </c>
      <c r="D117" s="5" t="s">
        <v>285</v>
      </c>
      <c r="E117" s="3" t="s">
        <v>10</v>
      </c>
      <c r="F117" s="3"/>
      <c r="H117" s="3" t="s">
        <v>23</v>
      </c>
    </row>
    <row r="118" spans="1:8" ht="16">
      <c r="A118" s="4">
        <v>24380721</v>
      </c>
      <c r="B118" s="1" t="s">
        <v>199</v>
      </c>
      <c r="C118" s="4">
        <v>2014</v>
      </c>
      <c r="D118" s="5" t="s">
        <v>200</v>
      </c>
      <c r="E118" s="3" t="s">
        <v>10</v>
      </c>
      <c r="F118" s="3"/>
      <c r="H118" s="3" t="s">
        <v>23</v>
      </c>
    </row>
    <row r="119" spans="1:8" ht="16">
      <c r="A119" s="4">
        <v>24315842</v>
      </c>
      <c r="B119" s="1" t="s">
        <v>492</v>
      </c>
      <c r="C119" s="4">
        <v>2014</v>
      </c>
      <c r="D119" s="5" t="s">
        <v>493</v>
      </c>
      <c r="E119" s="3" t="s">
        <v>10</v>
      </c>
      <c r="F119" s="3"/>
      <c r="H119" s="3" t="s">
        <v>23</v>
      </c>
    </row>
    <row r="120" spans="1:8" ht="16">
      <c r="A120" s="4">
        <v>23929317</v>
      </c>
      <c r="B120" s="1" t="s">
        <v>195</v>
      </c>
      <c r="C120" s="4">
        <v>2014</v>
      </c>
      <c r="D120" s="5" t="s">
        <v>196</v>
      </c>
      <c r="E120" s="3" t="s">
        <v>10</v>
      </c>
      <c r="F120" s="3"/>
      <c r="H120" s="3" t="s">
        <v>23</v>
      </c>
    </row>
    <row r="121" spans="1:8" ht="16">
      <c r="A121" s="4">
        <v>23771003</v>
      </c>
      <c r="B121" s="1" t="s">
        <v>223</v>
      </c>
      <c r="C121" s="4">
        <v>2013</v>
      </c>
      <c r="D121" s="5" t="s">
        <v>224</v>
      </c>
      <c r="E121" s="3" t="s">
        <v>10</v>
      </c>
      <c r="F121" s="3"/>
      <c r="H121" s="3" t="s">
        <v>23</v>
      </c>
    </row>
    <row r="122" spans="1:8" ht="16">
      <c r="A122" s="4">
        <v>23723198</v>
      </c>
      <c r="B122" s="1" t="s">
        <v>286</v>
      </c>
      <c r="C122" s="4">
        <v>2013</v>
      </c>
      <c r="D122" s="5" t="s">
        <v>287</v>
      </c>
      <c r="E122" s="3" t="s">
        <v>10</v>
      </c>
      <c r="F122" s="3"/>
      <c r="H122" s="3" t="s">
        <v>23</v>
      </c>
    </row>
    <row r="123" spans="1:8" ht="16">
      <c r="A123" s="4">
        <v>23665115</v>
      </c>
      <c r="B123" s="1" t="s">
        <v>562</v>
      </c>
      <c r="C123" s="4">
        <v>2013</v>
      </c>
      <c r="D123" s="5" t="s">
        <v>563</v>
      </c>
      <c r="E123" s="3" t="s">
        <v>10</v>
      </c>
      <c r="F123" s="3"/>
      <c r="H123" s="3" t="s">
        <v>23</v>
      </c>
    </row>
    <row r="124" spans="1:8" ht="16">
      <c r="A124" s="4">
        <v>23516318</v>
      </c>
      <c r="B124" s="1" t="s">
        <v>442</v>
      </c>
      <c r="C124" s="4">
        <v>2013</v>
      </c>
      <c r="D124" s="5" t="s">
        <v>443</v>
      </c>
      <c r="E124" s="3" t="s">
        <v>10</v>
      </c>
      <c r="F124" s="3"/>
      <c r="H124" s="3" t="s">
        <v>23</v>
      </c>
    </row>
    <row r="125" spans="1:8" ht="16">
      <c r="A125" s="4">
        <v>23514960</v>
      </c>
      <c r="B125" s="1" t="s">
        <v>118</v>
      </c>
      <c r="C125" s="4">
        <v>2013</v>
      </c>
      <c r="D125" s="5" t="s">
        <v>119</v>
      </c>
      <c r="E125" s="3" t="s">
        <v>10</v>
      </c>
      <c r="F125" s="3"/>
      <c r="H125" s="3" t="s">
        <v>23</v>
      </c>
    </row>
    <row r="126" spans="1:8" ht="16">
      <c r="A126" s="4">
        <v>23461659</v>
      </c>
      <c r="B126" s="1" t="s">
        <v>326</v>
      </c>
      <c r="C126" s="4">
        <v>2013</v>
      </c>
      <c r="D126" s="5" t="s">
        <v>327</v>
      </c>
      <c r="E126" s="3" t="s">
        <v>10</v>
      </c>
      <c r="F126" s="3"/>
      <c r="H126" s="3" t="s">
        <v>23</v>
      </c>
    </row>
    <row r="127" spans="1:8" ht="16">
      <c r="A127" s="4">
        <v>23331378</v>
      </c>
      <c r="B127" s="1" t="s">
        <v>294</v>
      </c>
      <c r="C127" s="4">
        <v>2013</v>
      </c>
      <c r="D127" s="5" t="s">
        <v>295</v>
      </c>
      <c r="E127" s="3" t="s">
        <v>10</v>
      </c>
      <c r="F127" s="3"/>
      <c r="H127" s="3" t="s">
        <v>23</v>
      </c>
    </row>
    <row r="128" spans="1:8" ht="16">
      <c r="A128" s="4">
        <v>23243510</v>
      </c>
      <c r="B128" s="1" t="s">
        <v>462</v>
      </c>
      <c r="C128" s="4">
        <v>2012</v>
      </c>
      <c r="D128" s="5" t="s">
        <v>463</v>
      </c>
      <c r="E128" s="3" t="s">
        <v>10</v>
      </c>
      <c r="F128" s="3"/>
      <c r="H128" s="3" t="s">
        <v>23</v>
      </c>
    </row>
    <row r="129" spans="1:8" ht="16">
      <c r="A129" s="4">
        <v>23152545</v>
      </c>
      <c r="B129" s="1" t="s">
        <v>63</v>
      </c>
      <c r="C129" s="4">
        <v>2013</v>
      </c>
      <c r="D129" s="5" t="s">
        <v>64</v>
      </c>
      <c r="E129" s="3" t="s">
        <v>10</v>
      </c>
      <c r="F129" s="3"/>
      <c r="H129" s="3" t="s">
        <v>23</v>
      </c>
    </row>
    <row r="130" spans="1:8" ht="16">
      <c r="A130" s="4">
        <v>23146098</v>
      </c>
      <c r="B130" s="1" t="s">
        <v>448</v>
      </c>
      <c r="C130" s="4">
        <v>2012</v>
      </c>
      <c r="D130" s="5" t="s">
        <v>449</v>
      </c>
      <c r="E130" s="3" t="s">
        <v>10</v>
      </c>
      <c r="F130" s="3"/>
      <c r="H130" s="3" t="s">
        <v>23</v>
      </c>
    </row>
    <row r="131" spans="1:8" ht="16">
      <c r="A131" s="4">
        <v>23080502</v>
      </c>
      <c r="B131" s="1" t="s">
        <v>324</v>
      </c>
      <c r="C131" s="4">
        <v>2012</v>
      </c>
      <c r="D131" s="5" t="s">
        <v>325</v>
      </c>
      <c r="E131" s="3" t="s">
        <v>10</v>
      </c>
      <c r="F131" s="3"/>
      <c r="H131" s="3" t="s">
        <v>23</v>
      </c>
    </row>
    <row r="132" spans="1:8" ht="16">
      <c r="A132" s="4">
        <v>22825817</v>
      </c>
      <c r="B132" s="1" t="s">
        <v>235</v>
      </c>
      <c r="C132" s="4">
        <v>2012</v>
      </c>
      <c r="D132" s="5" t="s">
        <v>236</v>
      </c>
      <c r="E132" s="3" t="s">
        <v>10</v>
      </c>
      <c r="F132" s="3"/>
      <c r="H132" s="3" t="s">
        <v>23</v>
      </c>
    </row>
    <row r="133" spans="1:8" ht="16">
      <c r="A133" s="4">
        <v>22820131</v>
      </c>
      <c r="B133" s="1" t="s">
        <v>306</v>
      </c>
      <c r="C133" s="4">
        <v>2012</v>
      </c>
      <c r="D133" s="5" t="s">
        <v>307</v>
      </c>
      <c r="E133" s="3" t="s">
        <v>10</v>
      </c>
      <c r="F133" s="3"/>
      <c r="H133" s="3" t="s">
        <v>23</v>
      </c>
    </row>
    <row r="134" spans="1:8" ht="16">
      <c r="A134" s="4">
        <v>22750998</v>
      </c>
      <c r="B134" s="1" t="s">
        <v>388</v>
      </c>
      <c r="C134" s="4">
        <v>2013</v>
      </c>
      <c r="D134" s="5" t="s">
        <v>389</v>
      </c>
      <c r="E134" s="3" t="s">
        <v>10</v>
      </c>
      <c r="F134" s="3"/>
      <c r="H134" s="3" t="s">
        <v>23</v>
      </c>
    </row>
    <row r="135" spans="1:8" ht="16">
      <c r="A135" s="4">
        <v>22641196</v>
      </c>
      <c r="B135" s="1" t="s">
        <v>368</v>
      </c>
      <c r="C135" s="4">
        <v>2012</v>
      </c>
      <c r="D135" s="5" t="s">
        <v>369</v>
      </c>
      <c r="E135" s="3" t="s">
        <v>10</v>
      </c>
      <c r="F135" s="3"/>
      <c r="H135" s="3" t="s">
        <v>23</v>
      </c>
    </row>
    <row r="136" spans="1:8" ht="16">
      <c r="A136" s="4">
        <v>22564265</v>
      </c>
      <c r="B136" s="1" t="s">
        <v>398</v>
      </c>
      <c r="C136" s="4">
        <v>2012</v>
      </c>
      <c r="D136" s="5" t="s">
        <v>399</v>
      </c>
      <c r="E136" s="3" t="s">
        <v>10</v>
      </c>
      <c r="F136" s="3"/>
      <c r="H136" s="3" t="s">
        <v>23</v>
      </c>
    </row>
    <row r="137" spans="1:8" ht="16">
      <c r="A137" s="4">
        <v>22212513</v>
      </c>
      <c r="B137" s="1" t="s">
        <v>292</v>
      </c>
      <c r="C137" s="4">
        <v>2012</v>
      </c>
      <c r="D137" s="5" t="s">
        <v>293</v>
      </c>
      <c r="E137" s="3" t="s">
        <v>10</v>
      </c>
      <c r="F137" s="3"/>
      <c r="H137" s="3" t="s">
        <v>23</v>
      </c>
    </row>
    <row r="138" spans="1:8" ht="16">
      <c r="A138" s="4">
        <v>22048789</v>
      </c>
      <c r="B138" s="1" t="s">
        <v>97</v>
      </c>
      <c r="C138" s="4">
        <v>2012</v>
      </c>
      <c r="D138" s="5" t="s">
        <v>98</v>
      </c>
      <c r="E138" s="3" t="s">
        <v>10</v>
      </c>
      <c r="F138" s="3"/>
      <c r="H138" s="3" t="s">
        <v>23</v>
      </c>
    </row>
    <row r="139" spans="1:8" ht="16">
      <c r="A139" s="4">
        <v>22018204</v>
      </c>
      <c r="B139" s="1" t="s">
        <v>510</v>
      </c>
      <c r="C139" s="4">
        <v>2011</v>
      </c>
      <c r="D139" s="5" t="s">
        <v>511</v>
      </c>
      <c r="E139" s="3" t="s">
        <v>10</v>
      </c>
      <c r="F139" s="3"/>
      <c r="H139" s="3" t="s">
        <v>23</v>
      </c>
    </row>
    <row r="140" spans="1:8" ht="16">
      <c r="A140" s="4">
        <v>21810148</v>
      </c>
      <c r="B140" s="1" t="s">
        <v>534</v>
      </c>
      <c r="C140" s="4">
        <v>2011</v>
      </c>
      <c r="D140" s="5" t="s">
        <v>535</v>
      </c>
      <c r="E140" s="3" t="s">
        <v>10</v>
      </c>
      <c r="F140" s="3"/>
      <c r="H140" s="3" t="s">
        <v>23</v>
      </c>
    </row>
    <row r="141" spans="1:8" ht="16">
      <c r="A141" s="4">
        <v>21804462</v>
      </c>
      <c r="B141" s="1" t="s">
        <v>336</v>
      </c>
      <c r="C141" s="4">
        <v>2011</v>
      </c>
      <c r="D141" s="5" t="s">
        <v>337</v>
      </c>
      <c r="E141" s="3" t="s">
        <v>10</v>
      </c>
      <c r="F141" s="3"/>
      <c r="H141" s="3" t="s">
        <v>23</v>
      </c>
    </row>
    <row r="142" spans="1:8" ht="16">
      <c r="A142" s="4">
        <v>21801705</v>
      </c>
      <c r="B142" s="1" t="s">
        <v>91</v>
      </c>
      <c r="C142" s="4">
        <v>2012</v>
      </c>
      <c r="D142" s="5" t="s">
        <v>92</v>
      </c>
      <c r="E142" s="3" t="s">
        <v>10</v>
      </c>
      <c r="F142" s="3"/>
      <c r="H142" s="3" t="s">
        <v>23</v>
      </c>
    </row>
    <row r="143" spans="1:8" ht="16">
      <c r="A143" s="4">
        <v>21794043</v>
      </c>
      <c r="B143" s="1" t="s">
        <v>412</v>
      </c>
      <c r="C143" s="4">
        <v>2012</v>
      </c>
      <c r="D143" s="5" t="s">
        <v>413</v>
      </c>
      <c r="E143" s="3" t="s">
        <v>10</v>
      </c>
      <c r="F143" s="3"/>
      <c r="H143" s="3" t="s">
        <v>23</v>
      </c>
    </row>
    <row r="144" spans="1:8" ht="16">
      <c r="A144" s="4">
        <v>21549850</v>
      </c>
      <c r="B144" s="1" t="s">
        <v>432</v>
      </c>
      <c r="C144" s="4">
        <v>2011</v>
      </c>
      <c r="D144" s="5" t="s">
        <v>433</v>
      </c>
      <c r="E144" s="3" t="s">
        <v>10</v>
      </c>
      <c r="F144" s="3"/>
      <c r="H144" s="3" t="s">
        <v>23</v>
      </c>
    </row>
    <row r="145" spans="1:8" ht="16">
      <c r="A145" s="4">
        <v>21538037</v>
      </c>
      <c r="B145" s="1" t="s">
        <v>219</v>
      </c>
      <c r="C145" s="4">
        <v>2011</v>
      </c>
      <c r="D145" s="5" t="s">
        <v>220</v>
      </c>
      <c r="E145" s="3" t="s">
        <v>10</v>
      </c>
      <c r="F145" s="3"/>
      <c r="H145" s="3" t="s">
        <v>23</v>
      </c>
    </row>
    <row r="146" spans="1:8" ht="16">
      <c r="A146" s="4">
        <v>21457420</v>
      </c>
      <c r="B146" s="1" t="s">
        <v>574</v>
      </c>
      <c r="C146" s="4">
        <v>2011</v>
      </c>
      <c r="D146" s="5" t="s">
        <v>575</v>
      </c>
      <c r="E146" s="3" t="s">
        <v>10</v>
      </c>
      <c r="F146" s="3"/>
      <c r="H146" s="3" t="s">
        <v>23</v>
      </c>
    </row>
    <row r="147" spans="1:8" ht="16">
      <c r="A147" s="4">
        <v>21389320</v>
      </c>
      <c r="B147" s="1" t="s">
        <v>304</v>
      </c>
      <c r="C147" s="4">
        <v>2011</v>
      </c>
      <c r="D147" s="5" t="s">
        <v>305</v>
      </c>
      <c r="E147" s="3" t="s">
        <v>10</v>
      </c>
      <c r="F147" s="3"/>
      <c r="H147" s="3" t="s">
        <v>23</v>
      </c>
    </row>
    <row r="148" spans="1:8" ht="16">
      <c r="A148" s="4">
        <v>21376661</v>
      </c>
      <c r="B148" s="1" t="s">
        <v>106</v>
      </c>
      <c r="C148" s="4">
        <v>2011</v>
      </c>
      <c r="D148" s="5" t="s">
        <v>107</v>
      </c>
      <c r="E148" s="3" t="s">
        <v>10</v>
      </c>
      <c r="F148" s="3"/>
      <c r="H148" s="3" t="s">
        <v>23</v>
      </c>
    </row>
    <row r="149" spans="1:8" ht="16">
      <c r="A149" s="4">
        <v>21296175</v>
      </c>
      <c r="B149" s="1" t="s">
        <v>430</v>
      </c>
      <c r="C149" s="4">
        <v>2011</v>
      </c>
      <c r="D149" s="5" t="s">
        <v>431</v>
      </c>
      <c r="E149" s="3" t="s">
        <v>10</v>
      </c>
      <c r="F149" s="3"/>
      <c r="H149" s="3" t="s">
        <v>23</v>
      </c>
    </row>
    <row r="150" spans="1:8" ht="16">
      <c r="A150" s="4">
        <v>20970670</v>
      </c>
      <c r="B150" s="1" t="s">
        <v>221</v>
      </c>
      <c r="C150" s="4">
        <v>2010</v>
      </c>
      <c r="D150" s="5" t="s">
        <v>222</v>
      </c>
      <c r="E150" s="3" t="s">
        <v>10</v>
      </c>
      <c r="F150" s="3"/>
      <c r="H150" s="3" t="s">
        <v>23</v>
      </c>
    </row>
    <row r="151" spans="1:8" ht="16">
      <c r="A151" s="4">
        <v>20872080</v>
      </c>
      <c r="B151" s="1" t="s">
        <v>203</v>
      </c>
      <c r="C151" s="4">
        <v>2010</v>
      </c>
      <c r="D151" s="5" t="s">
        <v>204</v>
      </c>
      <c r="E151" s="3" t="s">
        <v>10</v>
      </c>
      <c r="F151" s="3"/>
      <c r="H151" s="3" t="s">
        <v>23</v>
      </c>
    </row>
    <row r="152" spans="1:8" ht="16">
      <c r="A152" s="4">
        <v>20851868</v>
      </c>
      <c r="B152" s="1" t="s">
        <v>496</v>
      </c>
      <c r="C152" s="4">
        <v>2011</v>
      </c>
      <c r="D152" s="5" t="s">
        <v>497</v>
      </c>
      <c r="E152" s="3" t="s">
        <v>10</v>
      </c>
      <c r="F152" s="3"/>
      <c r="H152" s="3" t="s">
        <v>23</v>
      </c>
    </row>
    <row r="153" spans="1:8" ht="16">
      <c r="A153" s="4">
        <v>20838386</v>
      </c>
      <c r="B153" s="1" t="s">
        <v>263</v>
      </c>
      <c r="C153" s="4">
        <v>2011</v>
      </c>
      <c r="D153" s="5" t="s">
        <v>264</v>
      </c>
      <c r="E153" s="3" t="s">
        <v>10</v>
      </c>
      <c r="F153" s="3"/>
    </row>
    <row r="154" spans="1:8" ht="16">
      <c r="A154" s="4">
        <v>20685258</v>
      </c>
      <c r="B154" s="1" t="s">
        <v>420</v>
      </c>
      <c r="C154" s="4">
        <v>2010</v>
      </c>
      <c r="D154" s="5" t="s">
        <v>421</v>
      </c>
      <c r="E154" s="3" t="s">
        <v>10</v>
      </c>
      <c r="F154" s="3"/>
    </row>
    <row r="155" spans="1:8" ht="16">
      <c r="A155" s="4">
        <v>20534025</v>
      </c>
      <c r="B155" s="1" t="s">
        <v>410</v>
      </c>
      <c r="C155" s="4">
        <v>2010</v>
      </c>
      <c r="D155" s="5" t="s">
        <v>411</v>
      </c>
      <c r="E155" s="3" t="s">
        <v>10</v>
      </c>
      <c r="F155" s="3"/>
    </row>
    <row r="156" spans="1:8" ht="16">
      <c r="A156" s="4">
        <v>20399877</v>
      </c>
      <c r="B156" s="1" t="s">
        <v>484</v>
      </c>
      <c r="C156" s="4">
        <v>2010</v>
      </c>
      <c r="D156" s="5" t="s">
        <v>485</v>
      </c>
      <c r="E156" s="3" t="s">
        <v>10</v>
      </c>
      <c r="F156" s="3"/>
    </row>
    <row r="157" spans="1:8" ht="16">
      <c r="A157" s="4">
        <v>20228849</v>
      </c>
      <c r="B157" s="1" t="s">
        <v>466</v>
      </c>
      <c r="C157" s="4">
        <v>2011</v>
      </c>
      <c r="D157" s="5" t="s">
        <v>467</v>
      </c>
      <c r="E157" s="3" t="s">
        <v>10</v>
      </c>
      <c r="F157" s="3"/>
    </row>
    <row r="158" spans="1:8" ht="16">
      <c r="A158" s="4">
        <v>20138915</v>
      </c>
      <c r="B158" s="1" t="s">
        <v>229</v>
      </c>
      <c r="C158" s="4">
        <v>2010</v>
      </c>
      <c r="D158" s="5" t="s">
        <v>230</v>
      </c>
      <c r="E158" s="3" t="s">
        <v>10</v>
      </c>
      <c r="F158" s="3"/>
    </row>
    <row r="159" spans="1:8" ht="16">
      <c r="A159" s="4">
        <v>20005968</v>
      </c>
      <c r="B159" s="1" t="s">
        <v>201</v>
      </c>
      <c r="C159" s="4">
        <v>2010</v>
      </c>
      <c r="D159" s="5" t="s">
        <v>202</v>
      </c>
      <c r="E159" s="3" t="s">
        <v>10</v>
      </c>
      <c r="F159" s="3"/>
    </row>
    <row r="160" spans="1:8" ht="16">
      <c r="A160" s="4">
        <v>19935727</v>
      </c>
      <c r="B160" s="1" t="s">
        <v>428</v>
      </c>
      <c r="C160" s="4">
        <v>2010</v>
      </c>
      <c r="D160" s="5" t="s">
        <v>429</v>
      </c>
      <c r="E160" s="3" t="s">
        <v>10</v>
      </c>
      <c r="F160" s="3"/>
    </row>
    <row r="161" spans="1:6" ht="16">
      <c r="A161" s="4">
        <v>19843234</v>
      </c>
      <c r="B161" s="1" t="s">
        <v>436</v>
      </c>
      <c r="C161" s="4">
        <v>2010</v>
      </c>
      <c r="D161" s="5" t="s">
        <v>437</v>
      </c>
      <c r="E161" s="3" t="s">
        <v>10</v>
      </c>
      <c r="F161" s="3"/>
    </row>
    <row r="162" spans="1:6" ht="16">
      <c r="A162" s="4">
        <v>19505844</v>
      </c>
      <c r="B162" s="1" t="s">
        <v>247</v>
      </c>
      <c r="C162" s="4">
        <v>2009</v>
      </c>
      <c r="D162" s="5" t="s">
        <v>248</v>
      </c>
      <c r="E162" s="3" t="s">
        <v>10</v>
      </c>
      <c r="F162" s="3"/>
    </row>
    <row r="163" spans="1:6" ht="16">
      <c r="A163" s="4">
        <v>19465942</v>
      </c>
      <c r="B163" s="1" t="s">
        <v>394</v>
      </c>
      <c r="C163" s="4">
        <v>2010</v>
      </c>
      <c r="D163" s="5" t="s">
        <v>395</v>
      </c>
      <c r="E163" s="3" t="s">
        <v>10</v>
      </c>
      <c r="F163" s="3"/>
    </row>
    <row r="164" spans="1:6" ht="16">
      <c r="A164" s="4">
        <v>19298239</v>
      </c>
      <c r="B164" s="1" t="s">
        <v>516</v>
      </c>
      <c r="C164" s="4">
        <v>2009</v>
      </c>
      <c r="D164" s="5" t="s">
        <v>517</v>
      </c>
      <c r="E164" s="3" t="s">
        <v>10</v>
      </c>
      <c r="F164" s="3"/>
    </row>
    <row r="165" spans="1:6" ht="16">
      <c r="A165" s="4">
        <v>18695666</v>
      </c>
      <c r="B165" s="1" t="s">
        <v>109</v>
      </c>
      <c r="C165" s="4">
        <v>2008</v>
      </c>
      <c r="D165" s="5" t="s">
        <v>275</v>
      </c>
      <c r="E165" s="3" t="s">
        <v>10</v>
      </c>
      <c r="F165" s="3"/>
    </row>
    <row r="166" spans="1:6" ht="16">
      <c r="A166" s="4">
        <v>18679368</v>
      </c>
      <c r="B166" s="1" t="s">
        <v>396</v>
      </c>
      <c r="C166" s="4">
        <v>2008</v>
      </c>
      <c r="D166" s="5" t="s">
        <v>397</v>
      </c>
      <c r="E166" s="3" t="s">
        <v>10</v>
      </c>
      <c r="F166" s="3"/>
    </row>
    <row r="167" spans="1:6" ht="16">
      <c r="A167" s="4">
        <v>18662831</v>
      </c>
      <c r="B167" s="1" t="s">
        <v>211</v>
      </c>
      <c r="C167" s="4">
        <v>2008</v>
      </c>
      <c r="D167" s="5" t="s">
        <v>212</v>
      </c>
      <c r="E167" s="3" t="s">
        <v>10</v>
      </c>
      <c r="F167" s="3"/>
    </row>
    <row r="168" spans="1:6" ht="16">
      <c r="A168" s="4">
        <v>18541204</v>
      </c>
      <c r="B168" s="1" t="s">
        <v>314</v>
      </c>
      <c r="C168" s="4">
        <v>2008</v>
      </c>
      <c r="D168" s="5" t="s">
        <v>315</v>
      </c>
      <c r="E168" s="3" t="s">
        <v>10</v>
      </c>
      <c r="F168" s="3"/>
    </row>
    <row r="169" spans="1:6" ht="16">
      <c r="A169" s="4">
        <v>18512026</v>
      </c>
      <c r="B169" s="1" t="s">
        <v>153</v>
      </c>
      <c r="C169" s="4">
        <v>2008</v>
      </c>
      <c r="D169" s="5" t="s">
        <v>154</v>
      </c>
      <c r="E169" s="3" t="s">
        <v>10</v>
      </c>
      <c r="F169" s="3"/>
    </row>
    <row r="170" spans="1:6" ht="16">
      <c r="A170" s="4">
        <v>18367292</v>
      </c>
      <c r="B170" s="1" t="s">
        <v>207</v>
      </c>
      <c r="C170" s="4">
        <v>2008</v>
      </c>
      <c r="D170" s="5" t="s">
        <v>208</v>
      </c>
      <c r="E170" s="3" t="s">
        <v>10</v>
      </c>
      <c r="F170" s="3"/>
    </row>
    <row r="171" spans="1:6" ht="16">
      <c r="A171" s="4">
        <v>18037945</v>
      </c>
      <c r="B171" s="1" t="s">
        <v>209</v>
      </c>
      <c r="C171" s="4">
        <v>2008</v>
      </c>
      <c r="D171" s="5" t="s">
        <v>210</v>
      </c>
      <c r="E171" s="3" t="s">
        <v>10</v>
      </c>
      <c r="F171" s="3"/>
    </row>
    <row r="172" spans="1:6" ht="16">
      <c r="A172" s="4">
        <v>17620548</v>
      </c>
      <c r="B172" s="1" t="s">
        <v>440</v>
      </c>
      <c r="C172" s="4">
        <v>2007</v>
      </c>
      <c r="D172" s="5" t="s">
        <v>441</v>
      </c>
      <c r="E172" s="3" t="s">
        <v>10</v>
      </c>
      <c r="F172" s="3"/>
    </row>
    <row r="173" spans="1:6" ht="16">
      <c r="A173" s="4">
        <v>17448218</v>
      </c>
      <c r="B173" s="1" t="s">
        <v>356</v>
      </c>
      <c r="C173" s="4">
        <v>2007</v>
      </c>
      <c r="D173" s="5" t="s">
        <v>357</v>
      </c>
      <c r="E173" s="3" t="s">
        <v>10</v>
      </c>
      <c r="F173" s="3"/>
    </row>
    <row r="174" spans="1:6" ht="16">
      <c r="A174" s="4">
        <v>17401392</v>
      </c>
      <c r="B174" s="1" t="s">
        <v>424</v>
      </c>
      <c r="C174" s="4">
        <v>2007</v>
      </c>
      <c r="D174" s="5" t="s">
        <v>425</v>
      </c>
      <c r="E174" s="3" t="s">
        <v>10</v>
      </c>
      <c r="F174" s="3"/>
    </row>
    <row r="175" spans="1:6" ht="16">
      <c r="A175" s="4">
        <v>17376882</v>
      </c>
      <c r="B175" s="1" t="s">
        <v>233</v>
      </c>
      <c r="C175" s="4">
        <v>2007</v>
      </c>
      <c r="D175" s="5" t="s">
        <v>234</v>
      </c>
      <c r="E175" s="3" t="s">
        <v>10</v>
      </c>
      <c r="F175" s="3"/>
    </row>
    <row r="176" spans="1:6" ht="16">
      <c r="A176" s="4">
        <v>17334385</v>
      </c>
      <c r="B176" s="1" t="s">
        <v>193</v>
      </c>
      <c r="C176" s="4">
        <v>2007</v>
      </c>
      <c r="D176" s="5" t="s">
        <v>194</v>
      </c>
      <c r="E176" s="3" t="s">
        <v>10</v>
      </c>
      <c r="F176" s="3"/>
    </row>
    <row r="177" spans="1:6" ht="16">
      <c r="A177" s="4">
        <v>17259874</v>
      </c>
      <c r="B177" s="1" t="s">
        <v>472</v>
      </c>
      <c r="C177" s="4">
        <v>2007</v>
      </c>
      <c r="D177" s="5" t="s">
        <v>473</v>
      </c>
      <c r="E177" s="3" t="s">
        <v>10</v>
      </c>
      <c r="F177" s="3"/>
    </row>
    <row r="178" spans="1:6" ht="16">
      <c r="A178" s="4">
        <v>17222758</v>
      </c>
      <c r="B178" s="1" t="s">
        <v>342</v>
      </c>
      <c r="C178" s="4">
        <v>2007</v>
      </c>
      <c r="D178" s="5" t="s">
        <v>343</v>
      </c>
      <c r="E178" s="3" t="s">
        <v>10</v>
      </c>
      <c r="F178" s="3"/>
    </row>
    <row r="179" spans="1:6" ht="16">
      <c r="A179" s="4">
        <v>17207644</v>
      </c>
      <c r="B179" s="1" t="s">
        <v>197</v>
      </c>
      <c r="C179" s="4">
        <v>2007</v>
      </c>
      <c r="D179" s="5" t="s">
        <v>198</v>
      </c>
      <c r="E179" s="3" t="s">
        <v>10</v>
      </c>
      <c r="F179" s="3"/>
    </row>
    <row r="180" spans="1:6" ht="16">
      <c r="A180" s="4">
        <v>17205485</v>
      </c>
      <c r="B180" s="1" t="s">
        <v>205</v>
      </c>
      <c r="C180" s="4">
        <v>2007</v>
      </c>
      <c r="D180" s="5" t="s">
        <v>206</v>
      </c>
      <c r="E180" s="3" t="s">
        <v>10</v>
      </c>
      <c r="F180" s="3"/>
    </row>
    <row r="181" spans="1:6" ht="16">
      <c r="A181" s="4">
        <v>17189225</v>
      </c>
      <c r="B181" s="1" t="s">
        <v>438</v>
      </c>
      <c r="C181" s="4">
        <v>2006</v>
      </c>
      <c r="D181" s="5" t="s">
        <v>439</v>
      </c>
      <c r="E181" s="3" t="s">
        <v>10</v>
      </c>
      <c r="F181" s="3"/>
    </row>
    <row r="182" spans="1:6" ht="16">
      <c r="A182" s="4">
        <v>17110691</v>
      </c>
      <c r="B182" s="1" t="s">
        <v>358</v>
      </c>
      <c r="C182" s="4">
        <v>2006</v>
      </c>
      <c r="D182" s="5" t="s">
        <v>359</v>
      </c>
      <c r="E182" s="3" t="s">
        <v>10</v>
      </c>
      <c r="F182" s="3"/>
    </row>
    <row r="183" spans="1:6" ht="16">
      <c r="A183" s="4">
        <v>17067909</v>
      </c>
      <c r="B183" s="1" t="s">
        <v>109</v>
      </c>
      <c r="C183" s="4">
        <v>2006</v>
      </c>
      <c r="D183" s="5" t="s">
        <v>110</v>
      </c>
      <c r="E183" s="3" t="s">
        <v>10</v>
      </c>
      <c r="F183" s="3"/>
    </row>
    <row r="184" spans="1:6" ht="16">
      <c r="A184" s="4">
        <v>17050202</v>
      </c>
      <c r="B184" s="1" t="s">
        <v>267</v>
      </c>
      <c r="C184" s="4">
        <v>2006</v>
      </c>
      <c r="D184" s="5" t="s">
        <v>268</v>
      </c>
      <c r="E184" s="3" t="s">
        <v>10</v>
      </c>
      <c r="F184" s="3"/>
    </row>
    <row r="185" spans="1:6" ht="16">
      <c r="A185" s="4">
        <v>16956672</v>
      </c>
      <c r="B185" s="1" t="s">
        <v>255</v>
      </c>
      <c r="C185" s="4">
        <v>2006</v>
      </c>
      <c r="D185" s="5" t="s">
        <v>256</v>
      </c>
      <c r="E185" s="3" t="s">
        <v>10</v>
      </c>
      <c r="F185" s="3"/>
    </row>
    <row r="186" spans="1:6" ht="16">
      <c r="A186" s="4">
        <v>16417932</v>
      </c>
      <c r="B186" s="1" t="s">
        <v>249</v>
      </c>
      <c r="C186" s="4">
        <v>2006</v>
      </c>
      <c r="D186" s="5" t="s">
        <v>250</v>
      </c>
      <c r="E186" s="3" t="s">
        <v>10</v>
      </c>
      <c r="F186" s="3"/>
    </row>
    <row r="187" spans="1:6" ht="16">
      <c r="A187" s="4">
        <v>16323134</v>
      </c>
      <c r="B187" s="1" t="s">
        <v>144</v>
      </c>
      <c r="C187" s="4">
        <v>2006</v>
      </c>
      <c r="D187" s="5" t="s">
        <v>145</v>
      </c>
      <c r="E187" s="3" t="s">
        <v>10</v>
      </c>
      <c r="F187" s="3"/>
    </row>
    <row r="188" spans="1:6" ht="16">
      <c r="A188" s="4">
        <v>16289345</v>
      </c>
      <c r="B188" s="1" t="s">
        <v>362</v>
      </c>
      <c r="C188" s="4">
        <v>2006</v>
      </c>
      <c r="D188" s="5" t="s">
        <v>363</v>
      </c>
      <c r="E188" s="3" t="s">
        <v>10</v>
      </c>
      <c r="F188" s="3"/>
    </row>
    <row r="189" spans="1:6" ht="16">
      <c r="A189" s="4">
        <v>16281938</v>
      </c>
      <c r="B189" s="1" t="s">
        <v>141</v>
      </c>
      <c r="C189" s="4">
        <v>2005</v>
      </c>
      <c r="D189" s="5" t="s">
        <v>142</v>
      </c>
      <c r="E189" s="3" t="s">
        <v>10</v>
      </c>
      <c r="F189" s="3"/>
    </row>
    <row r="190" spans="1:6" ht="16">
      <c r="A190" s="4">
        <v>16247430</v>
      </c>
      <c r="B190" s="1" t="s">
        <v>261</v>
      </c>
      <c r="C190" s="4">
        <v>2005</v>
      </c>
      <c r="D190" s="5" t="s">
        <v>262</v>
      </c>
      <c r="E190" s="3" t="s">
        <v>10</v>
      </c>
      <c r="F190" s="3"/>
    </row>
    <row r="191" spans="1:6" ht="16">
      <c r="A191" s="4">
        <v>16213350</v>
      </c>
      <c r="B191" s="1" t="s">
        <v>446</v>
      </c>
      <c r="C191" s="4">
        <v>2005</v>
      </c>
      <c r="D191" s="5" t="s">
        <v>447</v>
      </c>
      <c r="E191" s="3" t="s">
        <v>10</v>
      </c>
      <c r="F191" s="3"/>
    </row>
    <row r="192" spans="1:6" ht="16">
      <c r="A192" s="4">
        <v>16183328</v>
      </c>
      <c r="B192" s="1" t="s">
        <v>103</v>
      </c>
      <c r="C192" s="4">
        <v>2006</v>
      </c>
      <c r="D192" s="5" t="s">
        <v>104</v>
      </c>
      <c r="E192" s="3" t="s">
        <v>10</v>
      </c>
      <c r="F192" s="3"/>
    </row>
    <row r="193" spans="1:7" ht="16">
      <c r="A193" s="4">
        <v>15983553</v>
      </c>
      <c r="B193" s="1" t="s">
        <v>121</v>
      </c>
      <c r="C193" s="4">
        <v>2005</v>
      </c>
      <c r="D193" s="5" t="s">
        <v>122</v>
      </c>
      <c r="E193" s="3" t="s">
        <v>10</v>
      </c>
      <c r="F193" s="3"/>
    </row>
    <row r="194" spans="1:7" ht="16">
      <c r="A194" s="4">
        <v>15936168</v>
      </c>
      <c r="B194" s="1" t="s">
        <v>518</v>
      </c>
      <c r="C194" s="4">
        <v>2005</v>
      </c>
      <c r="D194" s="5" t="s">
        <v>519</v>
      </c>
      <c r="E194" s="3" t="s">
        <v>10</v>
      </c>
      <c r="F194" s="3"/>
    </row>
    <row r="195" spans="1:7" ht="16">
      <c r="A195" s="4">
        <v>15824982</v>
      </c>
      <c r="B195" s="1" t="s">
        <v>162</v>
      </c>
      <c r="C195" s="4">
        <v>2005</v>
      </c>
      <c r="D195" s="5" t="s">
        <v>163</v>
      </c>
      <c r="E195" s="3" t="s">
        <v>10</v>
      </c>
      <c r="F195" s="3"/>
    </row>
    <row r="196" spans="1:7" ht="16">
      <c r="A196" s="4">
        <v>15700258</v>
      </c>
      <c r="B196" s="1" t="s">
        <v>372</v>
      </c>
      <c r="C196" s="4">
        <v>2005</v>
      </c>
      <c r="D196" s="5" t="s">
        <v>373</v>
      </c>
      <c r="E196" s="3" t="s">
        <v>10</v>
      </c>
      <c r="F196" s="3"/>
    </row>
    <row r="197" spans="1:7" ht="16">
      <c r="A197" s="4">
        <v>15625542</v>
      </c>
      <c r="B197" s="1" t="s">
        <v>302</v>
      </c>
      <c r="C197" s="4">
        <v>2005</v>
      </c>
      <c r="D197" s="5" t="s">
        <v>303</v>
      </c>
      <c r="E197" s="3" t="s">
        <v>10</v>
      </c>
      <c r="F197" s="3"/>
    </row>
    <row r="198" spans="1:7" ht="16">
      <c r="A198" s="4">
        <v>15606551</v>
      </c>
      <c r="B198" s="1" t="s">
        <v>150</v>
      </c>
      <c r="C198" s="4">
        <v>2005</v>
      </c>
      <c r="D198" s="5" t="s">
        <v>151</v>
      </c>
      <c r="E198" s="3" t="s">
        <v>10</v>
      </c>
      <c r="F198" s="3"/>
    </row>
    <row r="199" spans="1:7" ht="16">
      <c r="A199" s="4">
        <v>15494267</v>
      </c>
      <c r="B199" s="1" t="s">
        <v>376</v>
      </c>
      <c r="C199" s="4">
        <v>2004</v>
      </c>
      <c r="D199" s="5" t="s">
        <v>377</v>
      </c>
      <c r="E199" s="3" t="s">
        <v>10</v>
      </c>
      <c r="F199" s="3"/>
      <c r="G199" s="3"/>
    </row>
    <row r="200" spans="1:7" ht="16">
      <c r="A200" s="4">
        <v>15483248</v>
      </c>
      <c r="B200" s="1" t="s">
        <v>71</v>
      </c>
      <c r="C200" s="4">
        <v>2004</v>
      </c>
      <c r="D200" s="5" t="s">
        <v>72</v>
      </c>
      <c r="E200" s="3" t="s">
        <v>10</v>
      </c>
      <c r="F200" s="3"/>
      <c r="G200" s="3"/>
    </row>
    <row r="201" spans="1:7" ht="16">
      <c r="A201" s="4">
        <v>15327521</v>
      </c>
      <c r="B201" s="1" t="s">
        <v>245</v>
      </c>
      <c r="C201" s="4">
        <v>2004</v>
      </c>
      <c r="D201" s="5" t="s">
        <v>246</v>
      </c>
      <c r="E201" s="3" t="s">
        <v>10</v>
      </c>
      <c r="F201" s="3"/>
      <c r="G201" s="3"/>
    </row>
    <row r="202" spans="1:7" ht="16">
      <c r="A202" s="4">
        <v>14981771</v>
      </c>
      <c r="B202" s="1" t="s">
        <v>360</v>
      </c>
      <c r="C202" s="4">
        <v>2004</v>
      </c>
      <c r="D202" s="5" t="s">
        <v>361</v>
      </c>
      <c r="E202" s="3" t="s">
        <v>10</v>
      </c>
      <c r="F202" s="3"/>
      <c r="G202" s="3"/>
    </row>
    <row r="203" spans="1:7" ht="16">
      <c r="A203" s="4">
        <v>14744020</v>
      </c>
      <c r="B203" s="1" t="s">
        <v>126</v>
      </c>
      <c r="C203" s="4">
        <v>2003</v>
      </c>
      <c r="D203" s="5" t="s">
        <v>127</v>
      </c>
      <c r="E203" s="3" t="s">
        <v>10</v>
      </c>
      <c r="F203" s="3"/>
      <c r="G203" s="3"/>
    </row>
    <row r="204" spans="1:7" ht="16">
      <c r="A204" s="4">
        <v>12971497</v>
      </c>
      <c r="B204" s="1" t="s">
        <v>257</v>
      </c>
      <c r="C204" s="4">
        <v>2002</v>
      </c>
      <c r="D204" s="5" t="s">
        <v>258</v>
      </c>
      <c r="E204" s="3" t="s">
        <v>10</v>
      </c>
      <c r="F204" s="3"/>
    </row>
    <row r="205" spans="1:7" ht="16">
      <c r="A205" s="4">
        <v>12858204</v>
      </c>
      <c r="B205" s="1" t="s">
        <v>486</v>
      </c>
      <c r="C205" s="4">
        <v>2003</v>
      </c>
      <c r="D205" s="5" t="s">
        <v>487</v>
      </c>
      <c r="E205" s="3" t="s">
        <v>10</v>
      </c>
      <c r="F205" s="3"/>
    </row>
    <row r="206" spans="1:7" ht="16">
      <c r="A206" s="4">
        <v>12709076</v>
      </c>
      <c r="B206" s="1" t="s">
        <v>382</v>
      </c>
      <c r="C206" s="4">
        <v>2003</v>
      </c>
      <c r="D206" s="5" t="s">
        <v>383</v>
      </c>
      <c r="E206" s="3" t="s">
        <v>10</v>
      </c>
      <c r="F206" s="3"/>
      <c r="G206" s="3"/>
    </row>
    <row r="207" spans="1:7" ht="16">
      <c r="A207" s="4">
        <v>12665843</v>
      </c>
      <c r="B207" s="1" t="s">
        <v>418</v>
      </c>
      <c r="C207" s="4">
        <v>2003</v>
      </c>
      <c r="D207" s="5" t="s">
        <v>419</v>
      </c>
      <c r="E207" s="3" t="s">
        <v>10</v>
      </c>
      <c r="F207" s="3"/>
      <c r="G207" s="3"/>
    </row>
    <row r="208" spans="1:7" ht="16">
      <c r="A208" s="4">
        <v>12552442</v>
      </c>
      <c r="B208" s="1" t="s">
        <v>87</v>
      </c>
      <c r="C208" s="4">
        <v>2003</v>
      </c>
      <c r="D208" s="5" t="s">
        <v>88</v>
      </c>
      <c r="E208" s="3" t="s">
        <v>10</v>
      </c>
      <c r="F208" s="3"/>
      <c r="G208" s="3"/>
    </row>
    <row r="209" spans="1:7" ht="16">
      <c r="A209" s="4">
        <v>12529677</v>
      </c>
      <c r="B209" s="1" t="s">
        <v>296</v>
      </c>
      <c r="C209" s="4">
        <v>2003</v>
      </c>
      <c r="D209" s="5" t="s">
        <v>297</v>
      </c>
      <c r="E209" s="3" t="s">
        <v>10</v>
      </c>
      <c r="F209" s="3"/>
      <c r="G209" s="3"/>
    </row>
    <row r="210" spans="1:7" ht="16">
      <c r="A210" s="4">
        <v>12477249</v>
      </c>
      <c r="B210" s="1" t="s">
        <v>217</v>
      </c>
      <c r="C210" s="4">
        <v>2002</v>
      </c>
      <c r="D210" s="5" t="s">
        <v>218</v>
      </c>
      <c r="E210" s="3" t="s">
        <v>10</v>
      </c>
      <c r="F210" s="3"/>
      <c r="G210" s="3"/>
    </row>
    <row r="211" spans="1:7" ht="16">
      <c r="A211" s="4">
        <v>12393439</v>
      </c>
      <c r="B211" s="1" t="s">
        <v>452</v>
      </c>
      <c r="C211" s="4">
        <v>2003</v>
      </c>
      <c r="D211" s="5" t="s">
        <v>453</v>
      </c>
      <c r="E211" s="3" t="s">
        <v>10</v>
      </c>
      <c r="F211" s="3"/>
      <c r="G211" s="3"/>
    </row>
    <row r="212" spans="1:7" ht="16">
      <c r="A212" s="4">
        <v>12379892</v>
      </c>
      <c r="B212" s="1" t="s">
        <v>322</v>
      </c>
      <c r="C212" s="4">
        <v>2002</v>
      </c>
      <c r="D212" s="5" t="s">
        <v>323</v>
      </c>
      <c r="E212" s="3" t="s">
        <v>10</v>
      </c>
      <c r="F212" s="3"/>
      <c r="G212" s="3"/>
    </row>
    <row r="213" spans="1:7" ht="16">
      <c r="A213" s="4">
        <v>12200359</v>
      </c>
      <c r="B213" s="1" t="s">
        <v>253</v>
      </c>
      <c r="C213" s="4">
        <v>2002</v>
      </c>
      <c r="D213" s="5" t="s">
        <v>254</v>
      </c>
      <c r="E213" s="3" t="s">
        <v>10</v>
      </c>
      <c r="F213" s="3"/>
    </row>
    <row r="214" spans="1:7" ht="16">
      <c r="A214" s="4">
        <v>12123421</v>
      </c>
      <c r="B214" s="1" t="s">
        <v>456</v>
      </c>
      <c r="C214" s="4">
        <v>2002</v>
      </c>
      <c r="D214" s="5" t="s">
        <v>457</v>
      </c>
      <c r="E214" s="3" t="s">
        <v>10</v>
      </c>
      <c r="F214" s="3"/>
    </row>
    <row r="215" spans="1:7" ht="16">
      <c r="A215" s="4">
        <v>11979309</v>
      </c>
      <c r="B215" s="1" t="s">
        <v>189</v>
      </c>
      <c r="C215" s="4">
        <v>2002</v>
      </c>
      <c r="D215" s="5" t="s">
        <v>190</v>
      </c>
      <c r="E215" s="3" t="s">
        <v>10</v>
      </c>
      <c r="F215" s="3"/>
    </row>
    <row r="216" spans="1:7" ht="16">
      <c r="A216" s="4">
        <v>11920307</v>
      </c>
      <c r="B216" s="1" t="s">
        <v>312</v>
      </c>
      <c r="C216" s="4">
        <v>2002</v>
      </c>
      <c r="D216" s="5" t="s">
        <v>313</v>
      </c>
      <c r="E216" s="3" t="s">
        <v>10</v>
      </c>
      <c r="F216" s="3"/>
    </row>
    <row r="217" spans="1:7" ht="16">
      <c r="A217" s="4">
        <v>11785448</v>
      </c>
      <c r="B217" s="1" t="s">
        <v>310</v>
      </c>
      <c r="C217" s="4">
        <v>2001</v>
      </c>
      <c r="D217" s="5" t="s">
        <v>311</v>
      </c>
      <c r="E217" s="3" t="s">
        <v>10</v>
      </c>
      <c r="F217" s="3"/>
    </row>
    <row r="218" spans="1:7" ht="16">
      <c r="A218" s="4">
        <v>11774077</v>
      </c>
      <c r="B218" s="1" t="s">
        <v>124</v>
      </c>
      <c r="C218" s="4">
        <v>2002</v>
      </c>
      <c r="D218" s="5" t="s">
        <v>125</v>
      </c>
      <c r="E218" s="3" t="s">
        <v>10</v>
      </c>
      <c r="F218" s="3"/>
    </row>
    <row r="219" spans="1:7" ht="16">
      <c r="A219" s="4">
        <v>11593320</v>
      </c>
      <c r="B219" s="1" t="s">
        <v>243</v>
      </c>
      <c r="C219" s="4">
        <v>2001</v>
      </c>
      <c r="D219" s="5" t="s">
        <v>244</v>
      </c>
      <c r="E219" s="3" t="s">
        <v>10</v>
      </c>
      <c r="F219" s="3"/>
    </row>
    <row r="220" spans="1:7" ht="16">
      <c r="A220" s="4">
        <v>11512080</v>
      </c>
      <c r="B220" s="1" t="s">
        <v>241</v>
      </c>
      <c r="C220" s="4">
        <v>2001</v>
      </c>
      <c r="D220" s="5" t="s">
        <v>242</v>
      </c>
      <c r="E220" s="3" t="s">
        <v>10</v>
      </c>
      <c r="F220" s="3"/>
    </row>
    <row r="221" spans="1:7" ht="16">
      <c r="A221" s="4">
        <v>11498748</v>
      </c>
      <c r="B221" s="1" t="s">
        <v>346</v>
      </c>
      <c r="C221" s="4">
        <v>2001</v>
      </c>
      <c r="D221" s="5" t="s">
        <v>347</v>
      </c>
      <c r="E221" s="3" t="s">
        <v>10</v>
      </c>
      <c r="F221" s="3"/>
    </row>
    <row r="222" spans="1:7" ht="16">
      <c r="A222" s="4">
        <v>11454544</v>
      </c>
      <c r="B222" s="1" t="s">
        <v>259</v>
      </c>
      <c r="C222" s="4">
        <v>2001</v>
      </c>
      <c r="D222" s="5" t="s">
        <v>260</v>
      </c>
      <c r="E222" s="3" t="s">
        <v>10</v>
      </c>
      <c r="F222" s="3"/>
    </row>
    <row r="223" spans="1:7" ht="16">
      <c r="A223" s="4">
        <v>11438822</v>
      </c>
      <c r="B223" s="1" t="s">
        <v>181</v>
      </c>
      <c r="C223" s="4">
        <v>2001</v>
      </c>
      <c r="D223" s="5" t="s">
        <v>182</v>
      </c>
      <c r="E223" s="3" t="s">
        <v>10</v>
      </c>
      <c r="F223" s="3"/>
    </row>
    <row r="224" spans="1:7" ht="16">
      <c r="A224" s="4">
        <v>27419878</v>
      </c>
      <c r="B224" s="1" t="s">
        <v>468</v>
      </c>
      <c r="C224" s="4">
        <v>2001</v>
      </c>
      <c r="D224" s="5" t="s">
        <v>469</v>
      </c>
      <c r="E224" s="3" t="s">
        <v>10</v>
      </c>
      <c r="F224" s="3"/>
    </row>
    <row r="225" spans="1:6" ht="16">
      <c r="A225" s="4">
        <v>27419347</v>
      </c>
      <c r="B225" s="1" t="s">
        <v>460</v>
      </c>
      <c r="C225" s="4">
        <v>2001</v>
      </c>
      <c r="D225" s="5" t="s">
        <v>461</v>
      </c>
      <c r="E225" s="3" t="s">
        <v>10</v>
      </c>
      <c r="F225" s="3"/>
    </row>
    <row r="226" spans="1:6" ht="16">
      <c r="A226" s="4">
        <v>11122137</v>
      </c>
      <c r="B226" s="1" t="s">
        <v>378</v>
      </c>
      <c r="C226" s="4">
        <v>2000</v>
      </c>
      <c r="D226" s="5" t="s">
        <v>379</v>
      </c>
      <c r="E226" s="3" t="s">
        <v>10</v>
      </c>
      <c r="F226" s="3"/>
    </row>
    <row r="227" spans="1:6" ht="16">
      <c r="A227" s="4">
        <v>11076708</v>
      </c>
      <c r="B227" s="1" t="s">
        <v>147</v>
      </c>
      <c r="C227" s="4">
        <v>2001</v>
      </c>
      <c r="D227" s="5" t="s">
        <v>148</v>
      </c>
      <c r="E227" s="3" t="s">
        <v>10</v>
      </c>
      <c r="F227" s="3"/>
    </row>
    <row r="228" spans="1:6" ht="16">
      <c r="A228" s="4">
        <v>11049765</v>
      </c>
      <c r="B228" s="1" t="s">
        <v>167</v>
      </c>
      <c r="C228" s="4">
        <v>2000</v>
      </c>
      <c r="D228" s="5" t="s">
        <v>168</v>
      </c>
      <c r="E228" s="3" t="s">
        <v>10</v>
      </c>
      <c r="F228" s="3"/>
    </row>
    <row r="229" spans="1:6" ht="16">
      <c r="A229" s="4">
        <v>11035370</v>
      </c>
      <c r="B229" s="1" t="s">
        <v>352</v>
      </c>
      <c r="C229" s="4">
        <v>2000</v>
      </c>
      <c r="D229" s="5" t="s">
        <v>353</v>
      </c>
      <c r="E229" s="3" t="s">
        <v>10</v>
      </c>
      <c r="F229" s="3"/>
    </row>
    <row r="230" spans="1:6" ht="16">
      <c r="A230" s="4">
        <v>10998432</v>
      </c>
      <c r="B230" s="1" t="s">
        <v>215</v>
      </c>
      <c r="C230" s="4">
        <v>2000</v>
      </c>
      <c r="D230" s="5" t="s">
        <v>216</v>
      </c>
      <c r="E230" s="3" t="s">
        <v>10</v>
      </c>
      <c r="F230" s="3"/>
    </row>
    <row r="231" spans="1:6" ht="16">
      <c r="A231" s="4">
        <v>10918408</v>
      </c>
      <c r="B231" s="1" t="s">
        <v>344</v>
      </c>
      <c r="C231" s="4">
        <v>2000</v>
      </c>
      <c r="D231" s="5" t="s">
        <v>345</v>
      </c>
      <c r="E231" s="3" t="s">
        <v>10</v>
      </c>
      <c r="F231" s="3"/>
    </row>
    <row r="232" spans="1:6" ht="16">
      <c r="A232" s="4">
        <v>10910264</v>
      </c>
      <c r="B232" s="1" t="s">
        <v>280</v>
      </c>
      <c r="C232" s="4">
        <v>2000</v>
      </c>
      <c r="D232" s="5" t="s">
        <v>281</v>
      </c>
      <c r="E232" s="3" t="s">
        <v>10</v>
      </c>
      <c r="F232" s="3"/>
    </row>
    <row r="233" spans="1:6" ht="16">
      <c r="A233" s="4">
        <v>10642809</v>
      </c>
      <c r="B233" s="1" t="s">
        <v>426</v>
      </c>
      <c r="C233" s="4">
        <v>1999</v>
      </c>
      <c r="D233" s="5" t="s">
        <v>427</v>
      </c>
      <c r="E233" s="3" t="s">
        <v>10</v>
      </c>
      <c r="F233" s="3"/>
    </row>
    <row r="234" spans="1:6" ht="16">
      <c r="A234" s="4">
        <v>21331905</v>
      </c>
      <c r="B234" s="1" t="s">
        <v>444</v>
      </c>
      <c r="C234" s="4">
        <v>2000</v>
      </c>
      <c r="D234" s="5" t="s">
        <v>445</v>
      </c>
      <c r="E234" s="3" t="s">
        <v>10</v>
      </c>
      <c r="F234" s="3"/>
    </row>
    <row r="235" spans="1:6" ht="16">
      <c r="A235" s="4">
        <v>10568761</v>
      </c>
      <c r="B235" s="1" t="s">
        <v>138</v>
      </c>
      <c r="C235" s="4">
        <v>2000</v>
      </c>
      <c r="D235" s="5" t="s">
        <v>139</v>
      </c>
      <c r="E235" s="3" t="s">
        <v>10</v>
      </c>
      <c r="F235" s="3"/>
    </row>
    <row r="236" spans="1:6" ht="16">
      <c r="A236" s="4">
        <v>10505318</v>
      </c>
      <c r="B236" s="1" t="s">
        <v>183</v>
      </c>
      <c r="C236" s="4">
        <v>1999</v>
      </c>
      <c r="D236" s="5" t="s">
        <v>184</v>
      </c>
      <c r="E236" s="3" t="s">
        <v>10</v>
      </c>
      <c r="F236" s="3"/>
    </row>
    <row r="237" spans="1:6" ht="16">
      <c r="A237" s="4">
        <v>10233397</v>
      </c>
      <c r="B237" s="1" t="s">
        <v>271</v>
      </c>
      <c r="C237" s="4">
        <v>1999</v>
      </c>
      <c r="D237" s="5" t="s">
        <v>272</v>
      </c>
      <c r="E237" s="3" t="s">
        <v>10</v>
      </c>
      <c r="F237" s="3"/>
    </row>
    <row r="238" spans="1:6" ht="16">
      <c r="A238" s="4">
        <v>10194079</v>
      </c>
      <c r="B238" s="1" t="s">
        <v>290</v>
      </c>
      <c r="C238" s="4">
        <v>1999</v>
      </c>
      <c r="D238" s="5" t="s">
        <v>291</v>
      </c>
      <c r="E238" s="3" t="s">
        <v>10</v>
      </c>
      <c r="F238" s="3"/>
    </row>
    <row r="239" spans="1:6" ht="16">
      <c r="A239" s="4">
        <v>9878013</v>
      </c>
      <c r="B239" s="1" t="s">
        <v>384</v>
      </c>
      <c r="C239" s="4">
        <v>1999</v>
      </c>
      <c r="D239" s="5" t="s">
        <v>385</v>
      </c>
      <c r="E239" s="3" t="s">
        <v>10</v>
      </c>
      <c r="F239" s="3"/>
    </row>
    <row r="240" spans="1:6" ht="16">
      <c r="A240" s="4">
        <v>9509968</v>
      </c>
      <c r="B240" s="1" t="s">
        <v>502</v>
      </c>
      <c r="C240" s="4">
        <v>1998</v>
      </c>
      <c r="D240" s="5" t="s">
        <v>503</v>
      </c>
      <c r="E240" s="3" t="s">
        <v>10</v>
      </c>
      <c r="F240" s="3"/>
    </row>
    <row r="241" spans="1:6" ht="16">
      <c r="A241" s="4">
        <v>9365899</v>
      </c>
      <c r="B241" s="1" t="s">
        <v>133</v>
      </c>
      <c r="C241" s="4">
        <v>1997</v>
      </c>
      <c r="D241" s="5" t="s">
        <v>134</v>
      </c>
      <c r="E241" s="3" t="s">
        <v>10</v>
      </c>
      <c r="F241" s="3"/>
    </row>
    <row r="242" spans="1:6" ht="16">
      <c r="A242" s="4">
        <v>9342002</v>
      </c>
      <c r="B242" s="1" t="s">
        <v>576</v>
      </c>
      <c r="C242" s="4">
        <v>1997</v>
      </c>
      <c r="D242" s="5" t="s">
        <v>577</v>
      </c>
      <c r="E242" s="3" t="s">
        <v>10</v>
      </c>
      <c r="F242" s="3"/>
    </row>
    <row r="243" spans="1:6" ht="16">
      <c r="A243" s="4">
        <v>8896431</v>
      </c>
      <c r="B243" s="1" t="s">
        <v>490</v>
      </c>
      <c r="C243" s="4">
        <v>1996</v>
      </c>
      <c r="D243" s="5" t="s">
        <v>491</v>
      </c>
      <c r="E243" s="3" t="s">
        <v>10</v>
      </c>
      <c r="F243" s="3"/>
    </row>
    <row r="244" spans="1:6" ht="16">
      <c r="A244" s="4">
        <v>8652850</v>
      </c>
      <c r="B244" s="1" t="s">
        <v>159</v>
      </c>
      <c r="C244" s="4">
        <v>1996</v>
      </c>
      <c r="D244" s="5" t="s">
        <v>160</v>
      </c>
      <c r="E244" s="3" t="s">
        <v>10</v>
      </c>
      <c r="F244" s="3"/>
    </row>
    <row r="245" spans="1:6" ht="16">
      <c r="A245" s="4">
        <v>8815100</v>
      </c>
      <c r="B245" s="1" t="s">
        <v>156</v>
      </c>
      <c r="C245" s="4">
        <v>1996</v>
      </c>
      <c r="D245" s="5" t="s">
        <v>157</v>
      </c>
      <c r="E245" s="3" t="s">
        <v>10</v>
      </c>
      <c r="F245" s="3"/>
    </row>
    <row r="246" spans="1:6" ht="16">
      <c r="A246" s="4">
        <v>8750269</v>
      </c>
      <c r="B246" s="1" t="s">
        <v>237</v>
      </c>
      <c r="C246" s="4">
        <v>1995</v>
      </c>
      <c r="D246" s="5" t="s">
        <v>238</v>
      </c>
      <c r="E246" s="3" t="s">
        <v>10</v>
      </c>
      <c r="F246" s="3"/>
    </row>
    <row r="247" spans="1:6" ht="16">
      <c r="A247" s="4">
        <v>7844362</v>
      </c>
      <c r="B247" s="1" t="s">
        <v>251</v>
      </c>
      <c r="C247" s="4">
        <v>1995</v>
      </c>
      <c r="D247" s="5" t="s">
        <v>252</v>
      </c>
      <c r="E247" s="3" t="s">
        <v>10</v>
      </c>
      <c r="F247" s="3"/>
    </row>
    <row r="248" spans="1:6" ht="16">
      <c r="A248" s="4">
        <v>8907621</v>
      </c>
      <c r="B248" s="1" t="s">
        <v>572</v>
      </c>
      <c r="C248" s="4">
        <v>1995</v>
      </c>
      <c r="D248" s="5" t="s">
        <v>573</v>
      </c>
      <c r="E248" s="3" t="s">
        <v>10</v>
      </c>
      <c r="F248" s="3"/>
    </row>
    <row r="249" spans="1:6" ht="16">
      <c r="A249" s="4">
        <v>7949085</v>
      </c>
      <c r="B249" s="1" t="s">
        <v>225</v>
      </c>
      <c r="C249" s="4">
        <v>1994</v>
      </c>
      <c r="D249" s="5" t="s">
        <v>226</v>
      </c>
      <c r="E249" s="3" t="s">
        <v>10</v>
      </c>
      <c r="F249" s="3"/>
    </row>
    <row r="250" spans="1:6" ht="16">
      <c r="A250" s="4">
        <v>7889017</v>
      </c>
      <c r="B250" s="1" t="s">
        <v>231</v>
      </c>
      <c r="C250" s="4">
        <v>1994</v>
      </c>
      <c r="D250" s="5" t="s">
        <v>232</v>
      </c>
      <c r="E250" s="3" t="s">
        <v>10</v>
      </c>
      <c r="F250" s="3"/>
    </row>
    <row r="251" spans="1:6" ht="16">
      <c r="A251" s="4">
        <v>8180402</v>
      </c>
      <c r="B251" s="1" t="s">
        <v>171</v>
      </c>
      <c r="C251" s="4">
        <v>1994</v>
      </c>
      <c r="D251" s="5" t="s">
        <v>172</v>
      </c>
      <c r="E251" s="3" t="s">
        <v>10</v>
      </c>
      <c r="F251" s="3"/>
    </row>
    <row r="252" spans="1:6" ht="16">
      <c r="A252" s="4">
        <v>8390614</v>
      </c>
      <c r="B252" s="1" t="s">
        <v>79</v>
      </c>
      <c r="C252" s="4">
        <v>1993</v>
      </c>
      <c r="D252" s="5" t="s">
        <v>80</v>
      </c>
      <c r="E252" s="3" t="s">
        <v>10</v>
      </c>
      <c r="F252" s="3"/>
    </row>
    <row r="253" spans="1:6" ht="16">
      <c r="A253" s="4">
        <v>8391023</v>
      </c>
      <c r="B253" s="1" t="s">
        <v>239</v>
      </c>
      <c r="C253" s="4">
        <v>1993</v>
      </c>
      <c r="D253" s="5" t="s">
        <v>240</v>
      </c>
      <c r="E253" s="3" t="s">
        <v>10</v>
      </c>
      <c r="F253" s="3"/>
    </row>
    <row r="254" spans="1:6" ht="16">
      <c r="A254" s="4">
        <v>8385692</v>
      </c>
      <c r="B254" s="1" t="s">
        <v>165</v>
      </c>
      <c r="C254" s="4">
        <v>1993</v>
      </c>
      <c r="D254" s="5" t="s">
        <v>166</v>
      </c>
      <c r="E254" s="3" t="s">
        <v>10</v>
      </c>
      <c r="F254" s="3"/>
    </row>
    <row r="255" spans="1:6" ht="16">
      <c r="A255" s="4">
        <v>8382723</v>
      </c>
      <c r="B255" s="1" t="s">
        <v>213</v>
      </c>
      <c r="C255" s="4">
        <v>1993</v>
      </c>
      <c r="D255" s="5" t="s">
        <v>214</v>
      </c>
      <c r="E255" s="3" t="s">
        <v>10</v>
      </c>
      <c r="F255" s="3"/>
    </row>
    <row r="256" spans="1:6" ht="16">
      <c r="A256" s="4">
        <v>1325026</v>
      </c>
      <c r="B256" s="1" t="s">
        <v>278</v>
      </c>
      <c r="C256" s="4">
        <v>1992</v>
      </c>
      <c r="D256" s="5" t="s">
        <v>279</v>
      </c>
      <c r="E256" s="3" t="s">
        <v>10</v>
      </c>
      <c r="F256" s="3"/>
    </row>
    <row r="257" spans="1:7" ht="16">
      <c r="A257" s="4">
        <v>1652312</v>
      </c>
      <c r="B257" s="1" t="s">
        <v>177</v>
      </c>
      <c r="C257" s="4">
        <v>1991</v>
      </c>
      <c r="D257" s="5" t="s">
        <v>178</v>
      </c>
      <c r="E257" s="3" t="s">
        <v>10</v>
      </c>
      <c r="F257" s="3"/>
    </row>
    <row r="258" spans="1:7" ht="16">
      <c r="A258" s="4">
        <v>38238927</v>
      </c>
      <c r="B258" s="1" t="s">
        <v>3617</v>
      </c>
      <c r="C258" s="4">
        <v>2024</v>
      </c>
      <c r="D258" s="5" t="s">
        <v>3626</v>
      </c>
      <c r="E258" s="3" t="s">
        <v>580</v>
      </c>
      <c r="F258" t="s">
        <v>38</v>
      </c>
      <c r="G258" s="3" t="s">
        <v>3624</v>
      </c>
    </row>
    <row r="259" spans="1:7" ht="16">
      <c r="A259" s="4">
        <v>38187380</v>
      </c>
      <c r="B259" s="1" t="s">
        <v>3618</v>
      </c>
      <c r="C259" s="4">
        <v>2023</v>
      </c>
      <c r="D259" s="5" t="s">
        <v>3628</v>
      </c>
      <c r="E259" s="3" t="s">
        <v>580</v>
      </c>
      <c r="F259" t="s">
        <v>61</v>
      </c>
      <c r="G259" s="3" t="s">
        <v>3624</v>
      </c>
    </row>
    <row r="260" spans="1:7" ht="16">
      <c r="A260" s="4">
        <v>38041493</v>
      </c>
      <c r="B260" s="1" t="s">
        <v>3619</v>
      </c>
      <c r="C260" s="4">
        <v>2023</v>
      </c>
      <c r="D260" s="5" t="s">
        <v>3629</v>
      </c>
      <c r="E260" s="3" t="s">
        <v>580</v>
      </c>
      <c r="F260" t="s">
        <v>38</v>
      </c>
      <c r="G260" s="3" t="s">
        <v>3624</v>
      </c>
    </row>
    <row r="261" spans="1:7" ht="16">
      <c r="A261" s="4">
        <v>38007049</v>
      </c>
      <c r="B261" s="1" t="s">
        <v>3620</v>
      </c>
      <c r="C261" s="4">
        <v>2024</v>
      </c>
      <c r="D261" s="5" t="s">
        <v>3630</v>
      </c>
      <c r="E261" s="3" t="s">
        <v>580</v>
      </c>
      <c r="F261" t="s">
        <v>38</v>
      </c>
      <c r="G261" s="3" t="s">
        <v>3624</v>
      </c>
    </row>
    <row r="262" spans="1:7" ht="16">
      <c r="A262" s="4">
        <v>37938768</v>
      </c>
      <c r="B262" s="1" t="s">
        <v>3621</v>
      </c>
      <c r="C262" s="4">
        <v>2023</v>
      </c>
      <c r="D262" s="5" t="s">
        <v>3631</v>
      </c>
      <c r="E262" s="3" t="s">
        <v>580</v>
      </c>
      <c r="F262" t="s">
        <v>61</v>
      </c>
      <c r="G262" s="3" t="s">
        <v>3624</v>
      </c>
    </row>
    <row r="263" spans="1:7" ht="16">
      <c r="A263" s="4">
        <v>37808908</v>
      </c>
      <c r="B263" s="1" t="s">
        <v>3622</v>
      </c>
      <c r="C263" s="4">
        <v>2023</v>
      </c>
      <c r="D263" s="5" t="s">
        <v>3632</v>
      </c>
      <c r="E263" s="3" t="s">
        <v>580</v>
      </c>
      <c r="F263" t="s">
        <v>38</v>
      </c>
      <c r="G263" t="s">
        <v>3624</v>
      </c>
    </row>
    <row r="264" spans="1:7" ht="16">
      <c r="A264" s="4">
        <v>37796084</v>
      </c>
      <c r="B264" s="1" t="s">
        <v>3623</v>
      </c>
      <c r="C264" s="4">
        <v>2023</v>
      </c>
      <c r="D264" s="5" t="s">
        <v>3633</v>
      </c>
      <c r="E264" s="3" t="s">
        <v>580</v>
      </c>
      <c r="F264" t="s">
        <v>61</v>
      </c>
      <c r="G264" t="s">
        <v>3624</v>
      </c>
    </row>
    <row r="265" spans="1:7" ht="16">
      <c r="A265" s="4">
        <v>37649537</v>
      </c>
      <c r="B265" s="1" t="s">
        <v>1630</v>
      </c>
      <c r="C265" s="4">
        <v>2023</v>
      </c>
      <c r="D265" s="5" t="s">
        <v>1631</v>
      </c>
      <c r="E265" s="3" t="s">
        <v>580</v>
      </c>
      <c r="F265" t="s">
        <v>53</v>
      </c>
      <c r="G265" t="s">
        <v>14</v>
      </c>
    </row>
    <row r="266" spans="1:7" ht="16">
      <c r="A266" s="4">
        <v>37602673</v>
      </c>
      <c r="B266" s="1" t="s">
        <v>2270</v>
      </c>
      <c r="C266" s="4">
        <v>2023</v>
      </c>
      <c r="D266" s="5" t="s">
        <v>2271</v>
      </c>
      <c r="E266" s="3" t="s">
        <v>580</v>
      </c>
      <c r="F266" t="s">
        <v>38</v>
      </c>
      <c r="G266" t="s">
        <v>14</v>
      </c>
    </row>
    <row r="267" spans="1:7" ht="16">
      <c r="A267" s="4">
        <v>37559972</v>
      </c>
      <c r="B267" s="1" t="s">
        <v>699</v>
      </c>
      <c r="C267" s="4">
        <v>2023</v>
      </c>
      <c r="D267" s="5" t="s">
        <v>700</v>
      </c>
      <c r="E267" s="3" t="s">
        <v>580</v>
      </c>
      <c r="F267" t="s">
        <v>29</v>
      </c>
      <c r="G267" t="s">
        <v>14</v>
      </c>
    </row>
    <row r="268" spans="1:7" ht="16">
      <c r="A268" s="4">
        <v>37559456</v>
      </c>
      <c r="B268" s="1" t="s">
        <v>717</v>
      </c>
      <c r="C268" s="4">
        <v>2023</v>
      </c>
      <c r="D268" s="5" t="s">
        <v>718</v>
      </c>
      <c r="E268" s="3" t="s">
        <v>580</v>
      </c>
      <c r="F268" t="s">
        <v>29</v>
      </c>
      <c r="G268" t="s">
        <v>14</v>
      </c>
    </row>
    <row r="269" spans="1:7" ht="16">
      <c r="A269" s="4">
        <v>37543212</v>
      </c>
      <c r="B269" s="1" t="s">
        <v>709</v>
      </c>
      <c r="C269" s="4">
        <v>2023</v>
      </c>
      <c r="D269" s="5" t="s">
        <v>710</v>
      </c>
      <c r="E269" s="3" t="s">
        <v>580</v>
      </c>
      <c r="F269" t="s">
        <v>29</v>
      </c>
      <c r="G269" t="s">
        <v>14</v>
      </c>
    </row>
    <row r="270" spans="1:7" ht="16">
      <c r="A270" s="4">
        <v>37515280</v>
      </c>
      <c r="B270" s="1" t="s">
        <v>2254</v>
      </c>
      <c r="C270" s="4">
        <v>2023</v>
      </c>
      <c r="D270" s="5" t="s">
        <v>2255</v>
      </c>
      <c r="E270" s="3" t="s">
        <v>580</v>
      </c>
      <c r="F270" t="s">
        <v>38</v>
      </c>
      <c r="G270" t="s">
        <v>14</v>
      </c>
    </row>
    <row r="271" spans="1:7" ht="16">
      <c r="A271" s="4">
        <v>37496724</v>
      </c>
      <c r="B271" s="1" t="s">
        <v>707</v>
      </c>
      <c r="C271" s="4">
        <v>2023</v>
      </c>
      <c r="D271" s="5" t="s">
        <v>708</v>
      </c>
      <c r="E271" s="3" t="s">
        <v>580</v>
      </c>
      <c r="F271" t="s">
        <v>29</v>
      </c>
      <c r="G271" t="s">
        <v>14</v>
      </c>
    </row>
    <row r="272" spans="1:7" ht="16">
      <c r="A272" s="4">
        <v>37452206</v>
      </c>
      <c r="B272" s="1" t="s">
        <v>1648</v>
      </c>
      <c r="C272" s="4">
        <v>2023</v>
      </c>
      <c r="D272" s="5" t="s">
        <v>1649</v>
      </c>
      <c r="E272" s="3" t="s">
        <v>580</v>
      </c>
      <c r="F272" t="s">
        <v>53</v>
      </c>
      <c r="G272" t="s">
        <v>14</v>
      </c>
    </row>
    <row r="273" spans="1:7" ht="16">
      <c r="A273" s="4">
        <v>37422195</v>
      </c>
      <c r="B273" s="1" t="s">
        <v>2264</v>
      </c>
      <c r="C273" s="4">
        <v>2023</v>
      </c>
      <c r="D273" s="5" t="s">
        <v>2265</v>
      </c>
      <c r="E273" s="3" t="s">
        <v>580</v>
      </c>
      <c r="F273" t="s">
        <v>38</v>
      </c>
      <c r="G273" t="s">
        <v>14</v>
      </c>
    </row>
    <row r="274" spans="1:7" ht="16">
      <c r="A274" s="4">
        <v>37396304</v>
      </c>
      <c r="B274" s="1" t="s">
        <v>1660</v>
      </c>
      <c r="C274" s="4">
        <v>2023</v>
      </c>
      <c r="D274" s="5" t="s">
        <v>1661</v>
      </c>
      <c r="E274" s="3" t="s">
        <v>580</v>
      </c>
      <c r="F274" t="s">
        <v>53</v>
      </c>
      <c r="G274" t="s">
        <v>14</v>
      </c>
    </row>
    <row r="275" spans="1:7" ht="16">
      <c r="A275" s="4">
        <v>37346032</v>
      </c>
      <c r="B275" s="1" t="s">
        <v>2258</v>
      </c>
      <c r="C275" s="4">
        <v>2023</v>
      </c>
      <c r="D275" s="5" t="s">
        <v>2259</v>
      </c>
      <c r="E275" s="3" t="s">
        <v>580</v>
      </c>
      <c r="F275" t="s">
        <v>38</v>
      </c>
      <c r="G275" t="s">
        <v>14</v>
      </c>
    </row>
    <row r="276" spans="1:7" ht="16">
      <c r="A276" s="4">
        <v>37181429</v>
      </c>
      <c r="B276" s="1" t="s">
        <v>711</v>
      </c>
      <c r="C276" s="4">
        <v>2023</v>
      </c>
      <c r="D276" s="5" t="s">
        <v>712</v>
      </c>
      <c r="E276" s="3" t="s">
        <v>580</v>
      </c>
      <c r="F276" t="s">
        <v>29</v>
      </c>
      <c r="G276" t="s">
        <v>14</v>
      </c>
    </row>
    <row r="277" spans="1:7" ht="16">
      <c r="A277" s="4">
        <v>37121773</v>
      </c>
      <c r="B277" s="1" t="s">
        <v>675</v>
      </c>
      <c r="C277" s="4">
        <v>2023</v>
      </c>
      <c r="D277" s="5" t="s">
        <v>676</v>
      </c>
      <c r="E277" s="3" t="s">
        <v>580</v>
      </c>
      <c r="F277" t="s">
        <v>29</v>
      </c>
      <c r="G277" t="s">
        <v>14</v>
      </c>
    </row>
    <row r="278" spans="1:7" ht="16">
      <c r="A278" s="4">
        <v>37071595</v>
      </c>
      <c r="B278" s="1" t="s">
        <v>683</v>
      </c>
      <c r="C278" s="4">
        <v>2023</v>
      </c>
      <c r="D278" s="5" t="s">
        <v>684</v>
      </c>
      <c r="E278" s="3" t="s">
        <v>580</v>
      </c>
      <c r="F278" t="s">
        <v>29</v>
      </c>
      <c r="G278" t="s">
        <v>14</v>
      </c>
    </row>
    <row r="279" spans="1:7" ht="16">
      <c r="A279" s="4">
        <v>37063394</v>
      </c>
      <c r="B279" s="1" t="s">
        <v>723</v>
      </c>
      <c r="C279" s="4">
        <v>2022</v>
      </c>
      <c r="D279" s="5" t="s">
        <v>724</v>
      </c>
      <c r="E279" s="3" t="s">
        <v>580</v>
      </c>
      <c r="F279" t="s">
        <v>29</v>
      </c>
      <c r="G279" t="s">
        <v>14</v>
      </c>
    </row>
    <row r="280" spans="1:7" ht="16">
      <c r="A280" s="4">
        <v>36996872</v>
      </c>
      <c r="B280" s="1" t="s">
        <v>1543</v>
      </c>
      <c r="C280" s="4">
        <v>2023</v>
      </c>
      <c r="D280" s="5" t="s">
        <v>1544</v>
      </c>
      <c r="E280" s="3" t="s">
        <v>580</v>
      </c>
      <c r="F280" t="s">
        <v>61</v>
      </c>
      <c r="G280" t="s">
        <v>14</v>
      </c>
    </row>
    <row r="281" spans="1:7" ht="16">
      <c r="A281" s="4">
        <v>36964509</v>
      </c>
      <c r="B281" s="1" t="s">
        <v>715</v>
      </c>
      <c r="C281" s="4">
        <v>2023</v>
      </c>
      <c r="D281" s="5" t="s">
        <v>716</v>
      </c>
      <c r="E281" s="3" t="s">
        <v>580</v>
      </c>
      <c r="F281" t="s">
        <v>29</v>
      </c>
      <c r="G281" t="s">
        <v>14</v>
      </c>
    </row>
    <row r="282" spans="1:7" ht="16">
      <c r="A282" s="4">
        <v>36882347</v>
      </c>
      <c r="B282" s="1" t="s">
        <v>1551</v>
      </c>
      <c r="C282" s="4">
        <v>2023</v>
      </c>
      <c r="D282" s="5" t="s">
        <v>1552</v>
      </c>
      <c r="E282" s="3" t="s">
        <v>580</v>
      </c>
      <c r="F282" t="s">
        <v>61</v>
      </c>
      <c r="G282" t="s">
        <v>14</v>
      </c>
    </row>
    <row r="283" spans="1:7" ht="16">
      <c r="A283" s="4">
        <v>36878429</v>
      </c>
      <c r="B283" s="1" t="s">
        <v>1614</v>
      </c>
      <c r="C283" s="4">
        <v>2023</v>
      </c>
      <c r="D283" s="5" t="s">
        <v>1615</v>
      </c>
      <c r="E283" s="3" t="s">
        <v>580</v>
      </c>
      <c r="F283" t="s">
        <v>53</v>
      </c>
      <c r="G283" t="s">
        <v>14</v>
      </c>
    </row>
    <row r="284" spans="1:7" ht="16">
      <c r="A284" s="4">
        <v>36833448</v>
      </c>
      <c r="B284" s="1" t="s">
        <v>651</v>
      </c>
      <c r="C284" s="4">
        <v>2023</v>
      </c>
      <c r="D284" s="5" t="s">
        <v>652</v>
      </c>
      <c r="E284" s="3" t="s">
        <v>580</v>
      </c>
      <c r="F284" t="s">
        <v>114</v>
      </c>
      <c r="G284" t="s">
        <v>14</v>
      </c>
    </row>
    <row r="285" spans="1:7" ht="16">
      <c r="A285" s="4">
        <v>36806616</v>
      </c>
      <c r="B285" s="1" t="s">
        <v>1561</v>
      </c>
      <c r="C285" s="4">
        <v>2023</v>
      </c>
      <c r="D285" s="5" t="s">
        <v>1562</v>
      </c>
      <c r="E285" s="3" t="s">
        <v>580</v>
      </c>
      <c r="F285" t="s">
        <v>61</v>
      </c>
      <c r="G285" t="s">
        <v>14</v>
      </c>
    </row>
    <row r="286" spans="1:7" ht="16">
      <c r="A286" s="4">
        <v>36798106</v>
      </c>
      <c r="B286" s="1" t="s">
        <v>703</v>
      </c>
      <c r="C286" s="4">
        <v>2023</v>
      </c>
      <c r="D286" s="5" t="s">
        <v>704</v>
      </c>
      <c r="E286" s="3" t="s">
        <v>580</v>
      </c>
      <c r="F286" t="s">
        <v>29</v>
      </c>
      <c r="G286" t="s">
        <v>14</v>
      </c>
    </row>
    <row r="287" spans="1:7" ht="16">
      <c r="A287" s="4">
        <v>36739398</v>
      </c>
      <c r="B287" s="1" t="s">
        <v>1610</v>
      </c>
      <c r="C287" s="4">
        <v>2023</v>
      </c>
      <c r="D287" s="5" t="s">
        <v>1611</v>
      </c>
      <c r="E287" s="3" t="s">
        <v>580</v>
      </c>
      <c r="F287" t="s">
        <v>53</v>
      </c>
      <c r="G287" t="s">
        <v>14</v>
      </c>
    </row>
    <row r="288" spans="1:7" ht="16">
      <c r="A288" s="4">
        <v>36589231</v>
      </c>
      <c r="B288" s="1" t="s">
        <v>1604</v>
      </c>
      <c r="C288" s="4">
        <v>2022</v>
      </c>
      <c r="D288" s="5" t="s">
        <v>1605</v>
      </c>
      <c r="E288" s="3" t="s">
        <v>580</v>
      </c>
      <c r="F288" t="s">
        <v>120</v>
      </c>
      <c r="G288" t="s">
        <v>14</v>
      </c>
    </row>
    <row r="289" spans="1:7" ht="16">
      <c r="A289" s="4">
        <v>36572350</v>
      </c>
      <c r="B289" s="1" t="s">
        <v>1557</v>
      </c>
      <c r="C289" s="4">
        <v>2023</v>
      </c>
      <c r="D289" s="5" t="s">
        <v>1558</v>
      </c>
      <c r="E289" s="3" t="s">
        <v>580</v>
      </c>
      <c r="F289" t="s">
        <v>61</v>
      </c>
      <c r="G289" t="s">
        <v>14</v>
      </c>
    </row>
    <row r="290" spans="1:7" ht="16">
      <c r="A290" s="4">
        <v>36544772</v>
      </c>
      <c r="B290" s="1" t="s">
        <v>693</v>
      </c>
      <c r="C290" s="4">
        <v>2022</v>
      </c>
      <c r="D290" s="5" t="s">
        <v>694</v>
      </c>
      <c r="E290" s="3" t="s">
        <v>580</v>
      </c>
      <c r="F290" t="s">
        <v>29</v>
      </c>
      <c r="G290" t="s">
        <v>14</v>
      </c>
    </row>
    <row r="291" spans="1:7" ht="16">
      <c r="A291" s="4">
        <v>36493341</v>
      </c>
      <c r="B291" s="1" t="s">
        <v>2266</v>
      </c>
      <c r="C291" s="4">
        <v>2023</v>
      </c>
      <c r="D291" s="5" t="s">
        <v>2267</v>
      </c>
      <c r="E291" s="3" t="s">
        <v>580</v>
      </c>
      <c r="F291" t="s">
        <v>38</v>
      </c>
      <c r="G291" t="s">
        <v>14</v>
      </c>
    </row>
    <row r="292" spans="1:7" ht="16">
      <c r="A292" s="4">
        <v>36372142</v>
      </c>
      <c r="B292" s="1" t="s">
        <v>679</v>
      </c>
      <c r="C292" s="4">
        <v>2023</v>
      </c>
      <c r="D292" s="5" t="s">
        <v>680</v>
      </c>
      <c r="E292" s="3" t="s">
        <v>580</v>
      </c>
      <c r="F292" t="s">
        <v>29</v>
      </c>
      <c r="G292" t="s">
        <v>14</v>
      </c>
    </row>
    <row r="293" spans="1:7" ht="16">
      <c r="A293" s="4">
        <v>36367762</v>
      </c>
      <c r="B293" s="1" t="s">
        <v>2268</v>
      </c>
      <c r="C293" s="4">
        <v>2022</v>
      </c>
      <c r="D293" s="5" t="s">
        <v>2269</v>
      </c>
      <c r="E293" s="3" t="s">
        <v>580</v>
      </c>
      <c r="F293" t="s">
        <v>38</v>
      </c>
      <c r="G293" t="s">
        <v>14</v>
      </c>
    </row>
    <row r="294" spans="1:7" ht="16">
      <c r="A294" s="4">
        <v>36363720</v>
      </c>
      <c r="B294" s="1" t="s">
        <v>1654</v>
      </c>
      <c r="C294" s="4">
        <v>2022</v>
      </c>
      <c r="D294" s="5" t="s">
        <v>1655</v>
      </c>
      <c r="E294" s="3" t="s">
        <v>580</v>
      </c>
      <c r="F294" t="s">
        <v>53</v>
      </c>
      <c r="G294" t="s">
        <v>14</v>
      </c>
    </row>
    <row r="295" spans="1:7" ht="16">
      <c r="A295" s="4">
        <v>36310678</v>
      </c>
      <c r="B295" s="1" t="s">
        <v>691</v>
      </c>
      <c r="C295" s="4">
        <v>2022</v>
      </c>
      <c r="D295" s="5" t="s">
        <v>692</v>
      </c>
      <c r="E295" s="3" t="s">
        <v>580</v>
      </c>
      <c r="F295" t="s">
        <v>29</v>
      </c>
      <c r="G295" t="s">
        <v>14</v>
      </c>
    </row>
    <row r="296" spans="1:7" ht="16">
      <c r="A296" s="4">
        <v>36300166</v>
      </c>
      <c r="B296" s="1" t="s">
        <v>1656</v>
      </c>
      <c r="C296" s="4">
        <v>2022</v>
      </c>
      <c r="D296" s="5" t="s">
        <v>1657</v>
      </c>
      <c r="E296" s="3" t="s">
        <v>580</v>
      </c>
      <c r="F296" t="s">
        <v>53</v>
      </c>
      <c r="G296" t="s">
        <v>14</v>
      </c>
    </row>
    <row r="297" spans="1:7" ht="16">
      <c r="A297" s="4">
        <v>36286647</v>
      </c>
      <c r="B297" s="1" t="s">
        <v>2228</v>
      </c>
      <c r="C297" s="4">
        <v>2021</v>
      </c>
      <c r="D297" s="5" t="s">
        <v>2229</v>
      </c>
      <c r="E297" s="3" t="s">
        <v>580</v>
      </c>
      <c r="F297" t="s">
        <v>81</v>
      </c>
      <c r="G297" t="s">
        <v>14</v>
      </c>
    </row>
    <row r="298" spans="1:7" ht="16">
      <c r="A298" s="4">
        <v>36243759</v>
      </c>
      <c r="B298" s="1" t="s">
        <v>1626</v>
      </c>
      <c r="C298" s="4">
        <v>2023</v>
      </c>
      <c r="D298" s="5" t="s">
        <v>1627</v>
      </c>
      <c r="E298" s="3" t="s">
        <v>580</v>
      </c>
      <c r="F298" t="s">
        <v>53</v>
      </c>
      <c r="G298" t="s">
        <v>14</v>
      </c>
    </row>
    <row r="299" spans="1:7" ht="16">
      <c r="A299" s="4">
        <v>36216522</v>
      </c>
      <c r="B299" s="1" t="s">
        <v>719</v>
      </c>
      <c r="C299" s="4">
        <v>2022</v>
      </c>
      <c r="D299" s="5" t="s">
        <v>720</v>
      </c>
      <c r="E299" s="3" t="s">
        <v>580</v>
      </c>
      <c r="F299" t="s">
        <v>29</v>
      </c>
      <c r="G299" t="s">
        <v>14</v>
      </c>
    </row>
    <row r="300" spans="1:7" ht="16">
      <c r="A300" s="4">
        <v>36193010</v>
      </c>
      <c r="B300" s="1" t="s">
        <v>643</v>
      </c>
      <c r="C300" s="4">
        <v>2022</v>
      </c>
      <c r="D300" s="5" t="s">
        <v>644</v>
      </c>
      <c r="E300" s="3" t="s">
        <v>580</v>
      </c>
      <c r="F300" t="s">
        <v>132</v>
      </c>
      <c r="G300" t="s">
        <v>14</v>
      </c>
    </row>
    <row r="301" spans="1:7" ht="16">
      <c r="A301" s="4">
        <v>36189995</v>
      </c>
      <c r="B301" s="1" t="s">
        <v>1638</v>
      </c>
      <c r="C301" s="4">
        <v>2022</v>
      </c>
      <c r="D301" s="5" t="s">
        <v>1639</v>
      </c>
      <c r="E301" s="3" t="s">
        <v>580</v>
      </c>
      <c r="F301" t="s">
        <v>53</v>
      </c>
      <c r="G301" t="s">
        <v>14</v>
      </c>
    </row>
    <row r="302" spans="1:7" ht="16">
      <c r="A302" s="4">
        <v>36110128</v>
      </c>
      <c r="B302" s="1" t="s">
        <v>1634</v>
      </c>
      <c r="C302" s="4">
        <v>2022</v>
      </c>
      <c r="D302" s="5" t="s">
        <v>1635</v>
      </c>
      <c r="E302" s="3" t="s">
        <v>580</v>
      </c>
      <c r="F302" t="s">
        <v>53</v>
      </c>
      <c r="G302" t="s">
        <v>14</v>
      </c>
    </row>
    <row r="303" spans="1:7" ht="16">
      <c r="A303" s="4">
        <v>36073532</v>
      </c>
      <c r="B303" s="1" t="s">
        <v>1535</v>
      </c>
      <c r="C303" s="4">
        <v>2022</v>
      </c>
      <c r="D303" s="5" t="s">
        <v>1536</v>
      </c>
      <c r="E303" s="3" t="s">
        <v>580</v>
      </c>
      <c r="F303" t="s">
        <v>61</v>
      </c>
      <c r="G303" t="s">
        <v>14</v>
      </c>
    </row>
    <row r="304" spans="1:7" ht="16">
      <c r="A304" s="4">
        <v>36055520</v>
      </c>
      <c r="B304" s="1" t="s">
        <v>647</v>
      </c>
      <c r="C304" s="4">
        <v>2022</v>
      </c>
      <c r="D304" s="5" t="s">
        <v>648</v>
      </c>
      <c r="E304" s="3" t="s">
        <v>580</v>
      </c>
      <c r="F304" t="s">
        <v>77</v>
      </c>
      <c r="G304" t="s">
        <v>14</v>
      </c>
    </row>
    <row r="305" spans="1:7" ht="16">
      <c r="A305" s="4">
        <v>36014102</v>
      </c>
      <c r="B305" s="1" t="s">
        <v>1652</v>
      </c>
      <c r="C305" s="4">
        <v>2022</v>
      </c>
      <c r="D305" s="5" t="s">
        <v>1653</v>
      </c>
      <c r="E305" s="3" t="s">
        <v>580</v>
      </c>
      <c r="F305" t="s">
        <v>53</v>
      </c>
      <c r="G305" t="s">
        <v>14</v>
      </c>
    </row>
    <row r="306" spans="1:7" ht="16">
      <c r="A306" s="4">
        <v>36004309</v>
      </c>
      <c r="B306" s="1" t="s">
        <v>2260</v>
      </c>
      <c r="C306" s="4">
        <v>2022</v>
      </c>
      <c r="D306" s="5" t="s">
        <v>2261</v>
      </c>
      <c r="E306" s="3" t="s">
        <v>580</v>
      </c>
      <c r="F306" t="s">
        <v>38</v>
      </c>
      <c r="G306" t="s">
        <v>14</v>
      </c>
    </row>
    <row r="307" spans="1:7" ht="16">
      <c r="A307" s="4">
        <v>35911725</v>
      </c>
      <c r="B307" s="1" t="s">
        <v>645</v>
      </c>
      <c r="C307" s="4">
        <v>2022</v>
      </c>
      <c r="D307" s="5" t="s">
        <v>646</v>
      </c>
      <c r="E307" s="3" t="s">
        <v>580</v>
      </c>
      <c r="F307" t="s">
        <v>77</v>
      </c>
      <c r="G307" t="s">
        <v>14</v>
      </c>
    </row>
    <row r="308" spans="1:7" ht="16">
      <c r="A308" s="4">
        <v>35802798</v>
      </c>
      <c r="B308" s="1" t="s">
        <v>665</v>
      </c>
      <c r="C308" s="4">
        <v>2022</v>
      </c>
      <c r="D308" s="5" t="s">
        <v>666</v>
      </c>
      <c r="E308" s="3" t="s">
        <v>580</v>
      </c>
      <c r="F308" t="s">
        <v>29</v>
      </c>
      <c r="G308" t="s">
        <v>14</v>
      </c>
    </row>
    <row r="309" spans="1:7" ht="16">
      <c r="A309" s="4">
        <v>35764288</v>
      </c>
      <c r="B309" s="1" t="s">
        <v>1624</v>
      </c>
      <c r="C309" s="4">
        <v>2022</v>
      </c>
      <c r="D309" s="5" t="s">
        <v>1625</v>
      </c>
      <c r="E309" s="3" t="s">
        <v>580</v>
      </c>
      <c r="F309" t="s">
        <v>53</v>
      </c>
      <c r="G309" t="s">
        <v>14</v>
      </c>
    </row>
    <row r="310" spans="1:7" ht="16">
      <c r="A310" s="4">
        <v>35757074</v>
      </c>
      <c r="B310" s="1" t="s">
        <v>1553</v>
      </c>
      <c r="C310" s="4">
        <v>2021</v>
      </c>
      <c r="D310" s="5" t="s">
        <v>1554</v>
      </c>
      <c r="E310" s="3" t="s">
        <v>580</v>
      </c>
      <c r="F310" t="s">
        <v>61</v>
      </c>
      <c r="G310" t="s">
        <v>14</v>
      </c>
    </row>
    <row r="311" spans="1:7" ht="16">
      <c r="A311" s="4">
        <v>35651518</v>
      </c>
      <c r="B311" s="1" t="s">
        <v>721</v>
      </c>
      <c r="C311" s="4">
        <v>2022</v>
      </c>
      <c r="D311" s="5" t="s">
        <v>722</v>
      </c>
      <c r="E311" s="3" t="s">
        <v>580</v>
      </c>
      <c r="F311" t="s">
        <v>29</v>
      </c>
      <c r="G311" t="s">
        <v>14</v>
      </c>
    </row>
    <row r="312" spans="1:7" ht="16">
      <c r="A312" s="4">
        <v>35415058</v>
      </c>
      <c r="B312" s="1" t="s">
        <v>697</v>
      </c>
      <c r="C312" s="4">
        <v>2022</v>
      </c>
      <c r="D312" s="5" t="s">
        <v>698</v>
      </c>
      <c r="E312" s="3" t="s">
        <v>580</v>
      </c>
      <c r="F312" t="s">
        <v>29</v>
      </c>
      <c r="G312" t="s">
        <v>14</v>
      </c>
    </row>
    <row r="313" spans="1:7" ht="16">
      <c r="A313" s="4">
        <v>35389547</v>
      </c>
      <c r="B313" s="1" t="s">
        <v>1612</v>
      </c>
      <c r="C313" s="4">
        <v>2022</v>
      </c>
      <c r="D313" s="5" t="s">
        <v>1613</v>
      </c>
      <c r="E313" s="3" t="s">
        <v>580</v>
      </c>
      <c r="F313" t="s">
        <v>53</v>
      </c>
      <c r="G313" t="s">
        <v>14</v>
      </c>
    </row>
    <row r="314" spans="1:7" ht="16">
      <c r="A314" s="4">
        <v>35371815</v>
      </c>
      <c r="B314" s="1" t="s">
        <v>713</v>
      </c>
      <c r="C314" s="4">
        <v>2022</v>
      </c>
      <c r="D314" s="5" t="s">
        <v>714</v>
      </c>
      <c r="E314" s="3" t="s">
        <v>580</v>
      </c>
      <c r="F314" t="s">
        <v>29</v>
      </c>
      <c r="G314" t="s">
        <v>14</v>
      </c>
    </row>
    <row r="315" spans="1:7" ht="16">
      <c r="A315" s="4">
        <v>35349121</v>
      </c>
      <c r="B315" s="1" t="s">
        <v>673</v>
      </c>
      <c r="C315" s="4">
        <v>2022</v>
      </c>
      <c r="D315" s="5" t="s">
        <v>674</v>
      </c>
      <c r="E315" s="3" t="s">
        <v>580</v>
      </c>
      <c r="F315" t="s">
        <v>29</v>
      </c>
      <c r="G315" t="s">
        <v>14</v>
      </c>
    </row>
    <row r="316" spans="1:7" ht="16">
      <c r="A316" s="4">
        <v>35304278</v>
      </c>
      <c r="B316" s="1" t="s">
        <v>1555</v>
      </c>
      <c r="C316" s="4">
        <v>2022</v>
      </c>
      <c r="D316" s="5" t="s">
        <v>1556</v>
      </c>
      <c r="E316" s="3" t="s">
        <v>580</v>
      </c>
      <c r="F316" t="s">
        <v>61</v>
      </c>
      <c r="G316" t="s">
        <v>14</v>
      </c>
    </row>
    <row r="317" spans="1:7" ht="16">
      <c r="A317" s="4">
        <v>35215180</v>
      </c>
      <c r="B317" s="1" t="s">
        <v>1666</v>
      </c>
      <c r="C317" s="4">
        <v>2022</v>
      </c>
      <c r="D317" s="5" t="s">
        <v>1667</v>
      </c>
      <c r="E317" s="3" t="s">
        <v>580</v>
      </c>
      <c r="F317" t="s">
        <v>53</v>
      </c>
      <c r="G317" t="s">
        <v>14</v>
      </c>
    </row>
    <row r="318" spans="1:7" ht="16">
      <c r="A318" s="4">
        <v>35150885</v>
      </c>
      <c r="B318" s="1" t="s">
        <v>2252</v>
      </c>
      <c r="C318" s="4">
        <v>2022</v>
      </c>
      <c r="D318" s="5" t="s">
        <v>2253</v>
      </c>
      <c r="E318" s="3" t="s">
        <v>580</v>
      </c>
      <c r="F318" t="s">
        <v>38</v>
      </c>
      <c r="G318" t="s">
        <v>14</v>
      </c>
    </row>
    <row r="319" spans="1:7" ht="16">
      <c r="A319" s="4">
        <v>35062266</v>
      </c>
      <c r="B319" s="1" t="s">
        <v>657</v>
      </c>
      <c r="C319" s="4">
        <v>2021</v>
      </c>
      <c r="D319" s="5" t="s">
        <v>658</v>
      </c>
      <c r="E319" s="3" t="s">
        <v>580</v>
      </c>
      <c r="F319" t="s">
        <v>29</v>
      </c>
      <c r="G319" t="s">
        <v>14</v>
      </c>
    </row>
    <row r="320" spans="1:7" ht="16">
      <c r="A320" s="4">
        <v>35060253</v>
      </c>
      <c r="B320" s="1" t="s">
        <v>681</v>
      </c>
      <c r="C320" s="4">
        <v>2022</v>
      </c>
      <c r="D320" s="5" t="s">
        <v>682</v>
      </c>
      <c r="E320" s="3" t="s">
        <v>580</v>
      </c>
      <c r="F320" t="s">
        <v>29</v>
      </c>
      <c r="G320" t="s">
        <v>14</v>
      </c>
    </row>
    <row r="321" spans="1:7" ht="16">
      <c r="A321" s="4">
        <v>35038852</v>
      </c>
      <c r="B321" s="1" t="s">
        <v>2232</v>
      </c>
      <c r="C321" s="4">
        <v>2021</v>
      </c>
      <c r="D321" s="5" t="s">
        <v>2233</v>
      </c>
      <c r="E321" s="3" t="s">
        <v>580</v>
      </c>
      <c r="F321" t="s">
        <v>81</v>
      </c>
      <c r="G321" t="s">
        <v>14</v>
      </c>
    </row>
    <row r="322" spans="1:7" ht="16">
      <c r="A322" s="4">
        <v>35037602</v>
      </c>
      <c r="B322" s="1" t="s">
        <v>685</v>
      </c>
      <c r="C322" s="4">
        <v>2022</v>
      </c>
      <c r="D322" s="5" t="s">
        <v>686</v>
      </c>
      <c r="E322" s="3" t="s">
        <v>580</v>
      </c>
      <c r="F322" t="s">
        <v>29</v>
      </c>
      <c r="G322" t="s">
        <v>14</v>
      </c>
    </row>
    <row r="323" spans="1:7" ht="16">
      <c r="A323" s="4">
        <v>34990769</v>
      </c>
      <c r="B323" s="1" t="s">
        <v>653</v>
      </c>
      <c r="C323" s="4">
        <v>2022</v>
      </c>
      <c r="D323" s="5" t="s">
        <v>654</v>
      </c>
      <c r="E323" s="3" t="s">
        <v>580</v>
      </c>
      <c r="F323" t="s">
        <v>96</v>
      </c>
      <c r="G323" t="s">
        <v>14</v>
      </c>
    </row>
    <row r="324" spans="1:7" ht="16">
      <c r="A324" s="4">
        <v>34989946</v>
      </c>
      <c r="B324" s="1" t="s">
        <v>1636</v>
      </c>
      <c r="C324" s="4">
        <v>2022</v>
      </c>
      <c r="D324" s="5" t="s">
        <v>1637</v>
      </c>
      <c r="E324" s="3" t="s">
        <v>580</v>
      </c>
      <c r="F324" t="s">
        <v>53</v>
      </c>
      <c r="G324" t="s">
        <v>14</v>
      </c>
    </row>
    <row r="325" spans="1:7" ht="16">
      <c r="A325" s="4">
        <v>36927092</v>
      </c>
      <c r="B325" s="1" t="s">
        <v>2248</v>
      </c>
      <c r="C325" s="4">
        <v>2022</v>
      </c>
      <c r="D325" s="5" t="s">
        <v>2249</v>
      </c>
      <c r="E325" s="3" t="s">
        <v>580</v>
      </c>
      <c r="F325" t="s">
        <v>38</v>
      </c>
      <c r="G325" t="s">
        <v>14</v>
      </c>
    </row>
    <row r="326" spans="1:7" ht="16">
      <c r="A326" s="4">
        <v>34939755</v>
      </c>
      <c r="B326" s="1" t="s">
        <v>1549</v>
      </c>
      <c r="C326" s="4">
        <v>2021</v>
      </c>
      <c r="D326" s="5" t="s">
        <v>1550</v>
      </c>
      <c r="E326" s="3" t="s">
        <v>580</v>
      </c>
      <c r="F326" t="s">
        <v>61</v>
      </c>
      <c r="G326" t="s">
        <v>14</v>
      </c>
    </row>
    <row r="327" spans="1:7" ht="16">
      <c r="A327" s="4">
        <v>34932790</v>
      </c>
      <c r="B327" s="1" t="s">
        <v>1662</v>
      </c>
      <c r="C327" s="4">
        <v>2022</v>
      </c>
      <c r="D327" s="5" t="s">
        <v>1663</v>
      </c>
      <c r="E327" s="3" t="s">
        <v>580</v>
      </c>
      <c r="F327" t="s">
        <v>53</v>
      </c>
      <c r="G327" t="s">
        <v>14</v>
      </c>
    </row>
    <row r="328" spans="1:7" ht="16">
      <c r="A328" s="4">
        <v>34912727</v>
      </c>
      <c r="B328" s="1" t="s">
        <v>1547</v>
      </c>
      <c r="C328" s="4">
        <v>2021</v>
      </c>
      <c r="D328" s="5" t="s">
        <v>1548</v>
      </c>
      <c r="E328" s="3" t="s">
        <v>580</v>
      </c>
      <c r="F328" t="s">
        <v>61</v>
      </c>
      <c r="G328" t="s">
        <v>14</v>
      </c>
    </row>
    <row r="329" spans="1:7" ht="16">
      <c r="A329" s="4">
        <v>34900488</v>
      </c>
      <c r="B329" s="1" t="s">
        <v>689</v>
      </c>
      <c r="C329" s="4">
        <v>2021</v>
      </c>
      <c r="D329" s="5" t="s">
        <v>690</v>
      </c>
      <c r="E329" s="3" t="s">
        <v>580</v>
      </c>
      <c r="F329" t="s">
        <v>29</v>
      </c>
      <c r="G329" t="s">
        <v>14</v>
      </c>
    </row>
    <row r="330" spans="1:7" ht="16">
      <c r="A330" s="4">
        <v>34738024</v>
      </c>
      <c r="B330" s="1" t="s">
        <v>695</v>
      </c>
      <c r="C330" s="4">
        <v>2021</v>
      </c>
      <c r="D330" s="5" t="s">
        <v>696</v>
      </c>
      <c r="E330" s="3" t="s">
        <v>580</v>
      </c>
      <c r="F330" t="s">
        <v>29</v>
      </c>
      <c r="G330" t="s">
        <v>14</v>
      </c>
    </row>
    <row r="331" spans="1:7" ht="16">
      <c r="A331" s="4">
        <v>34721942</v>
      </c>
      <c r="B331" s="1" t="s">
        <v>671</v>
      </c>
      <c r="C331" s="4">
        <v>2021</v>
      </c>
      <c r="D331" s="5" t="s">
        <v>672</v>
      </c>
      <c r="E331" s="3" t="s">
        <v>580</v>
      </c>
      <c r="F331" t="s">
        <v>29</v>
      </c>
      <c r="G331" t="s">
        <v>14</v>
      </c>
    </row>
    <row r="332" spans="1:7" ht="16">
      <c r="A332" s="4">
        <v>34696402</v>
      </c>
      <c r="B332" s="1" t="s">
        <v>2256</v>
      </c>
      <c r="C332" s="4">
        <v>2021</v>
      </c>
      <c r="D332" s="5" t="s">
        <v>2257</v>
      </c>
      <c r="E332" s="3" t="s">
        <v>580</v>
      </c>
      <c r="F332" t="s">
        <v>38</v>
      </c>
      <c r="G332" t="s">
        <v>14</v>
      </c>
    </row>
    <row r="333" spans="1:7" ht="16">
      <c r="A333" s="4">
        <v>34647632</v>
      </c>
      <c r="B333" s="1" t="s">
        <v>1608</v>
      </c>
      <c r="C333" s="4">
        <v>2022</v>
      </c>
      <c r="D333" s="5" t="s">
        <v>1609</v>
      </c>
      <c r="E333" s="3" t="s">
        <v>580</v>
      </c>
      <c r="F333" t="s">
        <v>53</v>
      </c>
      <c r="G333" t="s">
        <v>14</v>
      </c>
    </row>
    <row r="334" spans="1:7" ht="16">
      <c r="A334" s="4">
        <v>34600133</v>
      </c>
      <c r="B334" s="1" t="s">
        <v>659</v>
      </c>
      <c r="C334" s="4">
        <v>2021</v>
      </c>
      <c r="D334" s="5" t="s">
        <v>660</v>
      </c>
      <c r="E334" s="3" t="s">
        <v>580</v>
      </c>
      <c r="F334" t="s">
        <v>29</v>
      </c>
      <c r="G334" t="s">
        <v>14</v>
      </c>
    </row>
    <row r="335" spans="1:7" ht="16">
      <c r="A335" s="4">
        <v>34595132</v>
      </c>
      <c r="B335" s="1" t="s">
        <v>1541</v>
      </c>
      <c r="C335" s="4">
        <v>2021</v>
      </c>
      <c r="D335" s="5" t="s">
        <v>1542</v>
      </c>
      <c r="E335" s="3" t="s">
        <v>580</v>
      </c>
      <c r="F335" t="s">
        <v>61</v>
      </c>
      <c r="G335" t="s">
        <v>14</v>
      </c>
    </row>
    <row r="336" spans="1:7" ht="16">
      <c r="A336" s="4">
        <v>34587860</v>
      </c>
      <c r="B336" s="1" t="s">
        <v>1539</v>
      </c>
      <c r="C336" s="4">
        <v>2022</v>
      </c>
      <c r="D336" s="5" t="s">
        <v>1540</v>
      </c>
      <c r="E336" s="3" t="s">
        <v>580</v>
      </c>
      <c r="F336" t="s">
        <v>61</v>
      </c>
      <c r="G336" t="s">
        <v>14</v>
      </c>
    </row>
    <row r="337" spans="1:7" ht="16">
      <c r="A337" s="4">
        <v>34587551</v>
      </c>
      <c r="B337" s="1" t="s">
        <v>1640</v>
      </c>
      <c r="C337" s="4">
        <v>2022</v>
      </c>
      <c r="D337" s="5" t="s">
        <v>1641</v>
      </c>
      <c r="E337" s="3" t="s">
        <v>580</v>
      </c>
      <c r="F337" t="s">
        <v>53</v>
      </c>
      <c r="G337" t="s">
        <v>14</v>
      </c>
    </row>
    <row r="338" spans="1:7" ht="16">
      <c r="A338" s="4">
        <v>34576764</v>
      </c>
      <c r="B338" s="1" t="s">
        <v>2272</v>
      </c>
      <c r="C338" s="4">
        <v>2021</v>
      </c>
      <c r="D338" s="5" t="s">
        <v>2273</v>
      </c>
      <c r="E338" s="3" t="s">
        <v>580</v>
      </c>
      <c r="F338" t="s">
        <v>38</v>
      </c>
      <c r="G338" t="s">
        <v>14</v>
      </c>
    </row>
    <row r="339" spans="1:7" ht="16">
      <c r="A339" s="4">
        <v>34370861</v>
      </c>
      <c r="B339" s="1" t="s">
        <v>1622</v>
      </c>
      <c r="C339" s="4">
        <v>2022</v>
      </c>
      <c r="D339" s="5" t="s">
        <v>1623</v>
      </c>
      <c r="E339" s="3" t="s">
        <v>580</v>
      </c>
      <c r="F339" t="s">
        <v>53</v>
      </c>
      <c r="G339" t="s">
        <v>14</v>
      </c>
    </row>
    <row r="340" spans="1:7" ht="16">
      <c r="A340" s="4">
        <v>34347179</v>
      </c>
      <c r="B340" s="1" t="s">
        <v>1628</v>
      </c>
      <c r="C340" s="4">
        <v>2022</v>
      </c>
      <c r="D340" s="5" t="s">
        <v>1629</v>
      </c>
      <c r="E340" s="3" t="s">
        <v>580</v>
      </c>
      <c r="F340" t="s">
        <v>53</v>
      </c>
      <c r="G340" t="s">
        <v>14</v>
      </c>
    </row>
    <row r="341" spans="1:7" ht="16">
      <c r="A341" s="4">
        <v>34329754</v>
      </c>
      <c r="B341" s="1" t="s">
        <v>1646</v>
      </c>
      <c r="C341" s="4">
        <v>2021</v>
      </c>
      <c r="D341" s="5" t="s">
        <v>1647</v>
      </c>
      <c r="E341" s="3" t="s">
        <v>580</v>
      </c>
      <c r="F341" t="s">
        <v>53</v>
      </c>
      <c r="G341" t="s">
        <v>14</v>
      </c>
    </row>
    <row r="342" spans="1:7" ht="16">
      <c r="A342" s="4">
        <v>34206597</v>
      </c>
      <c r="B342" s="1" t="s">
        <v>1559</v>
      </c>
      <c r="C342" s="4">
        <v>2021</v>
      </c>
      <c r="D342" s="5" t="s">
        <v>1560</v>
      </c>
      <c r="E342" s="3" t="s">
        <v>580</v>
      </c>
      <c r="F342" t="s">
        <v>61</v>
      </c>
      <c r="G342" t="s">
        <v>14</v>
      </c>
    </row>
    <row r="343" spans="1:7" ht="16">
      <c r="A343" s="4">
        <v>34205498</v>
      </c>
      <c r="B343" s="1" t="s">
        <v>2274</v>
      </c>
      <c r="C343" s="4">
        <v>2021</v>
      </c>
      <c r="D343" s="5" t="s">
        <v>2275</v>
      </c>
      <c r="E343" s="3" t="s">
        <v>580</v>
      </c>
      <c r="F343" t="s">
        <v>38</v>
      </c>
      <c r="G343" t="s">
        <v>14</v>
      </c>
    </row>
    <row r="344" spans="1:7" ht="16">
      <c r="A344" s="4">
        <v>34111575</v>
      </c>
      <c r="B344" s="1" t="s">
        <v>1602</v>
      </c>
      <c r="C344" s="4">
        <v>2021</v>
      </c>
      <c r="D344" s="5" t="s">
        <v>1603</v>
      </c>
      <c r="E344" s="3" t="s">
        <v>580</v>
      </c>
      <c r="F344" t="s">
        <v>117</v>
      </c>
      <c r="G344" t="s">
        <v>14</v>
      </c>
    </row>
    <row r="345" spans="1:7" ht="16">
      <c r="A345" s="4">
        <v>34104434</v>
      </c>
      <c r="B345" s="1" t="s">
        <v>2262</v>
      </c>
      <c r="C345" s="4">
        <v>2021</v>
      </c>
      <c r="D345" s="5" t="s">
        <v>2263</v>
      </c>
      <c r="E345" s="3" t="s">
        <v>580</v>
      </c>
      <c r="F345" t="s">
        <v>38</v>
      </c>
      <c r="G345" t="s">
        <v>14</v>
      </c>
    </row>
    <row r="346" spans="1:7" ht="16">
      <c r="A346" s="4">
        <v>34083146</v>
      </c>
      <c r="B346" s="1" t="s">
        <v>661</v>
      </c>
      <c r="C346" s="4">
        <v>2021</v>
      </c>
      <c r="D346" s="5" t="s">
        <v>662</v>
      </c>
      <c r="E346" s="3" t="s">
        <v>580</v>
      </c>
      <c r="F346" t="s">
        <v>29</v>
      </c>
      <c r="G346" t="s">
        <v>14</v>
      </c>
    </row>
    <row r="347" spans="1:7" ht="16">
      <c r="A347" s="4">
        <v>34070379</v>
      </c>
      <c r="B347" s="1" t="s">
        <v>1650</v>
      </c>
      <c r="C347" s="4">
        <v>2021</v>
      </c>
      <c r="D347" s="5" t="s">
        <v>1651</v>
      </c>
      <c r="E347" s="3" t="s">
        <v>580</v>
      </c>
      <c r="F347" t="s">
        <v>53</v>
      </c>
      <c r="G347" t="s">
        <v>14</v>
      </c>
    </row>
    <row r="348" spans="1:7" ht="16">
      <c r="A348" s="4">
        <v>34022099</v>
      </c>
      <c r="B348" s="1" t="s">
        <v>1568</v>
      </c>
      <c r="C348" s="4">
        <v>2021</v>
      </c>
      <c r="D348" s="5" t="s">
        <v>1569</v>
      </c>
      <c r="E348" s="3" t="s">
        <v>580</v>
      </c>
      <c r="F348" t="s">
        <v>137</v>
      </c>
      <c r="G348" t="s">
        <v>14</v>
      </c>
    </row>
    <row r="349" spans="1:7" ht="16">
      <c r="A349" s="4">
        <v>33965190</v>
      </c>
      <c r="B349" s="1" t="s">
        <v>1218</v>
      </c>
      <c r="C349" s="4">
        <v>2021</v>
      </c>
      <c r="D349" s="5" t="s">
        <v>1219</v>
      </c>
      <c r="E349" s="3" t="s">
        <v>580</v>
      </c>
      <c r="F349" t="s">
        <v>123</v>
      </c>
      <c r="G349" t="s">
        <v>14</v>
      </c>
    </row>
    <row r="350" spans="1:7" ht="16">
      <c r="A350" s="4">
        <v>33917715</v>
      </c>
      <c r="B350" s="1" t="s">
        <v>1632</v>
      </c>
      <c r="C350" s="4">
        <v>2021</v>
      </c>
      <c r="D350" s="5" t="s">
        <v>1633</v>
      </c>
      <c r="E350" s="3" t="s">
        <v>580</v>
      </c>
      <c r="F350" t="s">
        <v>53</v>
      </c>
      <c r="G350" t="s">
        <v>14</v>
      </c>
    </row>
    <row r="351" spans="1:7" ht="16">
      <c r="A351" s="4">
        <v>33910132</v>
      </c>
      <c r="B351" s="1" t="s">
        <v>663</v>
      </c>
      <c r="C351" s="4">
        <v>2021</v>
      </c>
      <c r="D351" s="5" t="s">
        <v>664</v>
      </c>
      <c r="E351" s="3" t="s">
        <v>580</v>
      </c>
      <c r="F351" t="s">
        <v>29</v>
      </c>
      <c r="G351" t="s">
        <v>14</v>
      </c>
    </row>
    <row r="352" spans="1:7" ht="16">
      <c r="A352" s="4">
        <v>33830031</v>
      </c>
      <c r="B352" s="1" t="s">
        <v>1616</v>
      </c>
      <c r="C352" s="4">
        <v>2021</v>
      </c>
      <c r="D352" s="5" t="s">
        <v>1617</v>
      </c>
      <c r="E352" s="3" t="s">
        <v>580</v>
      </c>
      <c r="F352" t="s">
        <v>53</v>
      </c>
      <c r="G352" t="s">
        <v>14</v>
      </c>
    </row>
    <row r="353" spans="1:7" ht="16">
      <c r="A353" s="4">
        <v>33823791</v>
      </c>
      <c r="B353" s="1" t="s">
        <v>1644</v>
      </c>
      <c r="C353" s="4">
        <v>2021</v>
      </c>
      <c r="D353" s="5" t="s">
        <v>1645</v>
      </c>
      <c r="E353" s="3" t="s">
        <v>580</v>
      </c>
      <c r="F353" t="s">
        <v>53</v>
      </c>
      <c r="G353" t="s">
        <v>14</v>
      </c>
    </row>
    <row r="354" spans="1:7" ht="16">
      <c r="A354" s="4">
        <v>33819481</v>
      </c>
      <c r="B354" s="1" t="s">
        <v>1642</v>
      </c>
      <c r="C354" s="4">
        <v>2021</v>
      </c>
      <c r="D354" s="5" t="s">
        <v>1643</v>
      </c>
      <c r="E354" s="3" t="s">
        <v>580</v>
      </c>
      <c r="F354" t="s">
        <v>53</v>
      </c>
      <c r="G354" t="s">
        <v>14</v>
      </c>
    </row>
    <row r="355" spans="1:7" ht="16">
      <c r="A355" s="4">
        <v>33789834</v>
      </c>
      <c r="B355" s="1" t="s">
        <v>701</v>
      </c>
      <c r="C355" s="4">
        <v>2021</v>
      </c>
      <c r="D355" s="5" t="s">
        <v>702</v>
      </c>
      <c r="E355" s="3" t="s">
        <v>580</v>
      </c>
      <c r="F355" t="s">
        <v>29</v>
      </c>
      <c r="G355" t="s">
        <v>14</v>
      </c>
    </row>
    <row r="356" spans="1:7" ht="16">
      <c r="A356" s="4">
        <v>33784434</v>
      </c>
      <c r="B356" s="1" t="s">
        <v>1664</v>
      </c>
      <c r="C356" s="4">
        <v>2021</v>
      </c>
      <c r="D356" s="5" t="s">
        <v>1665</v>
      </c>
      <c r="E356" s="3" t="s">
        <v>580</v>
      </c>
      <c r="F356" t="s">
        <v>53</v>
      </c>
      <c r="G356" t="s">
        <v>14</v>
      </c>
    </row>
    <row r="357" spans="1:7" ht="16">
      <c r="A357" s="4">
        <v>33718897</v>
      </c>
      <c r="B357" s="1" t="s">
        <v>1658</v>
      </c>
      <c r="C357" s="4">
        <v>2021</v>
      </c>
      <c r="D357" s="5" t="s">
        <v>1659</v>
      </c>
      <c r="E357" s="3" t="s">
        <v>580</v>
      </c>
      <c r="F357" t="s">
        <v>53</v>
      </c>
      <c r="G357" t="s">
        <v>14</v>
      </c>
    </row>
    <row r="358" spans="1:7" ht="16">
      <c r="A358" s="4">
        <v>33713461</v>
      </c>
      <c r="B358" s="1" t="s">
        <v>1618</v>
      </c>
      <c r="C358" s="4">
        <v>2021</v>
      </c>
      <c r="D358" s="5" t="s">
        <v>1619</v>
      </c>
      <c r="E358" s="3" t="s">
        <v>580</v>
      </c>
      <c r="F358" t="s">
        <v>53</v>
      </c>
      <c r="G358" t="s">
        <v>14</v>
      </c>
    </row>
    <row r="359" spans="1:7" ht="16">
      <c r="A359" s="4">
        <v>33706010</v>
      </c>
      <c r="B359" s="1" t="s">
        <v>1545</v>
      </c>
      <c r="C359" s="4">
        <v>2021</v>
      </c>
      <c r="D359" s="5" t="s">
        <v>1546</v>
      </c>
      <c r="E359" s="3" t="s">
        <v>580</v>
      </c>
      <c r="F359" t="s">
        <v>61</v>
      </c>
      <c r="G359" t="s">
        <v>14</v>
      </c>
    </row>
    <row r="360" spans="1:7" ht="16">
      <c r="A360" s="4">
        <v>33587722</v>
      </c>
      <c r="B360" s="1" t="s">
        <v>1600</v>
      </c>
      <c r="C360" s="4">
        <v>2021</v>
      </c>
      <c r="D360" s="5" t="s">
        <v>1601</v>
      </c>
      <c r="E360" s="3" t="s">
        <v>580</v>
      </c>
      <c r="F360" t="s">
        <v>111</v>
      </c>
      <c r="G360" t="s">
        <v>14</v>
      </c>
    </row>
    <row r="361" spans="1:7" ht="16">
      <c r="A361" s="4">
        <v>33587431</v>
      </c>
      <c r="B361" s="1" t="s">
        <v>1537</v>
      </c>
      <c r="C361" s="4">
        <v>2021</v>
      </c>
      <c r="D361" s="5" t="s">
        <v>1538</v>
      </c>
      <c r="E361" s="3" t="s">
        <v>580</v>
      </c>
      <c r="F361" t="s">
        <v>61</v>
      </c>
      <c r="G361" t="s">
        <v>14</v>
      </c>
    </row>
    <row r="362" spans="1:7" ht="16">
      <c r="A362" s="4">
        <v>33548682</v>
      </c>
      <c r="B362" s="1" t="s">
        <v>2250</v>
      </c>
      <c r="C362" s="4">
        <v>2021</v>
      </c>
      <c r="D362" s="5" t="s">
        <v>2251</v>
      </c>
      <c r="E362" s="3" t="s">
        <v>580</v>
      </c>
      <c r="F362" t="s">
        <v>38</v>
      </c>
      <c r="G362" t="s">
        <v>14</v>
      </c>
    </row>
    <row r="363" spans="1:7" ht="16">
      <c r="A363" s="4">
        <v>33491073</v>
      </c>
      <c r="B363" s="1" t="s">
        <v>1620</v>
      </c>
      <c r="C363" s="4">
        <v>2021</v>
      </c>
      <c r="D363" s="5" t="s">
        <v>1621</v>
      </c>
      <c r="E363" s="3" t="s">
        <v>580</v>
      </c>
      <c r="F363" t="s">
        <v>53</v>
      </c>
      <c r="G363" t="s">
        <v>14</v>
      </c>
    </row>
    <row r="364" spans="1:7" ht="16">
      <c r="A364" s="4">
        <v>33443593</v>
      </c>
      <c r="B364" s="1" t="s">
        <v>669</v>
      </c>
      <c r="C364" s="4">
        <v>2021</v>
      </c>
      <c r="D364" s="5" t="s">
        <v>670</v>
      </c>
      <c r="E364" s="3" t="s">
        <v>580</v>
      </c>
      <c r="F364" t="s">
        <v>29</v>
      </c>
      <c r="G364" t="s">
        <v>14</v>
      </c>
    </row>
    <row r="365" spans="1:7" ht="16">
      <c r="A365" s="4">
        <v>33363781</v>
      </c>
      <c r="B365" s="1" t="s">
        <v>1208</v>
      </c>
      <c r="C365" s="4">
        <v>2020</v>
      </c>
      <c r="D365" s="5" t="s">
        <v>1209</v>
      </c>
      <c r="E365" s="3" t="s">
        <v>580</v>
      </c>
      <c r="F365" t="s">
        <v>29</v>
      </c>
      <c r="G365">
        <v>0</v>
      </c>
    </row>
    <row r="366" spans="1:7" ht="16">
      <c r="A366" s="4">
        <v>33311918</v>
      </c>
      <c r="B366" s="1" t="s">
        <v>1441</v>
      </c>
      <c r="C366" s="4">
        <v>2020</v>
      </c>
      <c r="D366" s="5" t="s">
        <v>1442</v>
      </c>
      <c r="E366" s="3" t="s">
        <v>580</v>
      </c>
      <c r="F366" t="s">
        <v>42</v>
      </c>
      <c r="G366">
        <v>0</v>
      </c>
    </row>
    <row r="367" spans="1:7" ht="16">
      <c r="A367" s="4">
        <v>33207265</v>
      </c>
      <c r="B367" s="1" t="s">
        <v>649</v>
      </c>
      <c r="C367" s="4">
        <v>2021</v>
      </c>
      <c r="D367" s="5" t="s">
        <v>650</v>
      </c>
      <c r="E367" s="3" t="s">
        <v>580</v>
      </c>
      <c r="F367" t="s">
        <v>77</v>
      </c>
      <c r="G367" t="s">
        <v>14</v>
      </c>
    </row>
    <row r="368" spans="1:7" ht="16">
      <c r="A368" s="4">
        <v>33194546</v>
      </c>
      <c r="B368" s="1" t="s">
        <v>1188</v>
      </c>
      <c r="C368" s="4">
        <v>2020</v>
      </c>
      <c r="D368" s="5" t="s">
        <v>1189</v>
      </c>
      <c r="E368" s="3" t="s">
        <v>580</v>
      </c>
      <c r="F368" t="s">
        <v>29</v>
      </c>
      <c r="G368">
        <v>0</v>
      </c>
    </row>
    <row r="369" spans="1:7" ht="16">
      <c r="A369" s="4">
        <v>33158469</v>
      </c>
      <c r="B369" s="1" t="s">
        <v>2623</v>
      </c>
      <c r="C369" s="4">
        <v>2020</v>
      </c>
      <c r="D369" s="5" t="s">
        <v>2624</v>
      </c>
      <c r="E369" s="3" t="s">
        <v>580</v>
      </c>
      <c r="F369" t="s">
        <v>38</v>
      </c>
      <c r="G369">
        <v>0</v>
      </c>
    </row>
    <row r="370" spans="1:7" ht="16">
      <c r="A370" s="4">
        <v>33088521</v>
      </c>
      <c r="B370" s="1" t="s">
        <v>1171</v>
      </c>
      <c r="C370" s="4">
        <v>2020</v>
      </c>
      <c r="D370" s="5" t="s">
        <v>1172</v>
      </c>
      <c r="E370" s="3" t="s">
        <v>580</v>
      </c>
      <c r="F370" t="s">
        <v>29</v>
      </c>
      <c r="G370">
        <v>0</v>
      </c>
    </row>
    <row r="371" spans="1:7" ht="16">
      <c r="A371" s="4">
        <v>33048220</v>
      </c>
      <c r="B371" s="1" t="s">
        <v>2594</v>
      </c>
      <c r="C371" s="4">
        <v>2021</v>
      </c>
      <c r="D371" s="5" t="s">
        <v>2595</v>
      </c>
      <c r="E371" s="3" t="s">
        <v>580</v>
      </c>
      <c r="F371" t="s">
        <v>38</v>
      </c>
      <c r="G371">
        <v>0</v>
      </c>
    </row>
    <row r="372" spans="1:7" ht="16">
      <c r="A372" s="4">
        <v>32944150</v>
      </c>
      <c r="B372" s="1" t="s">
        <v>1477</v>
      </c>
      <c r="C372" s="4">
        <v>2020</v>
      </c>
      <c r="D372" s="5" t="s">
        <v>1478</v>
      </c>
      <c r="E372" s="3" t="s">
        <v>580</v>
      </c>
      <c r="F372" t="s">
        <v>42</v>
      </c>
      <c r="G372">
        <v>0</v>
      </c>
    </row>
    <row r="373" spans="1:7" ht="16">
      <c r="A373" s="4">
        <v>32925539</v>
      </c>
      <c r="B373" s="1" t="s">
        <v>1877</v>
      </c>
      <c r="C373" s="4">
        <v>2020</v>
      </c>
      <c r="D373" s="5" t="s">
        <v>1878</v>
      </c>
      <c r="E373" s="3" t="s">
        <v>580</v>
      </c>
      <c r="F373" t="s">
        <v>33</v>
      </c>
      <c r="G373">
        <v>0</v>
      </c>
    </row>
    <row r="374" spans="1:7" ht="16">
      <c r="A374" s="4">
        <v>32908059</v>
      </c>
      <c r="B374" s="1" t="s">
        <v>581</v>
      </c>
      <c r="C374" s="4">
        <v>2020</v>
      </c>
      <c r="D374" s="5" t="s">
        <v>2311</v>
      </c>
      <c r="E374" s="3" t="s">
        <v>580</v>
      </c>
      <c r="F374" t="s">
        <v>38</v>
      </c>
      <c r="G374">
        <v>0</v>
      </c>
    </row>
    <row r="375" spans="1:7" ht="16">
      <c r="A375" s="4">
        <v>32903425</v>
      </c>
      <c r="B375" s="1" t="s">
        <v>2240</v>
      </c>
      <c r="C375" s="4">
        <v>2020</v>
      </c>
      <c r="D375" s="5" t="s">
        <v>2241</v>
      </c>
      <c r="E375" s="3" t="s">
        <v>580</v>
      </c>
      <c r="F375" t="s">
        <v>73</v>
      </c>
      <c r="G375">
        <v>0</v>
      </c>
    </row>
    <row r="376" spans="1:7" ht="16">
      <c r="A376" s="4">
        <v>32808422</v>
      </c>
      <c r="B376" s="1" t="s">
        <v>687</v>
      </c>
      <c r="C376" s="4">
        <v>2021</v>
      </c>
      <c r="D376" s="5" t="s">
        <v>688</v>
      </c>
      <c r="E376" s="3" t="s">
        <v>580</v>
      </c>
      <c r="F376" t="s">
        <v>29</v>
      </c>
      <c r="G376" t="s">
        <v>14</v>
      </c>
    </row>
    <row r="377" spans="1:7" ht="16">
      <c r="A377" s="4">
        <v>32786154</v>
      </c>
      <c r="B377" s="1" t="s">
        <v>2412</v>
      </c>
      <c r="C377" s="4">
        <v>2021</v>
      </c>
      <c r="D377" s="5" t="s">
        <v>2413</v>
      </c>
      <c r="E377" s="3" t="s">
        <v>580</v>
      </c>
      <c r="F377" t="s">
        <v>38</v>
      </c>
      <c r="G377">
        <v>0</v>
      </c>
    </row>
    <row r="378" spans="1:7" ht="16">
      <c r="A378" s="4">
        <v>32782352</v>
      </c>
      <c r="B378" s="1" t="s">
        <v>1668</v>
      </c>
      <c r="C378" s="4">
        <v>2021</v>
      </c>
      <c r="D378" s="5" t="s">
        <v>1669</v>
      </c>
      <c r="E378" s="3" t="s">
        <v>580</v>
      </c>
      <c r="F378" t="s">
        <v>155</v>
      </c>
      <c r="G378">
        <v>0</v>
      </c>
    </row>
    <row r="379" spans="1:7" ht="16">
      <c r="A379" s="4">
        <v>32638491</v>
      </c>
      <c r="B379" s="1" t="s">
        <v>725</v>
      </c>
      <c r="C379" s="4">
        <v>2021</v>
      </c>
      <c r="D379" s="5" t="s">
        <v>726</v>
      </c>
      <c r="E379" s="3" t="s">
        <v>580</v>
      </c>
      <c r="F379" t="s">
        <v>29</v>
      </c>
      <c r="G379">
        <v>0</v>
      </c>
    </row>
    <row r="380" spans="1:7" ht="16">
      <c r="A380" s="4">
        <v>32551136</v>
      </c>
      <c r="B380" s="1" t="s">
        <v>2162</v>
      </c>
      <c r="C380" s="4">
        <v>2020</v>
      </c>
      <c r="D380" s="5" t="s">
        <v>2163</v>
      </c>
      <c r="E380" s="3" t="s">
        <v>580</v>
      </c>
      <c r="F380" t="s">
        <v>33</v>
      </c>
      <c r="G380">
        <v>0</v>
      </c>
    </row>
    <row r="381" spans="1:7" ht="16">
      <c r="A381" s="4">
        <v>32529583</v>
      </c>
      <c r="B381" s="1" t="s">
        <v>1067</v>
      </c>
      <c r="C381" s="4">
        <v>2020</v>
      </c>
      <c r="D381" s="5" t="s">
        <v>1068</v>
      </c>
      <c r="E381" s="3" t="s">
        <v>580</v>
      </c>
      <c r="F381" t="s">
        <v>29</v>
      </c>
      <c r="G381">
        <v>0</v>
      </c>
    </row>
    <row r="382" spans="1:7" ht="16">
      <c r="A382" s="4">
        <v>32428994</v>
      </c>
      <c r="B382" s="1" t="s">
        <v>759</v>
      </c>
      <c r="C382" s="4">
        <v>2020</v>
      </c>
      <c r="D382" s="5" t="s">
        <v>760</v>
      </c>
      <c r="E382" s="3" t="s">
        <v>580</v>
      </c>
      <c r="F382" t="s">
        <v>29</v>
      </c>
      <c r="G382">
        <v>0</v>
      </c>
    </row>
    <row r="383" spans="1:7" ht="16">
      <c r="A383" s="4">
        <v>32424944</v>
      </c>
      <c r="B383" s="1" t="s">
        <v>733</v>
      </c>
      <c r="C383" s="4">
        <v>2020</v>
      </c>
      <c r="D383" s="5" t="s">
        <v>734</v>
      </c>
      <c r="E383" s="3" t="s">
        <v>580</v>
      </c>
      <c r="F383" t="s">
        <v>29</v>
      </c>
      <c r="G383">
        <v>0</v>
      </c>
    </row>
    <row r="384" spans="1:7" ht="16">
      <c r="A384" s="4">
        <v>32401076</v>
      </c>
      <c r="B384" s="1" t="s">
        <v>2176</v>
      </c>
      <c r="C384" s="4">
        <v>2022</v>
      </c>
      <c r="D384" s="5" t="s">
        <v>2177</v>
      </c>
      <c r="E384" s="3" t="s">
        <v>580</v>
      </c>
      <c r="F384" t="s">
        <v>33</v>
      </c>
      <c r="G384">
        <v>0</v>
      </c>
    </row>
    <row r="385" spans="1:7" ht="16">
      <c r="A385" s="4">
        <v>32324868</v>
      </c>
      <c r="B385" s="1" t="s">
        <v>1508</v>
      </c>
      <c r="C385" s="4">
        <v>2020</v>
      </c>
      <c r="D385" s="5" t="s">
        <v>1509</v>
      </c>
      <c r="E385" s="3" t="s">
        <v>580</v>
      </c>
      <c r="F385" t="s">
        <v>57</v>
      </c>
      <c r="G385">
        <v>0</v>
      </c>
    </row>
    <row r="386" spans="1:7" ht="16">
      <c r="A386" s="4">
        <v>32299316</v>
      </c>
      <c r="B386" s="1" t="s">
        <v>1153</v>
      </c>
      <c r="C386" s="4">
        <v>2020</v>
      </c>
      <c r="D386" s="5" t="s">
        <v>1154</v>
      </c>
      <c r="E386" s="3" t="s">
        <v>580</v>
      </c>
      <c r="F386" t="s">
        <v>29</v>
      </c>
      <c r="G386">
        <v>0</v>
      </c>
    </row>
    <row r="387" spans="1:7" ht="16">
      <c r="A387" s="4">
        <v>32295911</v>
      </c>
      <c r="B387" s="1" t="s">
        <v>1754</v>
      </c>
      <c r="C387" s="4">
        <v>2020</v>
      </c>
      <c r="D387" s="5" t="s">
        <v>1755</v>
      </c>
      <c r="E387" s="3" t="s">
        <v>580</v>
      </c>
      <c r="F387" t="s">
        <v>33</v>
      </c>
      <c r="G387">
        <v>0</v>
      </c>
    </row>
    <row r="388" spans="1:7" ht="16">
      <c r="A388" s="4">
        <v>32245201</v>
      </c>
      <c r="B388" s="1" t="s">
        <v>2582</v>
      </c>
      <c r="C388" s="4">
        <v>2020</v>
      </c>
      <c r="D388" s="5" t="s">
        <v>2583</v>
      </c>
      <c r="E388" s="3" t="s">
        <v>580</v>
      </c>
      <c r="F388" t="s">
        <v>38</v>
      </c>
      <c r="G388">
        <v>0</v>
      </c>
    </row>
    <row r="389" spans="1:7" ht="16">
      <c r="A389" s="4">
        <v>32224590</v>
      </c>
      <c r="B389" s="1" t="s">
        <v>887</v>
      </c>
      <c r="C389" s="4">
        <v>2020</v>
      </c>
      <c r="D389" s="5" t="s">
        <v>888</v>
      </c>
      <c r="E389" s="3" t="s">
        <v>580</v>
      </c>
      <c r="F389" t="s">
        <v>29</v>
      </c>
      <c r="G389">
        <v>0</v>
      </c>
    </row>
    <row r="390" spans="1:7" ht="16">
      <c r="A390" s="4">
        <v>32188617</v>
      </c>
      <c r="B390" s="1" t="s">
        <v>991</v>
      </c>
      <c r="C390" s="4">
        <v>2020</v>
      </c>
      <c r="D390" s="5" t="s">
        <v>992</v>
      </c>
      <c r="E390" s="3" t="s">
        <v>580</v>
      </c>
      <c r="F390" t="s">
        <v>29</v>
      </c>
      <c r="G390">
        <v>0</v>
      </c>
    </row>
    <row r="391" spans="1:7" ht="16">
      <c r="A391" s="4">
        <v>32183884</v>
      </c>
      <c r="B391" s="1" t="s">
        <v>2212</v>
      </c>
      <c r="C391" s="4">
        <v>2020</v>
      </c>
      <c r="D391" s="5" t="s">
        <v>2213</v>
      </c>
      <c r="E391" s="3" t="s">
        <v>580</v>
      </c>
      <c r="F391" t="s">
        <v>33</v>
      </c>
      <c r="G391">
        <v>0</v>
      </c>
    </row>
    <row r="392" spans="1:7" ht="16">
      <c r="A392" s="4">
        <v>32053411</v>
      </c>
      <c r="B392" s="1" t="s">
        <v>2088</v>
      </c>
      <c r="C392" s="4">
        <v>2020</v>
      </c>
      <c r="D392" s="5" t="s">
        <v>2089</v>
      </c>
      <c r="E392" s="3" t="s">
        <v>580</v>
      </c>
      <c r="F392" t="s">
        <v>33</v>
      </c>
      <c r="G392">
        <v>0</v>
      </c>
    </row>
    <row r="393" spans="1:7" ht="16">
      <c r="A393" s="4">
        <v>32047230</v>
      </c>
      <c r="B393" s="1" t="s">
        <v>1742</v>
      </c>
      <c r="C393" s="4">
        <v>2020</v>
      </c>
      <c r="D393" s="5" t="s">
        <v>1743</v>
      </c>
      <c r="E393" s="3" t="s">
        <v>580</v>
      </c>
      <c r="F393" t="s">
        <v>69</v>
      </c>
      <c r="G393">
        <v>0</v>
      </c>
    </row>
    <row r="394" spans="1:7" ht="16">
      <c r="A394" s="4">
        <v>32028025</v>
      </c>
      <c r="B394" s="1" t="s">
        <v>2424</v>
      </c>
      <c r="C394" s="4">
        <v>2020</v>
      </c>
      <c r="D394" s="5" t="s">
        <v>2425</v>
      </c>
      <c r="E394" s="3" t="s">
        <v>580</v>
      </c>
      <c r="F394" t="s">
        <v>38</v>
      </c>
      <c r="G394">
        <v>0</v>
      </c>
    </row>
    <row r="395" spans="1:7" ht="16">
      <c r="A395" s="4">
        <v>32027295</v>
      </c>
      <c r="B395" s="1" t="s">
        <v>636</v>
      </c>
      <c r="C395" s="4">
        <v>2020</v>
      </c>
      <c r="D395" s="5" t="s">
        <v>637</v>
      </c>
      <c r="E395" s="3" t="s">
        <v>580</v>
      </c>
      <c r="F395" t="s">
        <v>45</v>
      </c>
      <c r="G395">
        <v>0</v>
      </c>
    </row>
    <row r="396" spans="1:7" ht="16">
      <c r="A396" s="4">
        <v>31942610</v>
      </c>
      <c r="B396" s="1" t="s">
        <v>2604</v>
      </c>
      <c r="C396" s="4">
        <v>2020</v>
      </c>
      <c r="D396" s="5" t="s">
        <v>2605</v>
      </c>
      <c r="E396" s="3" t="s">
        <v>580</v>
      </c>
      <c r="F396" t="s">
        <v>38</v>
      </c>
      <c r="G396">
        <v>0</v>
      </c>
    </row>
    <row r="397" spans="1:7" ht="16">
      <c r="A397" s="4">
        <v>31891386</v>
      </c>
      <c r="B397" s="1" t="s">
        <v>83</v>
      </c>
      <c r="C397" s="4">
        <v>2020</v>
      </c>
      <c r="D397" s="5" t="s">
        <v>1522</v>
      </c>
      <c r="E397" s="3" t="s">
        <v>580</v>
      </c>
      <c r="F397" t="s">
        <v>57</v>
      </c>
      <c r="G397">
        <v>0</v>
      </c>
    </row>
    <row r="398" spans="1:7" ht="16">
      <c r="A398" s="4">
        <v>31890456</v>
      </c>
      <c r="B398" s="1" t="s">
        <v>1141</v>
      </c>
      <c r="C398" s="4">
        <v>2019</v>
      </c>
      <c r="D398" s="5" t="s">
        <v>1142</v>
      </c>
      <c r="E398" s="3" t="s">
        <v>580</v>
      </c>
      <c r="F398" t="s">
        <v>29</v>
      </c>
      <c r="G398">
        <v>0</v>
      </c>
    </row>
    <row r="399" spans="1:7" ht="16">
      <c r="A399" s="4">
        <v>31876110</v>
      </c>
      <c r="B399" s="1" t="s">
        <v>1063</v>
      </c>
      <c r="C399" s="4">
        <v>2020</v>
      </c>
      <c r="D399" s="5" t="s">
        <v>1064</v>
      </c>
      <c r="E399" s="3" t="s">
        <v>580</v>
      </c>
      <c r="F399" t="s">
        <v>29</v>
      </c>
      <c r="G399">
        <v>0</v>
      </c>
    </row>
    <row r="400" spans="1:7" ht="16">
      <c r="A400" s="4">
        <v>31852793</v>
      </c>
      <c r="B400" s="1" t="s">
        <v>2061</v>
      </c>
      <c r="C400" s="4">
        <v>2020</v>
      </c>
      <c r="D400" s="5" t="s">
        <v>2062</v>
      </c>
      <c r="E400" s="3" t="s">
        <v>580</v>
      </c>
      <c r="F400" t="s">
        <v>33</v>
      </c>
      <c r="G400">
        <v>0</v>
      </c>
    </row>
    <row r="401" spans="1:7" ht="16">
      <c r="A401" s="4">
        <v>31837130</v>
      </c>
      <c r="B401" s="1" t="s">
        <v>2216</v>
      </c>
      <c r="C401" s="4">
        <v>2020</v>
      </c>
      <c r="D401" s="5" t="s">
        <v>2217</v>
      </c>
      <c r="E401" s="3" t="s">
        <v>580</v>
      </c>
      <c r="F401" t="s">
        <v>33</v>
      </c>
      <c r="G401">
        <v>0</v>
      </c>
    </row>
    <row r="402" spans="1:7" ht="16">
      <c r="A402" s="4">
        <v>31801268</v>
      </c>
      <c r="B402" s="1" t="s">
        <v>2497</v>
      </c>
      <c r="C402" s="4">
        <v>2019</v>
      </c>
      <c r="D402" s="5" t="s">
        <v>2498</v>
      </c>
      <c r="E402" s="3" t="s">
        <v>580</v>
      </c>
      <c r="F402" t="s">
        <v>38</v>
      </c>
      <c r="G402">
        <v>0</v>
      </c>
    </row>
    <row r="403" spans="1:7" ht="16">
      <c r="A403" s="4">
        <v>31798967</v>
      </c>
      <c r="B403" s="1" t="s">
        <v>2162</v>
      </c>
      <c r="C403" s="4">
        <v>2019</v>
      </c>
      <c r="D403" s="5" t="s">
        <v>2247</v>
      </c>
      <c r="E403" s="3" t="s">
        <v>580</v>
      </c>
      <c r="F403" t="s">
        <v>108</v>
      </c>
      <c r="G403">
        <v>0</v>
      </c>
    </row>
    <row r="404" spans="1:7" ht="16">
      <c r="A404" s="4">
        <v>31785234</v>
      </c>
      <c r="B404" s="1" t="s">
        <v>2126</v>
      </c>
      <c r="C404" s="4">
        <v>2020</v>
      </c>
      <c r="D404" s="5" t="s">
        <v>2127</v>
      </c>
      <c r="E404" s="3" t="s">
        <v>580</v>
      </c>
      <c r="F404" t="s">
        <v>33</v>
      </c>
      <c r="G404">
        <v>0</v>
      </c>
    </row>
    <row r="405" spans="1:7" ht="16">
      <c r="A405" s="4">
        <v>34595440</v>
      </c>
      <c r="B405" s="1" t="s">
        <v>705</v>
      </c>
      <c r="C405" s="4">
        <v>2019</v>
      </c>
      <c r="D405" s="5" t="s">
        <v>706</v>
      </c>
      <c r="E405" s="3" t="s">
        <v>580</v>
      </c>
      <c r="F405" t="s">
        <v>29</v>
      </c>
      <c r="G405" t="s">
        <v>14</v>
      </c>
    </row>
    <row r="406" spans="1:7" ht="16">
      <c r="A406" s="4">
        <v>31745253</v>
      </c>
      <c r="B406" s="1" t="s">
        <v>2402</v>
      </c>
      <c r="C406" s="4">
        <v>2020</v>
      </c>
      <c r="D406" s="5" t="s">
        <v>2403</v>
      </c>
      <c r="E406" s="3" t="s">
        <v>580</v>
      </c>
      <c r="F406" t="s">
        <v>38</v>
      </c>
      <c r="G406">
        <v>0</v>
      </c>
    </row>
    <row r="407" spans="1:7" ht="16">
      <c r="A407" s="4">
        <v>31724929</v>
      </c>
      <c r="B407" s="1" t="s">
        <v>1311</v>
      </c>
      <c r="C407" s="4">
        <v>2021</v>
      </c>
      <c r="D407" s="5" t="s">
        <v>1312</v>
      </c>
      <c r="E407" s="3" t="s">
        <v>580</v>
      </c>
      <c r="F407" t="s">
        <v>42</v>
      </c>
      <c r="G407">
        <v>0</v>
      </c>
    </row>
    <row r="408" spans="1:7" ht="16">
      <c r="A408" s="4">
        <v>31722836</v>
      </c>
      <c r="B408" s="1" t="s">
        <v>677</v>
      </c>
      <c r="C408" s="4">
        <v>2020</v>
      </c>
      <c r="D408" s="5" t="s">
        <v>678</v>
      </c>
      <c r="E408" s="3" t="s">
        <v>580</v>
      </c>
      <c r="F408" t="s">
        <v>29</v>
      </c>
      <c r="G408" t="s">
        <v>14</v>
      </c>
    </row>
    <row r="409" spans="1:7" ht="16">
      <c r="A409" s="4">
        <v>31678540</v>
      </c>
      <c r="B409" s="1" t="s">
        <v>1582</v>
      </c>
      <c r="C409" s="4">
        <v>2020</v>
      </c>
      <c r="D409" s="5" t="s">
        <v>1583</v>
      </c>
      <c r="E409" s="3" t="s">
        <v>580</v>
      </c>
      <c r="F409" t="s">
        <v>65</v>
      </c>
      <c r="G409">
        <v>0</v>
      </c>
    </row>
    <row r="410" spans="1:7" ht="16">
      <c r="A410" s="4">
        <v>31649826</v>
      </c>
      <c r="B410" s="1" t="s">
        <v>2162</v>
      </c>
      <c r="C410" s="4">
        <v>2019</v>
      </c>
      <c r="D410" s="5" t="s">
        <v>2246</v>
      </c>
      <c r="E410" s="3" t="s">
        <v>580</v>
      </c>
      <c r="F410" t="s">
        <v>108</v>
      </c>
      <c r="G410">
        <v>0</v>
      </c>
    </row>
    <row r="411" spans="1:7" ht="16">
      <c r="A411" s="4">
        <v>31579937</v>
      </c>
      <c r="B411" s="1" t="s">
        <v>769</v>
      </c>
      <c r="C411" s="4">
        <v>2020</v>
      </c>
      <c r="D411" s="5" t="s">
        <v>770</v>
      </c>
      <c r="E411" s="3" t="s">
        <v>580</v>
      </c>
      <c r="F411" t="s">
        <v>29</v>
      </c>
      <c r="G411">
        <v>0</v>
      </c>
    </row>
    <row r="412" spans="1:7" ht="16">
      <c r="A412" s="4">
        <v>31567413</v>
      </c>
      <c r="B412" s="1" t="s">
        <v>2398</v>
      </c>
      <c r="C412" s="4">
        <v>2019</v>
      </c>
      <c r="D412" s="5" t="s">
        <v>2399</v>
      </c>
      <c r="E412" s="3" t="s">
        <v>580</v>
      </c>
      <c r="F412" t="s">
        <v>38</v>
      </c>
      <c r="G412">
        <v>0</v>
      </c>
    </row>
    <row r="413" spans="1:7" ht="16">
      <c r="A413" s="4">
        <v>31554674</v>
      </c>
      <c r="B413" s="1" t="s">
        <v>2168</v>
      </c>
      <c r="C413" s="4">
        <v>2019</v>
      </c>
      <c r="D413" s="5" t="s">
        <v>2169</v>
      </c>
      <c r="E413" s="3" t="s">
        <v>580</v>
      </c>
      <c r="F413" t="s">
        <v>33</v>
      </c>
      <c r="G413">
        <v>0</v>
      </c>
    </row>
    <row r="414" spans="1:7" ht="16">
      <c r="A414" s="4">
        <v>31554310</v>
      </c>
      <c r="B414" s="1" t="s">
        <v>2208</v>
      </c>
      <c r="C414" s="4">
        <v>2019</v>
      </c>
      <c r="D414" s="5" t="s">
        <v>2209</v>
      </c>
      <c r="E414" s="3" t="s">
        <v>580</v>
      </c>
      <c r="F414" t="s">
        <v>33</v>
      </c>
      <c r="G414">
        <v>0</v>
      </c>
    </row>
    <row r="415" spans="1:7" ht="16">
      <c r="A415" s="4">
        <v>31521763</v>
      </c>
      <c r="B415" s="1" t="s">
        <v>1782</v>
      </c>
      <c r="C415" s="4">
        <v>2019</v>
      </c>
      <c r="D415" s="5" t="s">
        <v>1783</v>
      </c>
      <c r="E415" s="3" t="s">
        <v>580</v>
      </c>
      <c r="F415" t="s">
        <v>33</v>
      </c>
      <c r="G415">
        <v>0</v>
      </c>
    </row>
    <row r="416" spans="1:7" ht="16">
      <c r="A416" s="4">
        <v>31516647</v>
      </c>
      <c r="B416" s="1" t="s">
        <v>1169</v>
      </c>
      <c r="C416" s="4">
        <v>2019</v>
      </c>
      <c r="D416" s="5" t="s">
        <v>1170</v>
      </c>
      <c r="E416" s="3" t="s">
        <v>580</v>
      </c>
      <c r="F416" t="s">
        <v>29</v>
      </c>
      <c r="G416">
        <v>0</v>
      </c>
    </row>
    <row r="417" spans="1:7" ht="16">
      <c r="A417" s="4">
        <v>31469438</v>
      </c>
      <c r="B417" s="1" t="s">
        <v>2530</v>
      </c>
      <c r="C417" s="4">
        <v>2020</v>
      </c>
      <c r="D417" s="5" t="s">
        <v>2531</v>
      </c>
      <c r="E417" s="3" t="s">
        <v>580</v>
      </c>
      <c r="F417" t="s">
        <v>38</v>
      </c>
      <c r="G417">
        <v>0</v>
      </c>
    </row>
    <row r="418" spans="1:7" ht="16">
      <c r="A418" s="4">
        <v>31467131</v>
      </c>
      <c r="B418" s="1" t="s">
        <v>2432</v>
      </c>
      <c r="C418" s="4">
        <v>2019</v>
      </c>
      <c r="D418" s="5" t="s">
        <v>2433</v>
      </c>
      <c r="E418" s="3" t="s">
        <v>580</v>
      </c>
      <c r="F418" t="s">
        <v>38</v>
      </c>
      <c r="G418">
        <v>0</v>
      </c>
    </row>
    <row r="419" spans="1:7" ht="16">
      <c r="A419" s="4">
        <v>31463932</v>
      </c>
      <c r="B419" s="1" t="s">
        <v>1467</v>
      </c>
      <c r="C419" s="4">
        <v>2020</v>
      </c>
      <c r="D419" s="5" t="s">
        <v>1468</v>
      </c>
      <c r="E419" s="3" t="s">
        <v>580</v>
      </c>
      <c r="F419" t="s">
        <v>42</v>
      </c>
      <c r="G419">
        <v>0</v>
      </c>
    </row>
    <row r="420" spans="1:7" ht="16">
      <c r="A420" s="4">
        <v>31439151</v>
      </c>
      <c r="B420" s="1" t="s">
        <v>655</v>
      </c>
      <c r="C420" s="4">
        <v>2019</v>
      </c>
      <c r="D420" s="5" t="s">
        <v>656</v>
      </c>
      <c r="E420" s="3" t="s">
        <v>580</v>
      </c>
      <c r="F420" t="s">
        <v>140</v>
      </c>
      <c r="G420">
        <v>0</v>
      </c>
    </row>
    <row r="421" spans="1:7" ht="16">
      <c r="A421" s="4">
        <v>31421950</v>
      </c>
      <c r="B421" s="1" t="s">
        <v>751</v>
      </c>
      <c r="C421" s="4">
        <v>2020</v>
      </c>
      <c r="D421" s="5" t="s">
        <v>752</v>
      </c>
      <c r="E421" s="3" t="s">
        <v>580</v>
      </c>
      <c r="F421" t="s">
        <v>29</v>
      </c>
      <c r="G421">
        <v>0</v>
      </c>
    </row>
    <row r="422" spans="1:7" ht="16">
      <c r="A422" s="4">
        <v>31397803</v>
      </c>
      <c r="B422" s="1" t="s">
        <v>1117</v>
      </c>
      <c r="C422" s="4">
        <v>2019</v>
      </c>
      <c r="D422" s="5" t="s">
        <v>1118</v>
      </c>
      <c r="E422" s="3" t="s">
        <v>580</v>
      </c>
      <c r="F422" t="s">
        <v>29</v>
      </c>
      <c r="G422">
        <v>0</v>
      </c>
    </row>
    <row r="423" spans="1:7" ht="16">
      <c r="A423" s="4">
        <v>31378873</v>
      </c>
      <c r="B423" s="1" t="s">
        <v>2385</v>
      </c>
      <c r="C423" s="4">
        <v>2019</v>
      </c>
      <c r="D423" s="5" t="s">
        <v>2386</v>
      </c>
      <c r="E423" s="3" t="s">
        <v>580</v>
      </c>
      <c r="F423" t="s">
        <v>38</v>
      </c>
      <c r="G423">
        <v>0</v>
      </c>
    </row>
    <row r="424" spans="1:7" ht="16">
      <c r="A424" s="4">
        <v>31273084</v>
      </c>
      <c r="B424" s="1" t="s">
        <v>2220</v>
      </c>
      <c r="C424" s="4">
        <v>2019</v>
      </c>
      <c r="D424" s="5" t="s">
        <v>2221</v>
      </c>
      <c r="E424" s="3" t="s">
        <v>580</v>
      </c>
      <c r="F424" t="s">
        <v>33</v>
      </c>
      <c r="G424">
        <v>0</v>
      </c>
    </row>
    <row r="425" spans="1:7" ht="16">
      <c r="A425" s="4">
        <v>31248389</v>
      </c>
      <c r="B425" s="1" t="s">
        <v>1443</v>
      </c>
      <c r="C425" s="4">
        <v>2019</v>
      </c>
      <c r="D425" s="5" t="s">
        <v>1444</v>
      </c>
      <c r="E425" s="3" t="s">
        <v>580</v>
      </c>
      <c r="F425" t="s">
        <v>42</v>
      </c>
      <c r="G425">
        <v>0</v>
      </c>
    </row>
    <row r="426" spans="1:7" ht="16">
      <c r="A426" s="4">
        <v>31228095</v>
      </c>
      <c r="B426" s="1" t="s">
        <v>2526</v>
      </c>
      <c r="C426" s="4">
        <v>2019</v>
      </c>
      <c r="D426" s="5" t="s">
        <v>2527</v>
      </c>
      <c r="E426" s="3" t="s">
        <v>580</v>
      </c>
      <c r="F426" t="s">
        <v>38</v>
      </c>
      <c r="G426">
        <v>0</v>
      </c>
    </row>
    <row r="427" spans="1:7" ht="16">
      <c r="A427" s="4">
        <v>31053550</v>
      </c>
      <c r="B427" s="1" t="s">
        <v>1065</v>
      </c>
      <c r="C427" s="4">
        <v>2019</v>
      </c>
      <c r="D427" s="5" t="s">
        <v>1066</v>
      </c>
      <c r="E427" s="3" t="s">
        <v>580</v>
      </c>
      <c r="F427" t="s">
        <v>29</v>
      </c>
      <c r="G427">
        <v>0</v>
      </c>
    </row>
    <row r="428" spans="1:7" ht="16">
      <c r="A428" s="4">
        <v>31005137</v>
      </c>
      <c r="B428" s="1" t="s">
        <v>2590</v>
      </c>
      <c r="C428" s="4">
        <v>2019</v>
      </c>
      <c r="D428" s="5" t="s">
        <v>2591</v>
      </c>
      <c r="E428" s="3" t="s">
        <v>580</v>
      </c>
      <c r="F428" t="s">
        <v>38</v>
      </c>
      <c r="G428">
        <v>0</v>
      </c>
    </row>
    <row r="429" spans="1:7" ht="16">
      <c r="A429" s="4">
        <v>30988380</v>
      </c>
      <c r="B429" s="1" t="s">
        <v>667</v>
      </c>
      <c r="C429" s="4">
        <v>2020</v>
      </c>
      <c r="D429" s="5" t="s">
        <v>668</v>
      </c>
      <c r="E429" s="3" t="s">
        <v>580</v>
      </c>
      <c r="F429" t="s">
        <v>29</v>
      </c>
      <c r="G429" t="s">
        <v>14</v>
      </c>
    </row>
    <row r="430" spans="1:7" ht="16">
      <c r="A430" s="4">
        <v>30844089</v>
      </c>
      <c r="B430" s="1" t="s">
        <v>1212</v>
      </c>
      <c r="C430" s="4">
        <v>2019</v>
      </c>
      <c r="D430" s="5" t="s">
        <v>1213</v>
      </c>
      <c r="E430" s="3" t="s">
        <v>580</v>
      </c>
      <c r="F430" t="s">
        <v>89</v>
      </c>
      <c r="G430">
        <v>0</v>
      </c>
    </row>
    <row r="431" spans="1:7" ht="16">
      <c r="A431" s="4">
        <v>30842329</v>
      </c>
      <c r="B431" s="1" t="s">
        <v>1756</v>
      </c>
      <c r="C431" s="4">
        <v>2019</v>
      </c>
      <c r="D431" s="5" t="s">
        <v>1757</v>
      </c>
      <c r="E431" s="3" t="s">
        <v>580</v>
      </c>
      <c r="F431" t="s">
        <v>33</v>
      </c>
      <c r="G431">
        <v>0</v>
      </c>
    </row>
    <row r="432" spans="1:7" ht="16">
      <c r="A432" s="4">
        <v>30831633</v>
      </c>
      <c r="B432" s="1" t="s">
        <v>2234</v>
      </c>
      <c r="C432" s="4">
        <v>2019</v>
      </c>
      <c r="D432" s="5" t="s">
        <v>2235</v>
      </c>
      <c r="E432" s="3" t="s">
        <v>580</v>
      </c>
      <c r="F432" t="s">
        <v>81</v>
      </c>
      <c r="G432">
        <v>0</v>
      </c>
    </row>
    <row r="433" spans="1:7" ht="16">
      <c r="A433" s="4">
        <v>30831627</v>
      </c>
      <c r="B433" s="1" t="s">
        <v>2236</v>
      </c>
      <c r="C433" s="4">
        <v>2019</v>
      </c>
      <c r="D433" s="5" t="s">
        <v>2237</v>
      </c>
      <c r="E433" s="3" t="s">
        <v>580</v>
      </c>
      <c r="F433" t="s">
        <v>81</v>
      </c>
      <c r="G433">
        <v>0</v>
      </c>
    </row>
    <row r="434" spans="1:7" ht="16">
      <c r="A434" s="4">
        <v>30590622</v>
      </c>
      <c r="B434" s="1" t="s">
        <v>2322</v>
      </c>
      <c r="C434" s="4">
        <v>2018</v>
      </c>
      <c r="D434" s="5" t="s">
        <v>2393</v>
      </c>
      <c r="E434" s="3" t="s">
        <v>580</v>
      </c>
      <c r="F434" t="s">
        <v>38</v>
      </c>
      <c r="G434">
        <v>0</v>
      </c>
    </row>
    <row r="435" spans="1:7" ht="16">
      <c r="A435" s="4">
        <v>30572622</v>
      </c>
      <c r="B435" s="1" t="s">
        <v>1423</v>
      </c>
      <c r="C435" s="4">
        <v>2018</v>
      </c>
      <c r="D435" s="5" t="s">
        <v>1424</v>
      </c>
      <c r="E435" s="3" t="s">
        <v>580</v>
      </c>
      <c r="F435" t="s">
        <v>42</v>
      </c>
      <c r="G435">
        <v>0</v>
      </c>
    </row>
    <row r="436" spans="1:7" ht="16">
      <c r="A436" s="4">
        <v>30562175</v>
      </c>
      <c r="B436" s="1" t="s">
        <v>2554</v>
      </c>
      <c r="C436" s="4">
        <v>2019</v>
      </c>
      <c r="D436" s="5" t="s">
        <v>2555</v>
      </c>
      <c r="E436" s="3" t="s">
        <v>580</v>
      </c>
      <c r="F436" t="s">
        <v>38</v>
      </c>
      <c r="G436">
        <v>0</v>
      </c>
    </row>
    <row r="437" spans="1:7" ht="16">
      <c r="A437" s="4">
        <v>30523283</v>
      </c>
      <c r="B437" s="1" t="s">
        <v>1770</v>
      </c>
      <c r="C437" s="4">
        <v>2018</v>
      </c>
      <c r="D437" s="5" t="s">
        <v>1771</v>
      </c>
      <c r="E437" s="3" t="s">
        <v>580</v>
      </c>
      <c r="F437" t="s">
        <v>33</v>
      </c>
      <c r="G437">
        <v>0</v>
      </c>
    </row>
    <row r="438" spans="1:7" ht="16">
      <c r="A438" s="4">
        <v>30429336</v>
      </c>
      <c r="B438" s="1" t="s">
        <v>2094</v>
      </c>
      <c r="C438" s="4">
        <v>2019</v>
      </c>
      <c r="D438" s="5" t="s">
        <v>2095</v>
      </c>
      <c r="E438" s="3" t="s">
        <v>580</v>
      </c>
      <c r="F438" t="s">
        <v>33</v>
      </c>
      <c r="G438">
        <v>0</v>
      </c>
    </row>
    <row r="439" spans="1:7" ht="16">
      <c r="A439" s="4">
        <v>30418598</v>
      </c>
      <c r="B439" s="1" t="s">
        <v>1228</v>
      </c>
      <c r="C439" s="4">
        <v>2019</v>
      </c>
      <c r="D439" s="5" t="s">
        <v>1229</v>
      </c>
      <c r="E439" s="3" t="s">
        <v>580</v>
      </c>
      <c r="F439" t="s">
        <v>42</v>
      </c>
      <c r="G439">
        <v>0</v>
      </c>
    </row>
    <row r="440" spans="1:7" ht="16">
      <c r="A440" s="4">
        <v>30398125</v>
      </c>
      <c r="B440" s="1" t="s">
        <v>727</v>
      </c>
      <c r="C440" s="4">
        <v>2019</v>
      </c>
      <c r="D440" s="5" t="s">
        <v>728</v>
      </c>
      <c r="E440" s="3" t="s">
        <v>580</v>
      </c>
      <c r="F440" t="s">
        <v>29</v>
      </c>
      <c r="G440">
        <v>0</v>
      </c>
    </row>
    <row r="441" spans="1:7" ht="16">
      <c r="A441" s="4">
        <v>30346638</v>
      </c>
      <c r="B441" s="1" t="s">
        <v>1230</v>
      </c>
      <c r="C441" s="4">
        <v>2019</v>
      </c>
      <c r="D441" s="5" t="s">
        <v>1231</v>
      </c>
      <c r="E441" s="3" t="s">
        <v>580</v>
      </c>
      <c r="F441" t="s">
        <v>42</v>
      </c>
      <c r="G441">
        <v>0</v>
      </c>
    </row>
    <row r="442" spans="1:7" ht="16">
      <c r="A442" s="4">
        <v>30294260</v>
      </c>
      <c r="B442" s="1" t="s">
        <v>1523</v>
      </c>
      <c r="C442" s="4">
        <v>2018</v>
      </c>
      <c r="D442" s="5" t="s">
        <v>1524</v>
      </c>
      <c r="E442" s="3" t="s">
        <v>580</v>
      </c>
      <c r="F442" t="s">
        <v>57</v>
      </c>
      <c r="G442">
        <v>0</v>
      </c>
    </row>
    <row r="443" spans="1:7" ht="16">
      <c r="A443" s="4">
        <v>30168657</v>
      </c>
      <c r="B443" s="1" t="s">
        <v>2188</v>
      </c>
      <c r="C443" s="4">
        <v>2018</v>
      </c>
      <c r="D443" s="5" t="s">
        <v>2189</v>
      </c>
      <c r="E443" s="3" t="s">
        <v>580</v>
      </c>
      <c r="F443" t="s">
        <v>33</v>
      </c>
      <c r="G443">
        <v>0</v>
      </c>
    </row>
    <row r="444" spans="1:7" ht="16">
      <c r="A444" s="4">
        <v>30122653</v>
      </c>
      <c r="B444" s="1" t="s">
        <v>2178</v>
      </c>
      <c r="C444" s="4">
        <v>2018</v>
      </c>
      <c r="D444" s="5" t="s">
        <v>2179</v>
      </c>
      <c r="E444" s="3" t="s">
        <v>580</v>
      </c>
      <c r="F444" t="s">
        <v>33</v>
      </c>
      <c r="G444">
        <v>0</v>
      </c>
    </row>
    <row r="445" spans="1:7" ht="16">
      <c r="A445" s="4">
        <v>30102463</v>
      </c>
      <c r="B445" s="1" t="s">
        <v>1489</v>
      </c>
      <c r="C445" s="4">
        <v>2019</v>
      </c>
      <c r="D445" s="5" t="s">
        <v>1490</v>
      </c>
      <c r="E445" s="3" t="s">
        <v>580</v>
      </c>
      <c r="F445" t="s">
        <v>57</v>
      </c>
      <c r="G445">
        <v>0</v>
      </c>
    </row>
    <row r="446" spans="1:7" ht="16">
      <c r="A446" s="4">
        <v>30062730</v>
      </c>
      <c r="B446" s="1" t="s">
        <v>1433</v>
      </c>
      <c r="C446" s="4">
        <v>2018</v>
      </c>
      <c r="D446" s="5" t="s">
        <v>1434</v>
      </c>
      <c r="E446" s="3" t="s">
        <v>580</v>
      </c>
      <c r="F446" t="s">
        <v>42</v>
      </c>
      <c r="G446">
        <v>0</v>
      </c>
    </row>
    <row r="447" spans="1:7" ht="16">
      <c r="A447" s="4">
        <v>30048732</v>
      </c>
      <c r="B447" s="1" t="s">
        <v>1487</v>
      </c>
      <c r="C447" s="4">
        <v>2018</v>
      </c>
      <c r="D447" s="5" t="s">
        <v>1488</v>
      </c>
      <c r="E447" s="3" t="s">
        <v>580</v>
      </c>
      <c r="F447" t="s">
        <v>57</v>
      </c>
      <c r="G447">
        <v>0</v>
      </c>
    </row>
    <row r="448" spans="1:7" ht="16">
      <c r="A448" s="4">
        <v>29988505</v>
      </c>
      <c r="B448" s="1" t="s">
        <v>2499</v>
      </c>
      <c r="C448" s="4">
        <v>2018</v>
      </c>
      <c r="D448" s="5" t="s">
        <v>2500</v>
      </c>
      <c r="E448" s="3" t="s">
        <v>580</v>
      </c>
      <c r="F448" t="s">
        <v>38</v>
      </c>
      <c r="G448">
        <v>0</v>
      </c>
    </row>
    <row r="449" spans="1:7" ht="16">
      <c r="A449" s="4">
        <v>29985560</v>
      </c>
      <c r="B449" s="1" t="s">
        <v>1495</v>
      </c>
      <c r="C449" s="4">
        <v>2019</v>
      </c>
      <c r="D449" s="5" t="s">
        <v>1496</v>
      </c>
      <c r="E449" s="3" t="s">
        <v>580</v>
      </c>
      <c r="F449" t="s">
        <v>57</v>
      </c>
      <c r="G449">
        <v>0</v>
      </c>
    </row>
    <row r="450" spans="1:7" ht="16">
      <c r="A450" s="4">
        <v>29985546</v>
      </c>
      <c r="B450" s="1" t="s">
        <v>1493</v>
      </c>
      <c r="C450" s="4">
        <v>2018</v>
      </c>
      <c r="D450" s="5" t="s">
        <v>1494</v>
      </c>
      <c r="E450" s="3" t="s">
        <v>580</v>
      </c>
      <c r="F450" t="s">
        <v>57</v>
      </c>
      <c r="G450">
        <v>0</v>
      </c>
    </row>
    <row r="451" spans="1:7" ht="16">
      <c r="A451" s="4">
        <v>29939480</v>
      </c>
      <c r="B451" s="1" t="s">
        <v>1485</v>
      </c>
      <c r="C451" s="4">
        <v>2019</v>
      </c>
      <c r="D451" s="5" t="s">
        <v>1486</v>
      </c>
      <c r="E451" s="3" t="s">
        <v>580</v>
      </c>
      <c r="F451" t="s">
        <v>57</v>
      </c>
      <c r="G451">
        <v>0</v>
      </c>
    </row>
    <row r="452" spans="1:7" ht="16">
      <c r="A452" s="4">
        <v>29936509</v>
      </c>
      <c r="B452" s="1" t="s">
        <v>2110</v>
      </c>
      <c r="C452" s="4">
        <v>2018</v>
      </c>
      <c r="D452" s="5" t="s">
        <v>2111</v>
      </c>
      <c r="E452" s="3" t="s">
        <v>580</v>
      </c>
      <c r="F452" t="s">
        <v>33</v>
      </c>
      <c r="G452">
        <v>0</v>
      </c>
    </row>
    <row r="453" spans="1:7" ht="16">
      <c r="A453" s="4">
        <v>29907960</v>
      </c>
      <c r="B453" s="1" t="s">
        <v>931</v>
      </c>
      <c r="C453" s="4">
        <v>2018</v>
      </c>
      <c r="D453" s="5" t="s">
        <v>932</v>
      </c>
      <c r="E453" s="3" t="s">
        <v>580</v>
      </c>
      <c r="F453" t="s">
        <v>29</v>
      </c>
      <c r="G453">
        <v>0</v>
      </c>
    </row>
    <row r="454" spans="1:7" ht="16">
      <c r="A454" s="4">
        <v>29905966</v>
      </c>
      <c r="B454" s="1" t="s">
        <v>1572</v>
      </c>
      <c r="C454" s="4">
        <v>2018</v>
      </c>
      <c r="D454" s="5" t="s">
        <v>1573</v>
      </c>
      <c r="E454" s="3" t="s">
        <v>580</v>
      </c>
      <c r="F454" t="s">
        <v>65</v>
      </c>
      <c r="G454">
        <v>0</v>
      </c>
    </row>
    <row r="455" spans="1:7" ht="16">
      <c r="A455" s="4">
        <v>29900673</v>
      </c>
      <c r="B455" s="1" t="s">
        <v>1483</v>
      </c>
      <c r="C455" s="4">
        <v>2018</v>
      </c>
      <c r="D455" s="5" t="s">
        <v>1484</v>
      </c>
      <c r="E455" s="3" t="s">
        <v>580</v>
      </c>
      <c r="F455" t="s">
        <v>42</v>
      </c>
      <c r="G455">
        <v>0</v>
      </c>
    </row>
    <row r="456" spans="1:7" ht="16">
      <c r="A456" s="4">
        <v>29898877</v>
      </c>
      <c r="B456" s="1" t="s">
        <v>847</v>
      </c>
      <c r="C456" s="4">
        <v>2018</v>
      </c>
      <c r="D456" s="5" t="s">
        <v>848</v>
      </c>
      <c r="E456" s="3" t="s">
        <v>580</v>
      </c>
      <c r="F456" t="s">
        <v>29</v>
      </c>
      <c r="G456">
        <v>0</v>
      </c>
    </row>
    <row r="457" spans="1:7" ht="16">
      <c r="A457" s="4">
        <v>29896671</v>
      </c>
      <c r="B457" s="1" t="s">
        <v>606</v>
      </c>
      <c r="C457" s="4">
        <v>2018</v>
      </c>
      <c r="D457" s="5" t="s">
        <v>2515</v>
      </c>
      <c r="E457" s="3" t="s">
        <v>580</v>
      </c>
      <c r="F457" t="s">
        <v>38</v>
      </c>
      <c r="G457">
        <v>0</v>
      </c>
    </row>
    <row r="458" spans="1:7" ht="16">
      <c r="A458" s="4">
        <v>29862613</v>
      </c>
      <c r="B458" s="1" t="s">
        <v>1220</v>
      </c>
      <c r="C458" s="4">
        <v>2018</v>
      </c>
      <c r="D458" s="5" t="s">
        <v>1221</v>
      </c>
      <c r="E458" s="3" t="s">
        <v>580</v>
      </c>
      <c r="F458" t="s">
        <v>42</v>
      </c>
      <c r="G458">
        <v>0</v>
      </c>
    </row>
    <row r="459" spans="1:7" ht="16">
      <c r="A459" s="4">
        <v>29795424</v>
      </c>
      <c r="B459" s="1" t="s">
        <v>2291</v>
      </c>
      <c r="C459" s="4">
        <v>2018</v>
      </c>
      <c r="D459" s="5" t="s">
        <v>2292</v>
      </c>
      <c r="E459" s="3" t="s">
        <v>580</v>
      </c>
      <c r="F459" t="s">
        <v>38</v>
      </c>
      <c r="G459">
        <v>0</v>
      </c>
    </row>
    <row r="460" spans="1:7" ht="16">
      <c r="A460" s="4">
        <v>29785130</v>
      </c>
      <c r="B460" s="1" t="s">
        <v>1145</v>
      </c>
      <c r="C460" s="4">
        <v>2018</v>
      </c>
      <c r="D460" s="5" t="s">
        <v>1146</v>
      </c>
      <c r="E460" s="3" t="s">
        <v>580</v>
      </c>
      <c r="F460" t="s">
        <v>29</v>
      </c>
      <c r="G460">
        <v>0</v>
      </c>
    </row>
    <row r="461" spans="1:7" ht="16">
      <c r="A461" s="4">
        <v>29684567</v>
      </c>
      <c r="B461" s="1" t="s">
        <v>1606</v>
      </c>
      <c r="C461" s="4">
        <v>2018</v>
      </c>
      <c r="D461" s="5" t="s">
        <v>1607</v>
      </c>
      <c r="E461" s="3" t="s">
        <v>580</v>
      </c>
      <c r="F461" s="3" t="s">
        <v>146</v>
      </c>
      <c r="G461">
        <v>0</v>
      </c>
    </row>
    <row r="462" spans="1:7" ht="16">
      <c r="A462" s="4">
        <v>29667291</v>
      </c>
      <c r="B462" s="1" t="s">
        <v>2137</v>
      </c>
      <c r="C462" s="4">
        <v>2018</v>
      </c>
      <c r="D462" s="5" t="s">
        <v>2138</v>
      </c>
      <c r="E462" s="3" t="s">
        <v>580</v>
      </c>
      <c r="F462" s="3" t="s">
        <v>33</v>
      </c>
      <c r="G462">
        <v>0</v>
      </c>
    </row>
    <row r="463" spans="1:7" ht="16">
      <c r="A463" s="4">
        <v>29618688</v>
      </c>
      <c r="B463" s="1" t="s">
        <v>941</v>
      </c>
      <c r="C463" s="4">
        <v>2018</v>
      </c>
      <c r="D463" s="5" t="s">
        <v>942</v>
      </c>
      <c r="E463" s="3" t="s">
        <v>580</v>
      </c>
      <c r="F463" s="3" t="s">
        <v>29</v>
      </c>
      <c r="G463">
        <v>0</v>
      </c>
    </row>
    <row r="464" spans="1:7" ht="16">
      <c r="A464" s="4">
        <v>29531650</v>
      </c>
      <c r="B464" s="1" t="s">
        <v>1151</v>
      </c>
      <c r="C464" s="4">
        <v>2018</v>
      </c>
      <c r="D464" s="5" t="s">
        <v>1152</v>
      </c>
      <c r="E464" s="3" t="s">
        <v>580</v>
      </c>
      <c r="F464" s="3" t="s">
        <v>29</v>
      </c>
      <c r="G464">
        <v>0</v>
      </c>
    </row>
    <row r="465" spans="1:7" ht="16">
      <c r="A465" s="4">
        <v>29491155</v>
      </c>
      <c r="B465" s="1" t="s">
        <v>1832</v>
      </c>
      <c r="C465" s="4">
        <v>2018</v>
      </c>
      <c r="D465" s="5" t="s">
        <v>1833</v>
      </c>
      <c r="E465" s="3" t="s">
        <v>580</v>
      </c>
      <c r="F465" s="3" t="s">
        <v>33</v>
      </c>
      <c r="G465">
        <v>0</v>
      </c>
    </row>
    <row r="466" spans="1:7" ht="16">
      <c r="A466" s="4">
        <v>29443669</v>
      </c>
      <c r="B466" s="1" t="s">
        <v>1053</v>
      </c>
      <c r="C466" s="4">
        <v>2018</v>
      </c>
      <c r="D466" s="5" t="s">
        <v>1054</v>
      </c>
      <c r="E466" s="3" t="s">
        <v>580</v>
      </c>
      <c r="F466" s="3" t="s">
        <v>29</v>
      </c>
      <c r="G466">
        <v>0</v>
      </c>
    </row>
    <row r="467" spans="1:7" ht="16">
      <c r="A467" s="4">
        <v>29434005</v>
      </c>
      <c r="B467" s="1" t="s">
        <v>1059</v>
      </c>
      <c r="C467" s="4">
        <v>2018</v>
      </c>
      <c r="D467" s="5" t="s">
        <v>1060</v>
      </c>
      <c r="E467" s="3" t="s">
        <v>580</v>
      </c>
      <c r="F467" s="3" t="s">
        <v>29</v>
      </c>
      <c r="G467">
        <v>0</v>
      </c>
    </row>
    <row r="468" spans="1:7" ht="16">
      <c r="A468" s="4">
        <v>29390152</v>
      </c>
      <c r="B468" s="1" t="s">
        <v>783</v>
      </c>
      <c r="C468" s="4">
        <v>2018</v>
      </c>
      <c r="D468" s="5" t="s">
        <v>784</v>
      </c>
      <c r="E468" s="3" t="s">
        <v>580</v>
      </c>
      <c r="F468" s="3" t="s">
        <v>29</v>
      </c>
      <c r="G468">
        <v>0</v>
      </c>
    </row>
    <row r="469" spans="1:7" ht="16">
      <c r="A469" s="4">
        <v>29358873</v>
      </c>
      <c r="B469" s="1" t="s">
        <v>1210</v>
      </c>
      <c r="C469" s="4">
        <v>2017</v>
      </c>
      <c r="D469" s="5" t="s">
        <v>1211</v>
      </c>
      <c r="E469" s="3" t="s">
        <v>580</v>
      </c>
      <c r="F469" s="3" t="s">
        <v>29</v>
      </c>
      <c r="G469">
        <v>0</v>
      </c>
    </row>
    <row r="470" spans="1:7" ht="16">
      <c r="A470" s="4">
        <v>29316259</v>
      </c>
      <c r="B470" s="1" t="s">
        <v>729</v>
      </c>
      <c r="C470" s="4">
        <v>2018</v>
      </c>
      <c r="D470" s="5" t="s">
        <v>730</v>
      </c>
      <c r="E470" s="3" t="s">
        <v>580</v>
      </c>
      <c r="F470" s="3" t="s">
        <v>29</v>
      </c>
      <c r="G470">
        <v>0</v>
      </c>
    </row>
    <row r="471" spans="1:7" ht="16">
      <c r="A471" s="4">
        <v>29239849</v>
      </c>
      <c r="B471" s="1" t="s">
        <v>2606</v>
      </c>
      <c r="C471" s="4">
        <v>2018</v>
      </c>
      <c r="D471" s="5" t="s">
        <v>2607</v>
      </c>
      <c r="E471" s="3" t="s">
        <v>580</v>
      </c>
      <c r="F471" s="3" t="s">
        <v>38</v>
      </c>
      <c r="G471">
        <v>0</v>
      </c>
    </row>
    <row r="472" spans="1:7" ht="16">
      <c r="A472" s="4">
        <v>29197110</v>
      </c>
      <c r="B472" s="1" t="s">
        <v>1101</v>
      </c>
      <c r="C472" s="4">
        <v>2018</v>
      </c>
      <c r="D472" s="5" t="s">
        <v>1102</v>
      </c>
      <c r="E472" s="3" t="s">
        <v>580</v>
      </c>
      <c r="F472" s="3" t="s">
        <v>29</v>
      </c>
      <c r="G472">
        <v>0</v>
      </c>
    </row>
    <row r="473" spans="1:7" ht="16">
      <c r="A473" s="4">
        <v>29178554</v>
      </c>
      <c r="B473" s="1" t="s">
        <v>1730</v>
      </c>
      <c r="C473" s="4">
        <v>2018</v>
      </c>
      <c r="D473" s="5" t="s">
        <v>1731</v>
      </c>
      <c r="E473" s="3" t="s">
        <v>580</v>
      </c>
      <c r="F473" s="3" t="s">
        <v>161</v>
      </c>
      <c r="G473">
        <v>0</v>
      </c>
    </row>
    <row r="474" spans="1:7" ht="16">
      <c r="A474" s="4">
        <v>29169653</v>
      </c>
      <c r="B474" s="1" t="s">
        <v>2406</v>
      </c>
      <c r="C474" s="4">
        <v>2017</v>
      </c>
      <c r="D474" s="5" t="s">
        <v>2407</v>
      </c>
      <c r="E474" s="3" t="s">
        <v>580</v>
      </c>
      <c r="F474" s="3" t="s">
        <v>38</v>
      </c>
      <c r="G474">
        <v>0</v>
      </c>
    </row>
    <row r="475" spans="1:7" ht="16">
      <c r="A475" s="4">
        <v>29156094</v>
      </c>
      <c r="B475" s="1" t="s">
        <v>925</v>
      </c>
      <c r="C475" s="4">
        <v>2018</v>
      </c>
      <c r="D475" s="5" t="s">
        <v>926</v>
      </c>
      <c r="E475" s="3" t="s">
        <v>580</v>
      </c>
      <c r="F475" s="3" t="s">
        <v>29</v>
      </c>
      <c r="G475">
        <v>0</v>
      </c>
    </row>
    <row r="476" spans="1:7" ht="16">
      <c r="A476" s="4">
        <v>29143761</v>
      </c>
      <c r="B476" s="1" t="s">
        <v>2015</v>
      </c>
      <c r="C476" s="4">
        <v>2017</v>
      </c>
      <c r="D476" s="5" t="s">
        <v>2016</v>
      </c>
      <c r="E476" s="3" t="s">
        <v>580</v>
      </c>
      <c r="F476" s="3" t="s">
        <v>33</v>
      </c>
      <c r="G476">
        <v>0</v>
      </c>
    </row>
    <row r="477" spans="1:7" ht="16">
      <c r="A477" s="4">
        <v>28958731</v>
      </c>
      <c r="B477" s="1" t="s">
        <v>1021</v>
      </c>
      <c r="C477" s="4">
        <v>2018</v>
      </c>
      <c r="D477" s="5" t="s">
        <v>1022</v>
      </c>
      <c r="E477" s="3" t="s">
        <v>580</v>
      </c>
      <c r="F477" s="3" t="s">
        <v>29</v>
      </c>
      <c r="G477">
        <v>0</v>
      </c>
    </row>
    <row r="478" spans="1:7" ht="16">
      <c r="A478" s="4">
        <v>28835501</v>
      </c>
      <c r="B478" s="1" t="s">
        <v>1578</v>
      </c>
      <c r="C478" s="4">
        <v>2017</v>
      </c>
      <c r="D478" s="5" t="s">
        <v>1579</v>
      </c>
      <c r="E478" s="3" t="s">
        <v>580</v>
      </c>
      <c r="F478" s="3" t="s">
        <v>65</v>
      </c>
      <c r="G478">
        <v>0</v>
      </c>
    </row>
    <row r="479" spans="1:7" ht="16">
      <c r="A479" s="4">
        <v>28834054</v>
      </c>
      <c r="B479" s="1" t="s">
        <v>1459</v>
      </c>
      <c r="C479" s="4">
        <v>2017</v>
      </c>
      <c r="D479" s="5" t="s">
        <v>1460</v>
      </c>
      <c r="E479" s="3" t="s">
        <v>580</v>
      </c>
      <c r="F479" s="3" t="s">
        <v>42</v>
      </c>
      <c r="G479">
        <v>0</v>
      </c>
    </row>
    <row r="480" spans="1:7" ht="16">
      <c r="A480" s="4">
        <v>28822107</v>
      </c>
      <c r="B480" s="1" t="s">
        <v>933</v>
      </c>
      <c r="C480" s="4">
        <v>2017</v>
      </c>
      <c r="D480" s="5" t="s">
        <v>934</v>
      </c>
      <c r="E480" s="3" t="s">
        <v>580</v>
      </c>
      <c r="F480" s="3" t="s">
        <v>29</v>
      </c>
      <c r="G480">
        <v>0</v>
      </c>
    </row>
    <row r="481" spans="1:7" ht="16">
      <c r="A481" s="4">
        <v>28820014</v>
      </c>
      <c r="B481" s="1" t="s">
        <v>1097</v>
      </c>
      <c r="C481" s="4">
        <v>2017</v>
      </c>
      <c r="D481" s="5" t="s">
        <v>1098</v>
      </c>
      <c r="E481" s="3" t="s">
        <v>580</v>
      </c>
      <c r="F481" s="3" t="s">
        <v>29</v>
      </c>
      <c r="G481">
        <v>0</v>
      </c>
    </row>
    <row r="482" spans="1:7" ht="16">
      <c r="A482" s="4">
        <v>28782564</v>
      </c>
      <c r="B482" s="1" t="s">
        <v>1491</v>
      </c>
      <c r="C482" s="4">
        <v>2018</v>
      </c>
      <c r="D482" s="5" t="s">
        <v>1497</v>
      </c>
      <c r="E482" s="3" t="s">
        <v>580</v>
      </c>
      <c r="F482" s="3" t="s">
        <v>57</v>
      </c>
      <c r="G482">
        <v>0</v>
      </c>
    </row>
    <row r="483" spans="1:7" ht="16">
      <c r="A483" s="4">
        <v>28755030</v>
      </c>
      <c r="B483" s="1" t="s">
        <v>2192</v>
      </c>
      <c r="C483" s="4">
        <v>2018</v>
      </c>
      <c r="D483" s="5" t="s">
        <v>2193</v>
      </c>
      <c r="E483" s="3" t="s">
        <v>580</v>
      </c>
      <c r="F483" s="3" t="s">
        <v>33</v>
      </c>
      <c r="G483">
        <v>0</v>
      </c>
    </row>
    <row r="484" spans="1:7" ht="16">
      <c r="A484" s="4">
        <v>28746781</v>
      </c>
      <c r="B484" s="1" t="s">
        <v>1085</v>
      </c>
      <c r="C484" s="4">
        <v>2017</v>
      </c>
      <c r="D484" s="5" t="s">
        <v>1086</v>
      </c>
      <c r="E484" s="3" t="s">
        <v>580</v>
      </c>
      <c r="F484" s="3" t="s">
        <v>29</v>
      </c>
      <c r="G484">
        <v>0</v>
      </c>
    </row>
    <row r="485" spans="1:7" ht="16">
      <c r="A485" s="4">
        <v>28650593</v>
      </c>
      <c r="B485" s="1" t="s">
        <v>2283</v>
      </c>
      <c r="C485" s="4">
        <v>2018</v>
      </c>
      <c r="D485" s="5" t="s">
        <v>2284</v>
      </c>
      <c r="E485" s="3" t="s">
        <v>580</v>
      </c>
      <c r="F485" s="3" t="s">
        <v>38</v>
      </c>
      <c r="G485" s="3">
        <v>0</v>
      </c>
    </row>
    <row r="486" spans="1:7" ht="16">
      <c r="A486" s="4">
        <v>28638124</v>
      </c>
      <c r="B486" s="1" t="s">
        <v>1852</v>
      </c>
      <c r="C486" s="4">
        <v>2017</v>
      </c>
      <c r="D486" s="5" t="s">
        <v>1853</v>
      </c>
      <c r="E486" s="3" t="s">
        <v>580</v>
      </c>
      <c r="F486" s="3" t="s">
        <v>33</v>
      </c>
      <c r="G486" s="3">
        <v>0</v>
      </c>
    </row>
    <row r="487" spans="1:7" ht="16">
      <c r="A487" s="4">
        <v>28617304</v>
      </c>
      <c r="B487" s="1" t="s">
        <v>1515</v>
      </c>
      <c r="C487" s="4">
        <v>2017</v>
      </c>
      <c r="D487" s="5" t="s">
        <v>1516</v>
      </c>
      <c r="E487" s="3" t="s">
        <v>580</v>
      </c>
      <c r="F487" s="3" t="s">
        <v>57</v>
      </c>
      <c r="G487" s="3">
        <v>0</v>
      </c>
    </row>
    <row r="488" spans="1:7" ht="16">
      <c r="A488" s="4">
        <v>28596425</v>
      </c>
      <c r="B488" s="1" t="s">
        <v>1594</v>
      </c>
      <c r="C488" s="4">
        <v>2017</v>
      </c>
      <c r="D488" s="5" t="s">
        <v>1595</v>
      </c>
      <c r="E488" s="3" t="s">
        <v>580</v>
      </c>
      <c r="F488" s="3" t="s">
        <v>65</v>
      </c>
      <c r="G488" s="3">
        <v>0</v>
      </c>
    </row>
    <row r="489" spans="1:7" ht="16">
      <c r="A489" s="4">
        <v>28472480</v>
      </c>
      <c r="B489" s="1" t="s">
        <v>2184</v>
      </c>
      <c r="C489" s="4">
        <v>2017</v>
      </c>
      <c r="D489" s="5" t="s">
        <v>2185</v>
      </c>
      <c r="E489" s="3" t="s">
        <v>580</v>
      </c>
      <c r="F489" s="3" t="s">
        <v>33</v>
      </c>
      <c r="G489" s="3">
        <v>0</v>
      </c>
    </row>
    <row r="490" spans="1:7" ht="16">
      <c r="A490" s="4">
        <v>28452096</v>
      </c>
      <c r="B490" s="1" t="s">
        <v>2542</v>
      </c>
      <c r="C490" s="4">
        <v>2017</v>
      </c>
      <c r="D490" s="5" t="s">
        <v>2543</v>
      </c>
      <c r="E490" s="3" t="s">
        <v>580</v>
      </c>
      <c r="F490" s="3" t="s">
        <v>38</v>
      </c>
      <c r="G490" s="3">
        <v>0</v>
      </c>
    </row>
    <row r="491" spans="1:7" ht="16">
      <c r="A491" s="4">
        <v>28376035</v>
      </c>
      <c r="B491" s="1" t="s">
        <v>1513</v>
      </c>
      <c r="C491" s="4">
        <v>2017</v>
      </c>
      <c r="D491" s="5" t="s">
        <v>1514</v>
      </c>
      <c r="E491" s="3" t="s">
        <v>580</v>
      </c>
      <c r="F491" s="3" t="s">
        <v>57</v>
      </c>
      <c r="G491">
        <v>0</v>
      </c>
    </row>
    <row r="492" spans="1:7" ht="16">
      <c r="A492" s="4">
        <v>28282487</v>
      </c>
      <c r="B492" s="1" t="s">
        <v>2222</v>
      </c>
      <c r="C492" s="4">
        <v>2017</v>
      </c>
      <c r="D492" s="5" t="s">
        <v>2223</v>
      </c>
      <c r="E492" s="3" t="s">
        <v>580</v>
      </c>
      <c r="F492" s="3" t="s">
        <v>33</v>
      </c>
      <c r="G492" s="3">
        <v>0</v>
      </c>
    </row>
    <row r="493" spans="1:7" ht="16">
      <c r="A493" s="4">
        <v>28244148</v>
      </c>
      <c r="B493" s="1" t="s">
        <v>739</v>
      </c>
      <c r="C493" s="4">
        <v>2017</v>
      </c>
      <c r="D493" s="5" t="s">
        <v>740</v>
      </c>
      <c r="E493" s="3" t="s">
        <v>580</v>
      </c>
      <c r="F493" s="3" t="s">
        <v>29</v>
      </c>
      <c r="G493" s="3">
        <v>0</v>
      </c>
    </row>
    <row r="494" spans="1:7" ht="16">
      <c r="A494" s="4">
        <v>28224486</v>
      </c>
      <c r="B494" s="1" t="s">
        <v>1073</v>
      </c>
      <c r="C494" s="4">
        <v>2017</v>
      </c>
      <c r="D494" s="5" t="s">
        <v>1074</v>
      </c>
      <c r="E494" s="3" t="s">
        <v>580</v>
      </c>
      <c r="F494" s="3" t="s">
        <v>29</v>
      </c>
      <c r="G494" s="3">
        <v>0</v>
      </c>
    </row>
    <row r="495" spans="1:7" ht="16">
      <c r="A495" s="4">
        <v>28213954</v>
      </c>
      <c r="B495" s="1" t="s">
        <v>1387</v>
      </c>
      <c r="C495" s="4">
        <v>2017</v>
      </c>
      <c r="D495" s="5" t="s">
        <v>1388</v>
      </c>
      <c r="E495" s="3" t="s">
        <v>580</v>
      </c>
      <c r="F495" s="3" t="s">
        <v>42</v>
      </c>
      <c r="G495" s="3">
        <v>0</v>
      </c>
    </row>
    <row r="496" spans="1:7" ht="16">
      <c r="A496" s="4">
        <v>28162933</v>
      </c>
      <c r="B496" s="1" t="s">
        <v>1704</v>
      </c>
      <c r="C496" s="4">
        <v>2017</v>
      </c>
      <c r="D496" s="5" t="s">
        <v>1705</v>
      </c>
      <c r="E496" s="3" t="s">
        <v>580</v>
      </c>
      <c r="F496" s="3" t="s">
        <v>49</v>
      </c>
      <c r="G496" s="3">
        <v>0</v>
      </c>
    </row>
    <row r="497" spans="1:7" ht="16">
      <c r="A497" s="4">
        <v>28096984</v>
      </c>
      <c r="B497" s="1" t="s">
        <v>781</v>
      </c>
      <c r="C497" s="4">
        <v>2016</v>
      </c>
      <c r="D497" s="5" t="s">
        <v>1185</v>
      </c>
      <c r="E497" s="3" t="s">
        <v>580</v>
      </c>
      <c r="F497" s="3" t="s">
        <v>29</v>
      </c>
      <c r="G497" s="3">
        <v>0</v>
      </c>
    </row>
    <row r="498" spans="1:7" ht="16">
      <c r="A498" s="4">
        <v>28092892</v>
      </c>
      <c r="B498" s="1" t="s">
        <v>959</v>
      </c>
      <c r="C498" s="4">
        <v>2016</v>
      </c>
      <c r="D498" s="5" t="s">
        <v>960</v>
      </c>
      <c r="E498" s="3" t="s">
        <v>580</v>
      </c>
      <c r="F498" s="3" t="s">
        <v>29</v>
      </c>
      <c r="G498" s="3">
        <v>0</v>
      </c>
    </row>
    <row r="499" spans="1:7" ht="16">
      <c r="A499" s="4">
        <v>27862208</v>
      </c>
      <c r="B499" s="1" t="s">
        <v>2072</v>
      </c>
      <c r="C499" s="4">
        <v>2016</v>
      </c>
      <c r="D499" s="5" t="s">
        <v>2073</v>
      </c>
      <c r="E499" s="3" t="s">
        <v>580</v>
      </c>
      <c r="F499" s="3" t="s">
        <v>33</v>
      </c>
      <c r="G499" s="3">
        <v>0</v>
      </c>
    </row>
    <row r="500" spans="1:7" ht="16">
      <c r="A500" s="4">
        <v>27859994</v>
      </c>
      <c r="B500" s="1" t="s">
        <v>937</v>
      </c>
      <c r="C500" s="4">
        <v>2017</v>
      </c>
      <c r="D500" s="5" t="s">
        <v>938</v>
      </c>
      <c r="E500" s="3" t="s">
        <v>580</v>
      </c>
      <c r="F500" s="3" t="s">
        <v>29</v>
      </c>
      <c r="G500" s="3">
        <v>0</v>
      </c>
    </row>
    <row r="501" spans="1:7" ht="16">
      <c r="A501" s="4">
        <v>27808462</v>
      </c>
      <c r="B501" s="1" t="s">
        <v>2461</v>
      </c>
      <c r="C501" s="4">
        <v>2017</v>
      </c>
      <c r="D501" s="5" t="s">
        <v>2462</v>
      </c>
      <c r="E501" s="3" t="s">
        <v>580</v>
      </c>
      <c r="F501" s="3" t="s">
        <v>38</v>
      </c>
      <c r="G501" s="3">
        <v>0</v>
      </c>
    </row>
    <row r="502" spans="1:7" ht="16">
      <c r="A502" s="4">
        <v>27773488</v>
      </c>
      <c r="B502" s="1" t="s">
        <v>2276</v>
      </c>
      <c r="C502" s="4">
        <v>2017</v>
      </c>
      <c r="D502" s="5" t="s">
        <v>2290</v>
      </c>
      <c r="E502" s="3" t="s">
        <v>580</v>
      </c>
      <c r="F502" s="3" t="s">
        <v>38</v>
      </c>
      <c r="G502" s="3">
        <v>0</v>
      </c>
    </row>
    <row r="503" spans="1:7" ht="16">
      <c r="A503" s="4">
        <v>27772620</v>
      </c>
      <c r="B503" s="1" t="s">
        <v>2486</v>
      </c>
      <c r="C503" s="4">
        <v>2016</v>
      </c>
      <c r="D503" s="5" t="s">
        <v>2487</v>
      </c>
      <c r="E503" s="3" t="s">
        <v>580</v>
      </c>
      <c r="F503" s="3" t="s">
        <v>38</v>
      </c>
      <c r="G503" s="3">
        <v>0</v>
      </c>
    </row>
    <row r="504" spans="1:7" ht="16">
      <c r="A504" s="4">
        <v>27646062</v>
      </c>
      <c r="B504" s="1" t="s">
        <v>953</v>
      </c>
      <c r="C504" s="4">
        <v>2016</v>
      </c>
      <c r="D504" s="5" t="s">
        <v>954</v>
      </c>
      <c r="E504" s="3" t="s">
        <v>580</v>
      </c>
      <c r="F504" s="3" t="s">
        <v>29</v>
      </c>
      <c r="G504" s="3">
        <v>0</v>
      </c>
    </row>
    <row r="505" spans="1:7" ht="16">
      <c r="A505" s="4">
        <v>30906348</v>
      </c>
      <c r="B505" s="1" t="s">
        <v>1192</v>
      </c>
      <c r="C505" s="4">
        <v>2016</v>
      </c>
      <c r="D505" s="5" t="s">
        <v>1193</v>
      </c>
      <c r="E505" s="3" t="s">
        <v>580</v>
      </c>
      <c r="F505" s="3" t="s">
        <v>29</v>
      </c>
      <c r="G505" s="3">
        <v>0</v>
      </c>
    </row>
    <row r="506" spans="1:7" ht="16">
      <c r="A506" s="4">
        <v>27552439</v>
      </c>
      <c r="B506" s="1" t="s">
        <v>2001</v>
      </c>
      <c r="C506" s="4">
        <v>2016</v>
      </c>
      <c r="D506" s="5" t="s">
        <v>2002</v>
      </c>
      <c r="E506" s="3" t="s">
        <v>580</v>
      </c>
      <c r="F506" s="3" t="s">
        <v>33</v>
      </c>
      <c r="G506" s="3">
        <v>0</v>
      </c>
    </row>
    <row r="507" spans="1:7" ht="16">
      <c r="A507" s="4">
        <v>27538995</v>
      </c>
      <c r="B507" s="1" t="s">
        <v>2305</v>
      </c>
      <c r="C507" s="4">
        <v>2017</v>
      </c>
      <c r="D507" s="5" t="s">
        <v>2306</v>
      </c>
      <c r="E507" s="3" t="s">
        <v>580</v>
      </c>
      <c r="F507" s="3" t="s">
        <v>38</v>
      </c>
      <c r="G507" s="3">
        <v>0</v>
      </c>
    </row>
    <row r="508" spans="1:7" ht="16">
      <c r="A508" s="4">
        <v>27535049</v>
      </c>
      <c r="B508" s="1" t="s">
        <v>1975</v>
      </c>
      <c r="C508" s="4">
        <v>2016</v>
      </c>
      <c r="D508" s="5" t="s">
        <v>1976</v>
      </c>
      <c r="E508" s="3" t="s">
        <v>580</v>
      </c>
      <c r="F508" s="3" t="s">
        <v>33</v>
      </c>
      <c r="G508" s="3">
        <v>0</v>
      </c>
    </row>
    <row r="509" spans="1:7" ht="16">
      <c r="A509" s="4">
        <v>27486740</v>
      </c>
      <c r="B509" s="1" t="s">
        <v>2563</v>
      </c>
      <c r="C509" s="4">
        <v>2016</v>
      </c>
      <c r="D509" s="5" t="s">
        <v>2564</v>
      </c>
      <c r="E509" s="3" t="s">
        <v>580</v>
      </c>
      <c r="F509" s="3" t="s">
        <v>38</v>
      </c>
      <c r="G509" s="3">
        <v>0</v>
      </c>
    </row>
    <row r="510" spans="1:7" ht="16">
      <c r="A510" s="4">
        <v>27459097</v>
      </c>
      <c r="B510" s="1" t="s">
        <v>1033</v>
      </c>
      <c r="C510" s="4">
        <v>2016</v>
      </c>
      <c r="D510" s="5" t="s">
        <v>1034</v>
      </c>
      <c r="E510" s="3" t="s">
        <v>580</v>
      </c>
      <c r="F510" s="3" t="s">
        <v>29</v>
      </c>
      <c r="G510" s="3">
        <v>0</v>
      </c>
    </row>
    <row r="511" spans="1:7" ht="16">
      <c r="A511" s="4">
        <v>27404369</v>
      </c>
      <c r="B511" s="1" t="s">
        <v>1670</v>
      </c>
      <c r="C511" s="4">
        <v>2016</v>
      </c>
      <c r="D511" s="5" t="s">
        <v>1671</v>
      </c>
      <c r="E511" s="3" t="s">
        <v>580</v>
      </c>
      <c r="F511" s="3" t="s">
        <v>49</v>
      </c>
      <c r="G511" s="3">
        <v>0</v>
      </c>
    </row>
    <row r="512" spans="1:7" ht="16">
      <c r="A512" s="4">
        <v>27402152</v>
      </c>
      <c r="B512" s="1" t="s">
        <v>2196</v>
      </c>
      <c r="C512" s="4">
        <v>2016</v>
      </c>
      <c r="D512" s="5" t="s">
        <v>2197</v>
      </c>
      <c r="E512" s="3" t="s">
        <v>580</v>
      </c>
      <c r="F512" s="3" t="s">
        <v>33</v>
      </c>
      <c r="G512" s="3">
        <v>0</v>
      </c>
    </row>
    <row r="513" spans="1:7" ht="16">
      <c r="A513" s="4">
        <v>27344170</v>
      </c>
      <c r="B513" s="1" t="s">
        <v>1822</v>
      </c>
      <c r="C513" s="4">
        <v>2016</v>
      </c>
      <c r="D513" s="5" t="s">
        <v>1823</v>
      </c>
      <c r="E513" s="3" t="s">
        <v>580</v>
      </c>
      <c r="F513" s="3" t="s">
        <v>33</v>
      </c>
      <c r="G513" s="3">
        <v>0</v>
      </c>
    </row>
    <row r="514" spans="1:7" ht="16">
      <c r="A514" s="4">
        <v>27337451</v>
      </c>
      <c r="B514" s="1" t="s">
        <v>2276</v>
      </c>
      <c r="C514" s="4">
        <v>2016</v>
      </c>
      <c r="D514" s="5" t="s">
        <v>2277</v>
      </c>
      <c r="E514" s="3" t="s">
        <v>580</v>
      </c>
      <c r="F514" s="3" t="s">
        <v>38</v>
      </c>
      <c r="G514" s="3">
        <v>0</v>
      </c>
    </row>
    <row r="515" spans="1:7" ht="16">
      <c r="A515" s="4">
        <v>27307972</v>
      </c>
      <c r="B515" s="1" t="s">
        <v>2180</v>
      </c>
      <c r="C515" s="4">
        <v>2016</v>
      </c>
      <c r="D515" s="5" t="s">
        <v>2181</v>
      </c>
      <c r="E515" s="3" t="s">
        <v>580</v>
      </c>
      <c r="F515" s="3" t="s">
        <v>33</v>
      </c>
      <c r="G515" s="3">
        <v>0</v>
      </c>
    </row>
    <row r="516" spans="1:7" ht="16">
      <c r="A516" s="4">
        <v>27263776</v>
      </c>
      <c r="B516" s="1" t="s">
        <v>630</v>
      </c>
      <c r="C516" s="4">
        <v>2016</v>
      </c>
      <c r="D516" s="5" t="s">
        <v>631</v>
      </c>
      <c r="E516" s="3" t="s">
        <v>580</v>
      </c>
      <c r="F516" s="3" t="s">
        <v>45</v>
      </c>
      <c r="G516" s="3">
        <v>0</v>
      </c>
    </row>
    <row r="517" spans="1:7" ht="16">
      <c r="A517" s="4">
        <v>27145489</v>
      </c>
      <c r="B517" s="1" t="s">
        <v>1491</v>
      </c>
      <c r="C517" s="4">
        <v>2016</v>
      </c>
      <c r="D517" s="5" t="s">
        <v>1492</v>
      </c>
      <c r="E517" s="3" t="s">
        <v>580</v>
      </c>
      <c r="F517" s="3" t="s">
        <v>57</v>
      </c>
      <c r="G517" s="3">
        <v>0</v>
      </c>
    </row>
    <row r="518" spans="1:7" ht="16">
      <c r="A518" s="4">
        <v>27076241</v>
      </c>
      <c r="B518" s="1" t="s">
        <v>581</v>
      </c>
      <c r="C518" s="4">
        <v>2016</v>
      </c>
      <c r="D518" s="5" t="s">
        <v>582</v>
      </c>
      <c r="E518" s="3" t="s">
        <v>580</v>
      </c>
      <c r="F518" s="3" t="s">
        <v>45</v>
      </c>
      <c r="G518" s="3">
        <v>0</v>
      </c>
    </row>
    <row r="519" spans="1:7" ht="16">
      <c r="A519" s="4">
        <v>27060193</v>
      </c>
      <c r="B519" s="1" t="s">
        <v>791</v>
      </c>
      <c r="C519" s="4">
        <v>2016</v>
      </c>
      <c r="D519" s="5" t="s">
        <v>792</v>
      </c>
      <c r="E519" s="3" t="s">
        <v>580</v>
      </c>
      <c r="F519" s="3" t="s">
        <v>29</v>
      </c>
      <c r="G519" s="3">
        <v>0</v>
      </c>
    </row>
    <row r="520" spans="1:7" ht="16">
      <c r="A520" s="4">
        <v>26950725</v>
      </c>
      <c r="B520" s="1" t="s">
        <v>1455</v>
      </c>
      <c r="C520" s="4">
        <v>2016</v>
      </c>
      <c r="D520" s="5" t="s">
        <v>1456</v>
      </c>
      <c r="E520" s="3" t="s">
        <v>580</v>
      </c>
      <c r="F520" s="3" t="s">
        <v>42</v>
      </c>
      <c r="G520" s="3">
        <v>0</v>
      </c>
    </row>
    <row r="521" spans="1:7" ht="16">
      <c r="A521" s="4">
        <v>26921738</v>
      </c>
      <c r="B521" s="1" t="s">
        <v>1580</v>
      </c>
      <c r="C521" s="4">
        <v>2016</v>
      </c>
      <c r="D521" s="5" t="s">
        <v>1581</v>
      </c>
      <c r="E521" s="3" t="s">
        <v>580</v>
      </c>
      <c r="F521" s="3" t="s">
        <v>65</v>
      </c>
      <c r="G521" s="3">
        <v>0</v>
      </c>
    </row>
    <row r="522" spans="1:7" ht="16">
      <c r="A522" s="4">
        <v>26918962</v>
      </c>
      <c r="B522" s="1" t="s">
        <v>1023</v>
      </c>
      <c r="C522" s="4">
        <v>2016</v>
      </c>
      <c r="D522" s="5" t="s">
        <v>1024</v>
      </c>
      <c r="E522" s="3" t="s">
        <v>580</v>
      </c>
      <c r="F522" s="3" t="s">
        <v>29</v>
      </c>
      <c r="G522" s="3">
        <v>0</v>
      </c>
    </row>
    <row r="523" spans="1:7" ht="16">
      <c r="A523" s="4">
        <v>26888901</v>
      </c>
      <c r="B523" s="1" t="s">
        <v>1570</v>
      </c>
      <c r="C523" s="4">
        <v>2016</v>
      </c>
      <c r="D523" s="5" t="s">
        <v>1571</v>
      </c>
      <c r="E523" s="3" t="s">
        <v>580</v>
      </c>
      <c r="F523" s="3" t="s">
        <v>65</v>
      </c>
      <c r="G523" s="3">
        <v>0</v>
      </c>
    </row>
    <row r="524" spans="1:7" ht="16">
      <c r="A524" s="4">
        <v>26815906</v>
      </c>
      <c r="B524" s="1" t="s">
        <v>1780</v>
      </c>
      <c r="C524" s="4">
        <v>2016</v>
      </c>
      <c r="D524" s="5" t="s">
        <v>1781</v>
      </c>
      <c r="E524" s="3" t="s">
        <v>580</v>
      </c>
      <c r="F524" s="3" t="s">
        <v>33</v>
      </c>
      <c r="G524" s="3">
        <v>0</v>
      </c>
    </row>
    <row r="525" spans="1:7" ht="16">
      <c r="A525" s="4">
        <v>26802216</v>
      </c>
      <c r="B525" s="1" t="s">
        <v>2279</v>
      </c>
      <c r="C525" s="4">
        <v>2016</v>
      </c>
      <c r="D525" s="5" t="s">
        <v>2287</v>
      </c>
      <c r="E525" s="3" t="s">
        <v>580</v>
      </c>
      <c r="F525" s="3" t="s">
        <v>38</v>
      </c>
      <c r="G525">
        <v>0</v>
      </c>
    </row>
    <row r="526" spans="1:7" ht="16">
      <c r="A526" s="4">
        <v>30351743</v>
      </c>
      <c r="B526" s="1" t="s">
        <v>626</v>
      </c>
      <c r="C526" s="4">
        <v>2016</v>
      </c>
      <c r="D526" s="5" t="s">
        <v>627</v>
      </c>
      <c r="E526" s="3" t="s">
        <v>580</v>
      </c>
      <c r="F526" s="3" t="s">
        <v>45</v>
      </c>
      <c r="G526">
        <v>0</v>
      </c>
    </row>
    <row r="527" spans="1:7" ht="16">
      <c r="A527" s="4">
        <v>26681781</v>
      </c>
      <c r="B527" s="1" t="s">
        <v>913</v>
      </c>
      <c r="C527" s="4">
        <v>2016</v>
      </c>
      <c r="D527" s="5" t="s">
        <v>914</v>
      </c>
      <c r="E527" s="3" t="s">
        <v>580</v>
      </c>
      <c r="F527" s="3" t="s">
        <v>29</v>
      </c>
      <c r="G527">
        <v>0</v>
      </c>
    </row>
    <row r="528" spans="1:7" ht="16">
      <c r="A528" s="4">
        <v>26596368</v>
      </c>
      <c r="B528" s="1" t="s">
        <v>883</v>
      </c>
      <c r="C528" s="4">
        <v>2016</v>
      </c>
      <c r="D528" s="5" t="s">
        <v>884</v>
      </c>
      <c r="E528" s="3" t="s">
        <v>580</v>
      </c>
      <c r="F528" s="3" t="s">
        <v>29</v>
      </c>
      <c r="G528">
        <v>0</v>
      </c>
    </row>
    <row r="529" spans="1:7" ht="16">
      <c r="A529" s="4">
        <v>26567842</v>
      </c>
      <c r="B529" s="1" t="s">
        <v>2045</v>
      </c>
      <c r="C529" s="4">
        <v>2016</v>
      </c>
      <c r="D529" s="5" t="s">
        <v>2046</v>
      </c>
      <c r="E529" s="3" t="s">
        <v>580</v>
      </c>
      <c r="F529" s="3" t="s">
        <v>33</v>
      </c>
      <c r="G529">
        <v>0</v>
      </c>
    </row>
    <row r="530" spans="1:7" ht="16">
      <c r="A530" s="4">
        <v>26525035</v>
      </c>
      <c r="B530" s="1" t="s">
        <v>851</v>
      </c>
      <c r="C530" s="4">
        <v>2016</v>
      </c>
      <c r="D530" s="5" t="s">
        <v>852</v>
      </c>
      <c r="E530" s="3" t="s">
        <v>580</v>
      </c>
      <c r="F530" s="3" t="s">
        <v>29</v>
      </c>
      <c r="G530">
        <v>0</v>
      </c>
    </row>
    <row r="531" spans="1:7" ht="16">
      <c r="A531" s="4">
        <v>26499513</v>
      </c>
      <c r="B531" s="1" t="s">
        <v>2047</v>
      </c>
      <c r="C531" s="4">
        <v>2016</v>
      </c>
      <c r="D531" s="5" t="s">
        <v>2048</v>
      </c>
      <c r="E531" s="3" t="s">
        <v>580</v>
      </c>
      <c r="F531" s="3" t="s">
        <v>33</v>
      </c>
      <c r="G531">
        <v>0</v>
      </c>
    </row>
    <row r="532" spans="1:7" ht="16">
      <c r="A532" s="4">
        <v>26489402</v>
      </c>
      <c r="B532" s="1" t="s">
        <v>1672</v>
      </c>
      <c r="C532" s="4">
        <v>2015</v>
      </c>
      <c r="D532" s="5" t="s">
        <v>1673</v>
      </c>
      <c r="E532" s="3" t="s">
        <v>580</v>
      </c>
      <c r="F532" s="3" t="s">
        <v>49</v>
      </c>
      <c r="G532">
        <v>0</v>
      </c>
    </row>
    <row r="533" spans="1:7" ht="16">
      <c r="A533" s="4">
        <v>26476073</v>
      </c>
      <c r="B533" s="1" t="s">
        <v>753</v>
      </c>
      <c r="C533" s="4">
        <v>2017</v>
      </c>
      <c r="D533" s="5" t="s">
        <v>754</v>
      </c>
      <c r="E533" s="3" t="s">
        <v>580</v>
      </c>
      <c r="F533" s="3" t="s">
        <v>29</v>
      </c>
      <c r="G533">
        <v>0</v>
      </c>
    </row>
    <row r="534" spans="1:7" ht="16">
      <c r="A534" s="4">
        <v>26474793</v>
      </c>
      <c r="B534" s="1" t="s">
        <v>915</v>
      </c>
      <c r="C534" s="4">
        <v>2015</v>
      </c>
      <c r="D534" s="5" t="s">
        <v>916</v>
      </c>
      <c r="E534" s="3" t="s">
        <v>580</v>
      </c>
      <c r="F534" s="3" t="s">
        <v>29</v>
      </c>
      <c r="G534">
        <v>0</v>
      </c>
    </row>
    <row r="535" spans="1:7" ht="16">
      <c r="A535" s="4">
        <v>26465970</v>
      </c>
      <c r="B535" s="1" t="s">
        <v>919</v>
      </c>
      <c r="C535" s="4">
        <v>2015</v>
      </c>
      <c r="D535" s="5" t="s">
        <v>920</v>
      </c>
      <c r="E535" s="3" t="s">
        <v>580</v>
      </c>
      <c r="F535" s="3" t="s">
        <v>29</v>
      </c>
      <c r="G535">
        <v>0</v>
      </c>
    </row>
    <row r="536" spans="1:7" ht="16">
      <c r="A536" s="4">
        <v>26460048</v>
      </c>
      <c r="B536" s="1" t="s">
        <v>1481</v>
      </c>
      <c r="C536" s="4">
        <v>2015</v>
      </c>
      <c r="D536" s="5" t="s">
        <v>1482</v>
      </c>
      <c r="E536" s="3" t="s">
        <v>580</v>
      </c>
      <c r="F536" s="3" t="s">
        <v>42</v>
      </c>
      <c r="G536">
        <v>0</v>
      </c>
    </row>
    <row r="537" spans="1:7" ht="16">
      <c r="A537" s="4">
        <v>26458456</v>
      </c>
      <c r="B537" s="1" t="s">
        <v>581</v>
      </c>
      <c r="C537" s="4">
        <v>2015</v>
      </c>
      <c r="D537" s="5" t="s">
        <v>583</v>
      </c>
      <c r="E537" s="3" t="s">
        <v>580</v>
      </c>
      <c r="F537" s="3" t="s">
        <v>45</v>
      </c>
      <c r="G537">
        <v>0</v>
      </c>
    </row>
    <row r="538" spans="1:7" ht="16">
      <c r="A538" s="4">
        <v>26444787</v>
      </c>
      <c r="B538" s="1" t="s">
        <v>2135</v>
      </c>
      <c r="C538" s="4">
        <v>2016</v>
      </c>
      <c r="D538" s="5" t="s">
        <v>2136</v>
      </c>
      <c r="E538" s="3" t="s">
        <v>580</v>
      </c>
      <c r="F538" s="3" t="s">
        <v>33</v>
      </c>
      <c r="G538">
        <v>0</v>
      </c>
    </row>
    <row r="539" spans="1:7" ht="16">
      <c r="A539" s="4">
        <v>26383177</v>
      </c>
      <c r="B539" s="1" t="s">
        <v>2200</v>
      </c>
      <c r="C539" s="4">
        <v>2016</v>
      </c>
      <c r="D539" s="5" t="s">
        <v>2201</v>
      </c>
      <c r="E539" s="3" t="s">
        <v>580</v>
      </c>
      <c r="F539" s="3" t="s">
        <v>33</v>
      </c>
      <c r="G539">
        <v>0</v>
      </c>
    </row>
    <row r="540" spans="1:7" ht="16">
      <c r="A540" s="4">
        <v>26209402</v>
      </c>
      <c r="B540" s="1" t="s">
        <v>781</v>
      </c>
      <c r="C540" s="4">
        <v>2015</v>
      </c>
      <c r="D540" s="5" t="s">
        <v>782</v>
      </c>
      <c r="E540" s="3" t="s">
        <v>580</v>
      </c>
      <c r="F540" s="3" t="s">
        <v>29</v>
      </c>
      <c r="G540">
        <v>0</v>
      </c>
    </row>
    <row r="541" spans="1:7" ht="16">
      <c r="A541" s="4">
        <v>26176562</v>
      </c>
      <c r="B541" s="1" t="s">
        <v>737</v>
      </c>
      <c r="C541" s="4">
        <v>2015</v>
      </c>
      <c r="D541" s="5" t="s">
        <v>738</v>
      </c>
      <c r="E541" s="3" t="s">
        <v>580</v>
      </c>
      <c r="F541" s="3" t="s">
        <v>29</v>
      </c>
      <c r="G541">
        <v>0</v>
      </c>
    </row>
    <row r="542" spans="1:7" ht="16">
      <c r="A542" s="4">
        <v>26160819</v>
      </c>
      <c r="B542" s="1" t="s">
        <v>581</v>
      </c>
      <c r="C542" s="4">
        <v>2015</v>
      </c>
      <c r="D542" s="5" t="s">
        <v>2314</v>
      </c>
      <c r="E542" s="3" t="s">
        <v>580</v>
      </c>
      <c r="F542" s="3" t="s">
        <v>38</v>
      </c>
      <c r="G542">
        <v>0</v>
      </c>
    </row>
    <row r="543" spans="1:7" ht="16">
      <c r="A543" s="4">
        <v>26146808</v>
      </c>
      <c r="B543" s="1" t="s">
        <v>831</v>
      </c>
      <c r="C543" s="4">
        <v>2015</v>
      </c>
      <c r="D543" s="5" t="s">
        <v>832</v>
      </c>
      <c r="E543" s="3" t="s">
        <v>580</v>
      </c>
      <c r="F543" s="3" t="s">
        <v>29</v>
      </c>
      <c r="G543">
        <v>0</v>
      </c>
    </row>
    <row r="544" spans="1:7" ht="16">
      <c r="A544" s="4">
        <v>26114018</v>
      </c>
      <c r="B544" s="1" t="s">
        <v>2505</v>
      </c>
      <c r="C544" s="4">
        <v>2014</v>
      </c>
      <c r="D544" s="5" t="s">
        <v>2506</v>
      </c>
      <c r="E544" s="3" t="s">
        <v>580</v>
      </c>
      <c r="F544" s="3" t="s">
        <v>38</v>
      </c>
      <c r="G544">
        <v>0</v>
      </c>
    </row>
    <row r="545" spans="1:7" ht="16">
      <c r="A545" s="4">
        <v>26105089</v>
      </c>
      <c r="B545" s="1" t="s">
        <v>1155</v>
      </c>
      <c r="C545" s="4">
        <v>2015</v>
      </c>
      <c r="D545" s="5" t="s">
        <v>1156</v>
      </c>
      <c r="E545" s="3" t="s">
        <v>580</v>
      </c>
      <c r="F545" s="3" t="s">
        <v>29</v>
      </c>
      <c r="G545">
        <v>0</v>
      </c>
    </row>
    <row r="546" spans="1:7" ht="16">
      <c r="A546" s="4">
        <v>26083588</v>
      </c>
      <c r="B546" s="1" t="s">
        <v>1836</v>
      </c>
      <c r="C546" s="4">
        <v>2015</v>
      </c>
      <c r="D546" s="5" t="s">
        <v>1837</v>
      </c>
      <c r="E546" s="3" t="s">
        <v>580</v>
      </c>
      <c r="F546" s="3" t="s">
        <v>33</v>
      </c>
      <c r="G546">
        <v>0</v>
      </c>
    </row>
    <row r="547" spans="1:7" ht="16">
      <c r="A547" s="4">
        <v>26038958</v>
      </c>
      <c r="B547" s="1" t="s">
        <v>1527</v>
      </c>
      <c r="C547" s="4">
        <v>2015</v>
      </c>
      <c r="D547" s="5" t="s">
        <v>1528</v>
      </c>
      <c r="E547" s="3" t="s">
        <v>580</v>
      </c>
      <c r="F547" s="3" t="s">
        <v>93</v>
      </c>
      <c r="G547">
        <v>0</v>
      </c>
    </row>
    <row r="548" spans="1:7" ht="16">
      <c r="A548" s="4">
        <v>25971271</v>
      </c>
      <c r="B548" s="1" t="s">
        <v>825</v>
      </c>
      <c r="C548" s="4">
        <v>2015</v>
      </c>
      <c r="D548" s="5" t="s">
        <v>826</v>
      </c>
      <c r="E548" s="3" t="s">
        <v>580</v>
      </c>
      <c r="F548" s="3" t="s">
        <v>29</v>
      </c>
      <c r="G548">
        <v>0</v>
      </c>
    </row>
    <row r="549" spans="1:7" ht="16">
      <c r="A549" s="4">
        <v>25915811</v>
      </c>
      <c r="B549" s="1" t="s">
        <v>2408</v>
      </c>
      <c r="C549" s="4">
        <v>2015</v>
      </c>
      <c r="D549" s="5" t="s">
        <v>2409</v>
      </c>
      <c r="E549" s="3" t="s">
        <v>580</v>
      </c>
      <c r="F549" s="3" t="s">
        <v>38</v>
      </c>
      <c r="G549">
        <v>0</v>
      </c>
    </row>
    <row r="550" spans="1:7" ht="16">
      <c r="A550" s="4">
        <v>25888743</v>
      </c>
      <c r="B550" s="1" t="s">
        <v>2198</v>
      </c>
      <c r="C550" s="4">
        <v>2015</v>
      </c>
      <c r="D550" s="5" t="s">
        <v>2199</v>
      </c>
      <c r="E550" s="3" t="s">
        <v>580</v>
      </c>
      <c r="F550" s="3" t="s">
        <v>33</v>
      </c>
      <c r="G550">
        <v>0</v>
      </c>
    </row>
    <row r="551" spans="1:7" ht="16">
      <c r="A551" s="4">
        <v>25762531</v>
      </c>
      <c r="B551" s="1" t="s">
        <v>2276</v>
      </c>
      <c r="C551" s="4">
        <v>2015</v>
      </c>
      <c r="D551" s="5" t="s">
        <v>2278</v>
      </c>
      <c r="E551" s="3" t="s">
        <v>580</v>
      </c>
      <c r="F551" s="3" t="s">
        <v>38</v>
      </c>
      <c r="G551">
        <v>0</v>
      </c>
    </row>
    <row r="552" spans="1:7" ht="16">
      <c r="A552" s="4">
        <v>25744043</v>
      </c>
      <c r="B552" s="1" t="s">
        <v>855</v>
      </c>
      <c r="C552" s="4">
        <v>2014</v>
      </c>
      <c r="D552" s="5" t="s">
        <v>856</v>
      </c>
      <c r="E552" s="3" t="s">
        <v>580</v>
      </c>
      <c r="F552" s="3" t="s">
        <v>29</v>
      </c>
      <c r="G552">
        <v>0</v>
      </c>
    </row>
    <row r="553" spans="1:7" ht="16">
      <c r="A553" s="4">
        <v>25691643</v>
      </c>
      <c r="B553" s="1" t="s">
        <v>1728</v>
      </c>
      <c r="C553" s="4">
        <v>2015</v>
      </c>
      <c r="D553" s="5" t="s">
        <v>1729</v>
      </c>
      <c r="E553" s="3" t="s">
        <v>580</v>
      </c>
      <c r="F553" s="3" t="s">
        <v>99</v>
      </c>
      <c r="G553">
        <v>0</v>
      </c>
    </row>
    <row r="554" spans="1:7" ht="16">
      <c r="A554" s="4">
        <v>25629987</v>
      </c>
      <c r="B554" s="1" t="s">
        <v>1121</v>
      </c>
      <c r="C554" s="4">
        <v>2015</v>
      </c>
      <c r="D554" s="5" t="s">
        <v>1122</v>
      </c>
      <c r="E554" s="3" t="s">
        <v>580</v>
      </c>
      <c r="F554" s="3" t="s">
        <v>29</v>
      </c>
      <c r="G554">
        <v>0</v>
      </c>
    </row>
    <row r="555" spans="1:7" ht="16">
      <c r="A555" s="4">
        <v>25582535</v>
      </c>
      <c r="B555" s="1" t="s">
        <v>2565</v>
      </c>
      <c r="C555" s="4">
        <v>2015</v>
      </c>
      <c r="D555" s="5" t="s">
        <v>2566</v>
      </c>
      <c r="E555" s="3" t="s">
        <v>580</v>
      </c>
      <c r="F555" s="3" t="s">
        <v>38</v>
      </c>
      <c r="G555">
        <v>0</v>
      </c>
    </row>
    <row r="556" spans="1:7" ht="16">
      <c r="A556" s="4">
        <v>25576704</v>
      </c>
      <c r="B556" s="1" t="s">
        <v>2120</v>
      </c>
      <c r="C556" s="4">
        <v>2015</v>
      </c>
      <c r="D556" s="5" t="s">
        <v>2121</v>
      </c>
      <c r="E556" s="3" t="s">
        <v>580</v>
      </c>
      <c r="F556" s="3" t="s">
        <v>33</v>
      </c>
      <c r="G556">
        <v>0</v>
      </c>
    </row>
    <row r="557" spans="1:7" ht="16">
      <c r="A557" s="4">
        <v>25571778</v>
      </c>
      <c r="B557" s="1" t="s">
        <v>863</v>
      </c>
      <c r="C557" s="4">
        <v>2015</v>
      </c>
      <c r="D557" s="5" t="s">
        <v>864</v>
      </c>
      <c r="E557" s="3" t="s">
        <v>580</v>
      </c>
      <c r="F557" s="3" t="s">
        <v>29</v>
      </c>
      <c r="G557">
        <v>0</v>
      </c>
    </row>
    <row r="558" spans="1:7" ht="16">
      <c r="A558" s="4">
        <v>25564483</v>
      </c>
      <c r="B558" s="1" t="s">
        <v>1113</v>
      </c>
      <c r="C558" s="4">
        <v>2015</v>
      </c>
      <c r="D558" s="5" t="s">
        <v>1114</v>
      </c>
      <c r="E558" s="3" t="s">
        <v>580</v>
      </c>
      <c r="F558" s="3" t="s">
        <v>29</v>
      </c>
      <c r="G558">
        <v>0</v>
      </c>
    </row>
    <row r="559" spans="1:7" ht="16">
      <c r="A559" s="4">
        <v>25510656</v>
      </c>
      <c r="B559" s="1" t="s">
        <v>2086</v>
      </c>
      <c r="C559" s="4">
        <v>2014</v>
      </c>
      <c r="D559" s="5" t="s">
        <v>2087</v>
      </c>
      <c r="E559" s="3" t="s">
        <v>580</v>
      </c>
      <c r="F559" s="3" t="s">
        <v>33</v>
      </c>
      <c r="G559">
        <v>0</v>
      </c>
    </row>
    <row r="560" spans="1:7" ht="16">
      <c r="A560" s="4">
        <v>25492663</v>
      </c>
      <c r="B560" s="1" t="s">
        <v>1204</v>
      </c>
      <c r="C560" s="4">
        <v>2014</v>
      </c>
      <c r="D560" s="5" t="s">
        <v>1205</v>
      </c>
      <c r="E560" s="3" t="s">
        <v>580</v>
      </c>
      <c r="F560" s="3" t="s">
        <v>29</v>
      </c>
      <c r="G560">
        <v>0</v>
      </c>
    </row>
    <row r="561" spans="1:7" ht="16">
      <c r="A561" s="4">
        <v>25462450</v>
      </c>
      <c r="B561" s="1" t="s">
        <v>2540</v>
      </c>
      <c r="C561" s="4">
        <v>2014</v>
      </c>
      <c r="D561" s="5" t="s">
        <v>2541</v>
      </c>
      <c r="E561" s="3" t="s">
        <v>580</v>
      </c>
      <c r="F561" s="3" t="s">
        <v>38</v>
      </c>
      <c r="G561">
        <v>0</v>
      </c>
    </row>
    <row r="562" spans="1:7" ht="16">
      <c r="A562" s="4">
        <v>25462448</v>
      </c>
      <c r="B562" s="1" t="s">
        <v>2307</v>
      </c>
      <c r="C562" s="4">
        <v>2014</v>
      </c>
      <c r="D562" s="5" t="s">
        <v>2308</v>
      </c>
      <c r="E562" s="3" t="s">
        <v>580</v>
      </c>
      <c r="F562" s="3" t="s">
        <v>38</v>
      </c>
      <c r="G562">
        <v>0</v>
      </c>
    </row>
    <row r="563" spans="1:7" ht="16">
      <c r="A563" s="4">
        <v>25462447</v>
      </c>
      <c r="B563" s="1" t="s">
        <v>2507</v>
      </c>
      <c r="C563" s="4">
        <v>2014</v>
      </c>
      <c r="D563" s="5" t="s">
        <v>2508</v>
      </c>
      <c r="E563" s="3" t="s">
        <v>580</v>
      </c>
      <c r="F563" s="3" t="s">
        <v>38</v>
      </c>
      <c r="G563">
        <v>0</v>
      </c>
    </row>
    <row r="564" spans="1:7" ht="16">
      <c r="A564" s="4">
        <v>25462439</v>
      </c>
      <c r="B564" s="1" t="s">
        <v>2326</v>
      </c>
      <c r="C564" s="4">
        <v>2014</v>
      </c>
      <c r="D564" s="5" t="s">
        <v>2327</v>
      </c>
      <c r="E564" s="3" t="s">
        <v>580</v>
      </c>
      <c r="F564" s="3" t="s">
        <v>38</v>
      </c>
      <c r="G564">
        <v>0</v>
      </c>
    </row>
    <row r="565" spans="1:7" ht="16">
      <c r="A565" s="4">
        <v>25442238</v>
      </c>
      <c r="B565" s="1" t="s">
        <v>1461</v>
      </c>
      <c r="C565" s="4">
        <v>2015</v>
      </c>
      <c r="D565" s="5" t="s">
        <v>1462</v>
      </c>
      <c r="E565" s="3" t="s">
        <v>580</v>
      </c>
      <c r="F565" s="3" t="s">
        <v>42</v>
      </c>
      <c r="G565">
        <v>0</v>
      </c>
    </row>
    <row r="566" spans="1:7" ht="16">
      <c r="A566" s="4">
        <v>25309913</v>
      </c>
      <c r="B566" s="1" t="s">
        <v>2033</v>
      </c>
      <c r="C566" s="4">
        <v>2014</v>
      </c>
      <c r="D566" s="5" t="s">
        <v>2034</v>
      </c>
      <c r="E566" s="3" t="s">
        <v>580</v>
      </c>
      <c r="F566" s="3" t="s">
        <v>33</v>
      </c>
      <c r="G566">
        <v>0</v>
      </c>
    </row>
    <row r="567" spans="1:7" ht="16">
      <c r="A567" s="4">
        <v>25285614</v>
      </c>
      <c r="B567" s="1" t="s">
        <v>2295</v>
      </c>
      <c r="C567" s="4">
        <v>2014</v>
      </c>
      <c r="D567" s="5" t="s">
        <v>2296</v>
      </c>
      <c r="E567" s="3" t="s">
        <v>580</v>
      </c>
      <c r="F567" s="3" t="s">
        <v>38</v>
      </c>
      <c r="G567">
        <v>0</v>
      </c>
    </row>
    <row r="568" spans="1:7" ht="16">
      <c r="A568" s="4">
        <v>25285115</v>
      </c>
      <c r="B568" s="1" t="s">
        <v>1147</v>
      </c>
      <c r="C568" s="4">
        <v>2014</v>
      </c>
      <c r="D568" s="5" t="s">
        <v>1148</v>
      </c>
      <c r="E568" s="3" t="s">
        <v>580</v>
      </c>
      <c r="F568" s="3" t="s">
        <v>29</v>
      </c>
      <c r="G568">
        <v>0</v>
      </c>
    </row>
    <row r="569" spans="1:7" ht="16">
      <c r="A569" s="4">
        <v>25255164</v>
      </c>
      <c r="B569" s="1" t="s">
        <v>1584</v>
      </c>
      <c r="C569" s="4">
        <v>2015</v>
      </c>
      <c r="D569" s="5" t="s">
        <v>1585</v>
      </c>
      <c r="E569" s="3" t="s">
        <v>580</v>
      </c>
      <c r="F569" s="3" t="s">
        <v>65</v>
      </c>
      <c r="G569">
        <v>0</v>
      </c>
    </row>
    <row r="570" spans="1:7" ht="16">
      <c r="A570" s="4">
        <v>25243920</v>
      </c>
      <c r="B570" s="1" t="s">
        <v>1965</v>
      </c>
      <c r="C570" s="4">
        <v>2014</v>
      </c>
      <c r="D570" s="5" t="s">
        <v>1966</v>
      </c>
      <c r="E570" s="3" t="s">
        <v>580</v>
      </c>
      <c r="F570" s="3" t="s">
        <v>33</v>
      </c>
      <c r="G570">
        <v>0</v>
      </c>
    </row>
    <row r="571" spans="1:7" ht="16">
      <c r="A571" s="4">
        <v>25239996</v>
      </c>
      <c r="B571" s="1" t="s">
        <v>1111</v>
      </c>
      <c r="C571" s="4">
        <v>2014</v>
      </c>
      <c r="D571" s="5" t="s">
        <v>1112</v>
      </c>
      <c r="E571" s="3" t="s">
        <v>580</v>
      </c>
      <c r="F571" s="3" t="s">
        <v>29</v>
      </c>
      <c r="G571">
        <v>0</v>
      </c>
    </row>
    <row r="572" spans="1:7" ht="16">
      <c r="A572" s="4">
        <v>25124787</v>
      </c>
      <c r="B572" s="1" t="s">
        <v>803</v>
      </c>
      <c r="C572" s="4">
        <v>2014</v>
      </c>
      <c r="D572" s="5" t="s">
        <v>804</v>
      </c>
      <c r="E572" s="3" t="s">
        <v>580</v>
      </c>
      <c r="F572" s="3" t="s">
        <v>29</v>
      </c>
      <c r="G572">
        <v>0</v>
      </c>
    </row>
    <row r="573" spans="1:7" ht="16">
      <c r="A573" s="4">
        <v>25074497</v>
      </c>
      <c r="B573" s="1" t="s">
        <v>1206</v>
      </c>
      <c r="C573" s="4">
        <v>2014</v>
      </c>
      <c r="D573" s="5" t="s">
        <v>1207</v>
      </c>
      <c r="E573" s="3" t="s">
        <v>580</v>
      </c>
      <c r="F573" s="3" t="s">
        <v>29</v>
      </c>
      <c r="G573">
        <v>0</v>
      </c>
    </row>
    <row r="574" spans="1:7" ht="16">
      <c r="A574" s="4">
        <v>25073037</v>
      </c>
      <c r="B574" s="1" t="s">
        <v>1395</v>
      </c>
      <c r="C574" s="4">
        <v>2015</v>
      </c>
      <c r="D574" s="5" t="s">
        <v>1396</v>
      </c>
      <c r="E574" s="3" t="s">
        <v>580</v>
      </c>
      <c r="F574" s="3" t="s">
        <v>42</v>
      </c>
      <c r="G574">
        <v>0</v>
      </c>
    </row>
    <row r="575" spans="1:7" ht="16">
      <c r="A575" s="4">
        <v>25040797</v>
      </c>
      <c r="B575" s="1" t="s">
        <v>969</v>
      </c>
      <c r="C575" s="4">
        <v>2014</v>
      </c>
      <c r="D575" s="5" t="s">
        <v>970</v>
      </c>
      <c r="E575" s="3" t="s">
        <v>580</v>
      </c>
      <c r="F575" s="3" t="s">
        <v>29</v>
      </c>
      <c r="G575">
        <v>0</v>
      </c>
    </row>
    <row r="576" spans="1:7" ht="16">
      <c r="A576" s="4">
        <v>25015512</v>
      </c>
      <c r="B576" s="1" t="s">
        <v>2513</v>
      </c>
      <c r="C576" s="4">
        <v>2014</v>
      </c>
      <c r="D576" s="5" t="s">
        <v>2514</v>
      </c>
      <c r="E576" s="3" t="s">
        <v>580</v>
      </c>
      <c r="F576" s="3" t="s">
        <v>38</v>
      </c>
      <c r="G576">
        <v>0</v>
      </c>
    </row>
    <row r="577" spans="1:7" ht="16">
      <c r="A577" s="4">
        <v>25007510</v>
      </c>
      <c r="B577" s="1" t="s">
        <v>947</v>
      </c>
      <c r="C577" s="4">
        <v>2014</v>
      </c>
      <c r="D577" s="5" t="s">
        <v>948</v>
      </c>
      <c r="E577" s="3" t="s">
        <v>580</v>
      </c>
      <c r="F577" s="3" t="s">
        <v>29</v>
      </c>
      <c r="G577">
        <v>0</v>
      </c>
    </row>
    <row r="578" spans="1:7" ht="16">
      <c r="A578" s="4">
        <v>24919177</v>
      </c>
      <c r="B578" s="1" t="s">
        <v>2130</v>
      </c>
      <c r="C578" s="4">
        <v>2014</v>
      </c>
      <c r="D578" s="5" t="s">
        <v>2131</v>
      </c>
      <c r="E578" s="3" t="s">
        <v>580</v>
      </c>
      <c r="F578" s="3" t="s">
        <v>33</v>
      </c>
      <c r="G578">
        <v>0</v>
      </c>
    </row>
    <row r="579" spans="1:7" ht="16">
      <c r="A579" s="4">
        <v>24877035</v>
      </c>
      <c r="B579" s="1" t="s">
        <v>1457</v>
      </c>
      <c r="C579" s="4">
        <v>2014</v>
      </c>
      <c r="D579" s="5" t="s">
        <v>1458</v>
      </c>
      <c r="E579" s="3" t="s">
        <v>580</v>
      </c>
      <c r="F579" s="3" t="s">
        <v>42</v>
      </c>
      <c r="G579">
        <v>0</v>
      </c>
    </row>
    <row r="580" spans="1:7" ht="16">
      <c r="A580" s="4">
        <v>24803376</v>
      </c>
      <c r="B580" s="1" t="s">
        <v>845</v>
      </c>
      <c r="C580" s="4">
        <v>2014</v>
      </c>
      <c r="D580" s="5" t="s">
        <v>846</v>
      </c>
      <c r="E580" s="3" t="s">
        <v>580</v>
      </c>
      <c r="F580" s="3" t="s">
        <v>29</v>
      </c>
      <c r="G580">
        <v>0</v>
      </c>
    </row>
    <row r="581" spans="1:7" ht="16">
      <c r="A581" s="4">
        <v>24801397</v>
      </c>
      <c r="B581" s="1" t="s">
        <v>1463</v>
      </c>
      <c r="C581" s="4">
        <v>2014</v>
      </c>
      <c r="D581" s="5" t="s">
        <v>1464</v>
      </c>
      <c r="E581" s="3" t="s">
        <v>580</v>
      </c>
      <c r="F581" s="3" t="s">
        <v>42</v>
      </c>
      <c r="G581">
        <v>0</v>
      </c>
    </row>
    <row r="582" spans="1:7" ht="16">
      <c r="A582" s="4">
        <v>24792343</v>
      </c>
      <c r="B582" s="1" t="s">
        <v>2293</v>
      </c>
      <c r="C582" s="4">
        <v>2014</v>
      </c>
      <c r="D582" s="5" t="s">
        <v>2294</v>
      </c>
      <c r="E582" s="3" t="s">
        <v>580</v>
      </c>
      <c r="F582" s="3" t="s">
        <v>38</v>
      </c>
      <c r="G582">
        <v>0</v>
      </c>
    </row>
    <row r="583" spans="1:7" ht="16">
      <c r="A583" s="4">
        <v>24749313</v>
      </c>
      <c r="B583" s="1" t="s">
        <v>1079</v>
      </c>
      <c r="C583" s="4">
        <v>2014</v>
      </c>
      <c r="D583" s="5" t="s">
        <v>1080</v>
      </c>
      <c r="E583" s="3" t="s">
        <v>580</v>
      </c>
      <c r="F583" s="3" t="s">
        <v>29</v>
      </c>
      <c r="G583">
        <v>0</v>
      </c>
    </row>
    <row r="584" spans="1:7" ht="16">
      <c r="A584" s="4">
        <v>24740222</v>
      </c>
      <c r="B584" s="1" t="s">
        <v>1963</v>
      </c>
      <c r="C584" s="4">
        <v>2014</v>
      </c>
      <c r="D584" s="5" t="s">
        <v>1964</v>
      </c>
      <c r="E584" s="3" t="s">
        <v>580</v>
      </c>
      <c r="F584" s="3" t="s">
        <v>33</v>
      </c>
      <c r="G584">
        <v>0</v>
      </c>
    </row>
    <row r="585" spans="1:7" ht="16">
      <c r="A585" s="4">
        <v>24703390</v>
      </c>
      <c r="B585" s="1" t="s">
        <v>2340</v>
      </c>
      <c r="C585" s="4">
        <v>2014</v>
      </c>
      <c r="D585" s="5" t="s">
        <v>2341</v>
      </c>
      <c r="E585" s="3" t="s">
        <v>580</v>
      </c>
      <c r="F585" s="3" t="s">
        <v>38</v>
      </c>
      <c r="G585">
        <v>0</v>
      </c>
    </row>
    <row r="586" spans="1:7" ht="16">
      <c r="A586" s="4">
        <v>24611562</v>
      </c>
      <c r="B586" s="1" t="s">
        <v>2009</v>
      </c>
      <c r="C586" s="4">
        <v>2014</v>
      </c>
      <c r="D586" s="5" t="s">
        <v>2010</v>
      </c>
      <c r="E586" s="3" t="s">
        <v>580</v>
      </c>
      <c r="F586" s="3" t="s">
        <v>33</v>
      </c>
      <c r="G586">
        <v>0</v>
      </c>
    </row>
    <row r="587" spans="1:7" ht="16">
      <c r="A587" s="4">
        <v>24604770</v>
      </c>
      <c r="B587" s="1" t="s">
        <v>2377</v>
      </c>
      <c r="C587" s="4">
        <v>2014</v>
      </c>
      <c r="D587" s="5" t="s">
        <v>2378</v>
      </c>
      <c r="E587" s="3" t="s">
        <v>580</v>
      </c>
      <c r="F587" s="3" t="s">
        <v>38</v>
      </c>
      <c r="G587">
        <v>0</v>
      </c>
    </row>
    <row r="588" spans="1:7" ht="16">
      <c r="A588" s="4">
        <v>24594780</v>
      </c>
      <c r="B588" s="1" t="s">
        <v>1576</v>
      </c>
      <c r="C588" s="4">
        <v>2014</v>
      </c>
      <c r="D588" s="5" t="s">
        <v>1577</v>
      </c>
      <c r="E588" s="3" t="s">
        <v>580</v>
      </c>
      <c r="F588" s="3" t="s">
        <v>65</v>
      </c>
      <c r="G588">
        <v>0</v>
      </c>
    </row>
    <row r="589" spans="1:7" ht="16">
      <c r="A589" s="4">
        <v>24478470</v>
      </c>
      <c r="B589" s="1" t="s">
        <v>1726</v>
      </c>
      <c r="C589" s="4">
        <v>2014</v>
      </c>
      <c r="D589" s="5" t="s">
        <v>1727</v>
      </c>
      <c r="E589" s="3" t="s">
        <v>580</v>
      </c>
      <c r="F589" s="3" t="s">
        <v>99</v>
      </c>
      <c r="G589">
        <v>0</v>
      </c>
    </row>
    <row r="590" spans="1:7" ht="16">
      <c r="A590" s="4">
        <v>24455117</v>
      </c>
      <c r="B590" s="1" t="s">
        <v>1190</v>
      </c>
      <c r="C590" s="4">
        <v>2014</v>
      </c>
      <c r="D590" s="5" t="s">
        <v>1191</v>
      </c>
      <c r="E590" s="3" t="s">
        <v>580</v>
      </c>
      <c r="F590" s="3" t="s">
        <v>29</v>
      </c>
      <c r="G590">
        <v>0</v>
      </c>
    </row>
    <row r="591" spans="1:7" ht="16">
      <c r="A591" s="4">
        <v>24395026</v>
      </c>
      <c r="B591" s="1" t="s">
        <v>1377</v>
      </c>
      <c r="C591" s="4">
        <v>2014</v>
      </c>
      <c r="D591" s="5" t="s">
        <v>1378</v>
      </c>
      <c r="E591" s="3" t="s">
        <v>580</v>
      </c>
      <c r="F591" s="3" t="s">
        <v>42</v>
      </c>
      <c r="G591">
        <v>0</v>
      </c>
    </row>
    <row r="592" spans="1:7" ht="16">
      <c r="A592" s="4">
        <v>24384048</v>
      </c>
      <c r="B592" s="1" t="s">
        <v>1399</v>
      </c>
      <c r="C592" s="4">
        <v>2014</v>
      </c>
      <c r="D592" s="5" t="s">
        <v>1400</v>
      </c>
      <c r="E592" s="3" t="s">
        <v>580</v>
      </c>
      <c r="F592" s="3" t="s">
        <v>42</v>
      </c>
      <c r="G592">
        <v>0</v>
      </c>
    </row>
    <row r="593" spans="1:7" ht="16">
      <c r="A593" s="4">
        <v>24330091</v>
      </c>
      <c r="B593" s="1" t="s">
        <v>895</v>
      </c>
      <c r="C593" s="4">
        <v>2014</v>
      </c>
      <c r="D593" s="5" t="s">
        <v>896</v>
      </c>
      <c r="E593" s="3" t="s">
        <v>580</v>
      </c>
      <c r="F593" s="3" t="s">
        <v>29</v>
      </c>
      <c r="G593">
        <v>0</v>
      </c>
    </row>
    <row r="594" spans="1:7" ht="16">
      <c r="A594" s="4">
        <v>24275367</v>
      </c>
      <c r="B594" s="1" t="s">
        <v>1351</v>
      </c>
      <c r="C594" s="4">
        <v>2014</v>
      </c>
      <c r="D594" s="5" t="s">
        <v>1352</v>
      </c>
      <c r="E594" s="3" t="s">
        <v>580</v>
      </c>
      <c r="F594" s="3" t="s">
        <v>42</v>
      </c>
      <c r="G594">
        <v>0</v>
      </c>
    </row>
    <row r="595" spans="1:7" ht="16">
      <c r="A595" s="4">
        <v>24099308</v>
      </c>
      <c r="B595" s="1" t="s">
        <v>1788</v>
      </c>
      <c r="C595" s="4">
        <v>2013</v>
      </c>
      <c r="D595" s="5" t="s">
        <v>1789</v>
      </c>
      <c r="E595" s="3" t="s">
        <v>580</v>
      </c>
      <c r="F595" s="3" t="s">
        <v>33</v>
      </c>
      <c r="G595">
        <v>0</v>
      </c>
    </row>
    <row r="596" spans="1:7" ht="16">
      <c r="A596" s="4">
        <v>24011959</v>
      </c>
      <c r="B596" s="1" t="s">
        <v>1214</v>
      </c>
      <c r="C596" s="4">
        <v>2013</v>
      </c>
      <c r="D596" s="5" t="s">
        <v>1215</v>
      </c>
      <c r="E596" s="3" t="s">
        <v>580</v>
      </c>
      <c r="F596" s="3" t="s">
        <v>89</v>
      </c>
      <c r="G596">
        <v>0</v>
      </c>
    </row>
    <row r="597" spans="1:7" ht="16">
      <c r="A597" s="4">
        <v>24006442</v>
      </c>
      <c r="B597" s="1" t="s">
        <v>1768</v>
      </c>
      <c r="C597" s="4">
        <v>2013</v>
      </c>
      <c r="D597" s="5" t="s">
        <v>1769</v>
      </c>
      <c r="E597" s="3" t="s">
        <v>580</v>
      </c>
      <c r="F597" s="3" t="s">
        <v>33</v>
      </c>
      <c r="G597">
        <v>0</v>
      </c>
    </row>
    <row r="598" spans="1:7" ht="16">
      <c r="A598" s="4">
        <v>23959519</v>
      </c>
      <c r="B598" s="1" t="s">
        <v>2108</v>
      </c>
      <c r="C598" s="4">
        <v>2013</v>
      </c>
      <c r="D598" s="5" t="s">
        <v>2109</v>
      </c>
      <c r="E598" s="3" t="s">
        <v>580</v>
      </c>
      <c r="F598" s="3" t="s">
        <v>33</v>
      </c>
      <c r="G598">
        <v>0</v>
      </c>
    </row>
    <row r="599" spans="1:7" ht="16">
      <c r="A599" s="4">
        <v>23955460</v>
      </c>
      <c r="B599" s="1" t="s">
        <v>1255</v>
      </c>
      <c r="C599" s="4">
        <v>2013</v>
      </c>
      <c r="D599" s="5" t="s">
        <v>1256</v>
      </c>
      <c r="E599" s="3" t="s">
        <v>580</v>
      </c>
      <c r="F599" s="3" t="s">
        <v>42</v>
      </c>
      <c r="G599">
        <v>0</v>
      </c>
    </row>
    <row r="600" spans="1:7" ht="16">
      <c r="A600" s="4">
        <v>23940750</v>
      </c>
      <c r="B600" s="1" t="s">
        <v>2156</v>
      </c>
      <c r="C600" s="4">
        <v>2013</v>
      </c>
      <c r="D600" s="5" t="s">
        <v>2157</v>
      </c>
      <c r="E600" s="3" t="s">
        <v>580</v>
      </c>
      <c r="F600" s="3" t="s">
        <v>33</v>
      </c>
      <c r="G600">
        <v>0</v>
      </c>
    </row>
    <row r="601" spans="1:7" ht="16">
      <c r="A601" s="4">
        <v>23938304</v>
      </c>
      <c r="B601" s="1" t="s">
        <v>1232</v>
      </c>
      <c r="C601" s="4">
        <v>2013</v>
      </c>
      <c r="D601" s="5" t="s">
        <v>1233</v>
      </c>
      <c r="E601" s="3" t="s">
        <v>580</v>
      </c>
      <c r="F601" s="3" t="s">
        <v>42</v>
      </c>
      <c r="G601">
        <v>0</v>
      </c>
    </row>
    <row r="602" spans="1:7" ht="16">
      <c r="A602" s="4">
        <v>23871165</v>
      </c>
      <c r="B602" s="1" t="s">
        <v>1267</v>
      </c>
      <c r="C602" s="4">
        <v>2013</v>
      </c>
      <c r="D602" s="5" t="s">
        <v>1268</v>
      </c>
      <c r="E602" s="3" t="s">
        <v>580</v>
      </c>
      <c r="F602" s="3" t="s">
        <v>42</v>
      </c>
      <c r="G602">
        <v>0</v>
      </c>
    </row>
    <row r="603" spans="1:7" ht="16">
      <c r="A603" s="4">
        <v>23852888</v>
      </c>
      <c r="B603" s="1" t="s">
        <v>1313</v>
      </c>
      <c r="C603" s="4">
        <v>2013</v>
      </c>
      <c r="D603" s="5" t="s">
        <v>1314</v>
      </c>
      <c r="E603" s="3" t="s">
        <v>580</v>
      </c>
      <c r="F603" s="3" t="s">
        <v>42</v>
      </c>
      <c r="G603">
        <v>0</v>
      </c>
    </row>
    <row r="604" spans="1:7" ht="16">
      <c r="A604" s="4">
        <v>23821512</v>
      </c>
      <c r="B604" s="1" t="s">
        <v>2528</v>
      </c>
      <c r="C604" s="4">
        <v>2013</v>
      </c>
      <c r="D604" s="5" t="s">
        <v>2529</v>
      </c>
      <c r="E604" s="3" t="s">
        <v>580</v>
      </c>
      <c r="F604" s="3" t="s">
        <v>38</v>
      </c>
      <c r="G604">
        <v>0</v>
      </c>
    </row>
    <row r="605" spans="1:7" ht="16">
      <c r="A605" s="4">
        <v>23806156</v>
      </c>
      <c r="B605" s="1" t="s">
        <v>2463</v>
      </c>
      <c r="C605" s="4">
        <v>2013</v>
      </c>
      <c r="D605" s="5" t="s">
        <v>2464</v>
      </c>
      <c r="E605" s="3" t="s">
        <v>580</v>
      </c>
      <c r="F605" s="3" t="s">
        <v>38</v>
      </c>
      <c r="G605">
        <v>0</v>
      </c>
    </row>
    <row r="606" spans="1:7" ht="16">
      <c r="A606" s="4">
        <v>23769093</v>
      </c>
      <c r="B606" s="1" t="s">
        <v>1331</v>
      </c>
      <c r="C606" s="4">
        <v>2013</v>
      </c>
      <c r="D606" s="5" t="s">
        <v>1332</v>
      </c>
      <c r="E606" s="3" t="s">
        <v>580</v>
      </c>
      <c r="F606" s="3" t="s">
        <v>42</v>
      </c>
      <c r="G606">
        <v>0</v>
      </c>
    </row>
    <row r="607" spans="1:7" ht="16">
      <c r="A607" s="4">
        <v>23769070</v>
      </c>
      <c r="B607" s="1" t="s">
        <v>1226</v>
      </c>
      <c r="C607" s="4">
        <v>2013</v>
      </c>
      <c r="D607" s="5" t="s">
        <v>1227</v>
      </c>
      <c r="E607" s="3" t="s">
        <v>580</v>
      </c>
      <c r="F607" s="3" t="s">
        <v>42</v>
      </c>
      <c r="G607">
        <v>0</v>
      </c>
    </row>
    <row r="608" spans="1:7" ht="16">
      <c r="A608" s="4">
        <v>23676599</v>
      </c>
      <c r="B608" s="1" t="s">
        <v>1115</v>
      </c>
      <c r="C608" s="4">
        <v>2013</v>
      </c>
      <c r="D608" s="5" t="s">
        <v>1116</v>
      </c>
      <c r="E608" s="3" t="s">
        <v>580</v>
      </c>
      <c r="F608" s="3" t="s">
        <v>29</v>
      </c>
      <c r="G608">
        <v>0</v>
      </c>
    </row>
    <row r="609" spans="1:7" ht="16">
      <c r="A609" s="4">
        <v>23669455</v>
      </c>
      <c r="B609" s="1" t="s">
        <v>2242</v>
      </c>
      <c r="C609" s="4">
        <v>2013</v>
      </c>
      <c r="D609" s="5" t="s">
        <v>2243</v>
      </c>
      <c r="E609" s="3" t="s">
        <v>580</v>
      </c>
      <c r="F609" s="3" t="s">
        <v>105</v>
      </c>
      <c r="G609">
        <v>0</v>
      </c>
    </row>
    <row r="610" spans="1:7" ht="16">
      <c r="A610" s="4">
        <v>23588740</v>
      </c>
      <c r="B610" s="1" t="s">
        <v>1475</v>
      </c>
      <c r="C610" s="4">
        <v>2013</v>
      </c>
      <c r="D610" s="5" t="s">
        <v>1476</v>
      </c>
      <c r="E610" s="3" t="s">
        <v>580</v>
      </c>
      <c r="F610" s="3" t="s">
        <v>42</v>
      </c>
      <c r="G610">
        <v>0</v>
      </c>
    </row>
    <row r="611" spans="1:7" ht="16">
      <c r="A611" s="4">
        <v>23573902</v>
      </c>
      <c r="B611" s="1" t="s">
        <v>2053</v>
      </c>
      <c r="C611" s="4">
        <v>2013</v>
      </c>
      <c r="D611" s="5" t="s">
        <v>2054</v>
      </c>
      <c r="E611" s="3" t="s">
        <v>580</v>
      </c>
      <c r="F611" s="3" t="s">
        <v>33</v>
      </c>
      <c r="G611">
        <v>0</v>
      </c>
    </row>
    <row r="612" spans="1:7" ht="16">
      <c r="A612" s="4">
        <v>23535574</v>
      </c>
      <c r="B612" s="1" t="s">
        <v>2005</v>
      </c>
      <c r="C612" s="4">
        <v>2013</v>
      </c>
      <c r="D612" s="5" t="s">
        <v>2006</v>
      </c>
      <c r="E612" s="3" t="s">
        <v>580</v>
      </c>
      <c r="F612" s="3" t="s">
        <v>33</v>
      </c>
      <c r="G612">
        <v>0</v>
      </c>
    </row>
    <row r="613" spans="1:7" ht="16">
      <c r="A613" s="4">
        <v>23535036</v>
      </c>
      <c r="B613" s="1" t="s">
        <v>979</v>
      </c>
      <c r="C613" s="4">
        <v>2013</v>
      </c>
      <c r="D613" s="5" t="s">
        <v>980</v>
      </c>
      <c r="E613" s="3" t="s">
        <v>580</v>
      </c>
      <c r="F613" s="3" t="s">
        <v>29</v>
      </c>
      <c r="G613">
        <v>0</v>
      </c>
    </row>
    <row r="614" spans="1:7" ht="16">
      <c r="A614" s="4">
        <v>23498824</v>
      </c>
      <c r="B614" s="1" t="s">
        <v>1123</v>
      </c>
      <c r="C614" s="4">
        <v>2013</v>
      </c>
      <c r="D614" s="5" t="s">
        <v>1124</v>
      </c>
      <c r="E614" s="3" t="s">
        <v>580</v>
      </c>
      <c r="F614" s="3" t="s">
        <v>29</v>
      </c>
      <c r="G614">
        <v>0</v>
      </c>
    </row>
    <row r="615" spans="1:7" ht="16">
      <c r="A615" s="4">
        <v>23465006</v>
      </c>
      <c r="B615" s="1" t="s">
        <v>1722</v>
      </c>
      <c r="C615" s="4">
        <v>2013</v>
      </c>
      <c r="D615" s="5" t="s">
        <v>1723</v>
      </c>
      <c r="E615" s="3" t="s">
        <v>580</v>
      </c>
      <c r="F615" s="3" t="s">
        <v>49</v>
      </c>
      <c r="G615">
        <v>0</v>
      </c>
    </row>
    <row r="616" spans="1:7" ht="16">
      <c r="A616" s="4">
        <v>23454489</v>
      </c>
      <c r="B616" s="1" t="s">
        <v>1846</v>
      </c>
      <c r="C616" s="4">
        <v>2013</v>
      </c>
      <c r="D616" s="5" t="s">
        <v>1847</v>
      </c>
      <c r="E616" s="3" t="s">
        <v>580</v>
      </c>
      <c r="F616" s="3" t="s">
        <v>33</v>
      </c>
      <c r="G616">
        <v>0</v>
      </c>
    </row>
    <row r="617" spans="1:7" ht="16">
      <c r="A617" s="4">
        <v>23409116</v>
      </c>
      <c r="B617" s="1" t="s">
        <v>1983</v>
      </c>
      <c r="C617" s="4">
        <v>2013</v>
      </c>
      <c r="D617" s="5" t="s">
        <v>1984</v>
      </c>
      <c r="E617" s="3" t="s">
        <v>580</v>
      </c>
      <c r="F617" s="3" t="s">
        <v>33</v>
      </c>
      <c r="G617">
        <v>0</v>
      </c>
    </row>
    <row r="618" spans="1:7" ht="16">
      <c r="A618" s="4">
        <v>23408849</v>
      </c>
      <c r="B618" s="1" t="s">
        <v>1848</v>
      </c>
      <c r="C618" s="4">
        <v>2013</v>
      </c>
      <c r="D618" s="5" t="s">
        <v>1849</v>
      </c>
      <c r="E618" s="3" t="s">
        <v>580</v>
      </c>
      <c r="F618" s="3" t="s">
        <v>33</v>
      </c>
      <c r="G618">
        <v>0</v>
      </c>
    </row>
    <row r="619" spans="1:7" ht="16">
      <c r="A619" s="4">
        <v>23391825</v>
      </c>
      <c r="B619" s="1" t="s">
        <v>1760</v>
      </c>
      <c r="C619" s="4">
        <v>2013</v>
      </c>
      <c r="D619" s="5" t="s">
        <v>1761</v>
      </c>
      <c r="E619" s="3" t="s">
        <v>580</v>
      </c>
      <c r="F619" s="3" t="s">
        <v>33</v>
      </c>
      <c r="G619">
        <v>0</v>
      </c>
    </row>
    <row r="620" spans="1:7" ht="16">
      <c r="A620" s="4">
        <v>23347215</v>
      </c>
      <c r="B620" s="1" t="s">
        <v>1513</v>
      </c>
      <c r="C620" s="4">
        <v>2013</v>
      </c>
      <c r="D620" s="5" t="s">
        <v>2440</v>
      </c>
      <c r="E620" s="3" t="s">
        <v>580</v>
      </c>
      <c r="F620" s="3" t="s">
        <v>38</v>
      </c>
      <c r="G620">
        <v>0</v>
      </c>
    </row>
    <row r="621" spans="1:7" ht="16">
      <c r="A621" s="4">
        <v>23347211</v>
      </c>
      <c r="B621" s="1" t="s">
        <v>2430</v>
      </c>
      <c r="C621" s="4">
        <v>2013</v>
      </c>
      <c r="D621" s="5" t="s">
        <v>2431</v>
      </c>
      <c r="E621" s="3" t="s">
        <v>580</v>
      </c>
      <c r="F621" s="3" t="s">
        <v>38</v>
      </c>
      <c r="G621">
        <v>0</v>
      </c>
    </row>
    <row r="622" spans="1:7" ht="16">
      <c r="A622" s="4">
        <v>23354300</v>
      </c>
      <c r="B622" s="1" t="s">
        <v>1347</v>
      </c>
      <c r="C622" s="4">
        <v>2013</v>
      </c>
      <c r="D622" s="5" t="s">
        <v>1348</v>
      </c>
      <c r="E622" s="3" t="s">
        <v>580</v>
      </c>
      <c r="F622" s="3" t="s">
        <v>42</v>
      </c>
      <c r="G622">
        <v>0</v>
      </c>
    </row>
    <row r="623" spans="1:7" ht="16">
      <c r="A623" s="4">
        <v>23342747</v>
      </c>
      <c r="B623" s="1" t="s">
        <v>807</v>
      </c>
      <c r="C623" s="4">
        <v>2012</v>
      </c>
      <c r="D623" s="5" t="s">
        <v>808</v>
      </c>
      <c r="E623" s="3" t="s">
        <v>580</v>
      </c>
      <c r="F623" s="3" t="s">
        <v>29</v>
      </c>
      <c r="G623">
        <v>0</v>
      </c>
    </row>
    <row r="624" spans="1:7" ht="16">
      <c r="A624" s="4">
        <v>23287444</v>
      </c>
      <c r="B624" s="1" t="s">
        <v>2116</v>
      </c>
      <c r="C624" s="4">
        <v>2013</v>
      </c>
      <c r="D624" s="5" t="s">
        <v>2117</v>
      </c>
      <c r="E624" s="3" t="s">
        <v>580</v>
      </c>
      <c r="F624" s="3" t="s">
        <v>33</v>
      </c>
      <c r="G624">
        <v>0</v>
      </c>
    </row>
    <row r="625" spans="1:7" ht="16">
      <c r="A625" s="4">
        <v>31528583</v>
      </c>
      <c r="B625" s="1" t="s">
        <v>1167</v>
      </c>
      <c r="C625" s="4">
        <v>2012</v>
      </c>
      <c r="D625" s="5" t="s">
        <v>1168</v>
      </c>
      <c r="E625" s="3" t="s">
        <v>580</v>
      </c>
      <c r="F625" s="3" t="s">
        <v>29</v>
      </c>
      <c r="G625">
        <v>0</v>
      </c>
    </row>
    <row r="626" spans="1:7" ht="16">
      <c r="A626" s="4">
        <v>23271411</v>
      </c>
      <c r="B626" s="1" t="s">
        <v>1183</v>
      </c>
      <c r="C626" s="4">
        <v>2013</v>
      </c>
      <c r="D626" s="5" t="s">
        <v>1184</v>
      </c>
      <c r="E626" s="3" t="s">
        <v>580</v>
      </c>
      <c r="F626" s="3" t="s">
        <v>29</v>
      </c>
      <c r="G626">
        <v>0</v>
      </c>
    </row>
    <row r="627" spans="1:7" ht="16">
      <c r="A627" s="4">
        <v>23225133</v>
      </c>
      <c r="B627" s="1" t="s">
        <v>2602</v>
      </c>
      <c r="C627" s="4">
        <v>2013</v>
      </c>
      <c r="D627" s="5" t="s">
        <v>2614</v>
      </c>
      <c r="E627" s="3" t="s">
        <v>580</v>
      </c>
      <c r="F627" s="3" t="s">
        <v>38</v>
      </c>
      <c r="G627">
        <v>0</v>
      </c>
    </row>
    <row r="628" spans="1:7" ht="16">
      <c r="A628" s="4">
        <v>23196622</v>
      </c>
      <c r="B628" s="1" t="s">
        <v>606</v>
      </c>
      <c r="C628" s="4">
        <v>2012</v>
      </c>
      <c r="D628" s="5" t="s">
        <v>607</v>
      </c>
      <c r="E628" s="3" t="s">
        <v>580</v>
      </c>
      <c r="F628" s="3" t="s">
        <v>45</v>
      </c>
      <c r="G628">
        <v>0</v>
      </c>
    </row>
    <row r="629" spans="1:7" ht="16">
      <c r="A629" s="4">
        <v>23173742</v>
      </c>
      <c r="B629" s="1" t="s">
        <v>901</v>
      </c>
      <c r="C629" s="4">
        <v>2013</v>
      </c>
      <c r="D629" s="5" t="s">
        <v>902</v>
      </c>
      <c r="E629" s="3" t="s">
        <v>580</v>
      </c>
      <c r="F629" s="3" t="s">
        <v>29</v>
      </c>
      <c r="G629">
        <v>0</v>
      </c>
    </row>
    <row r="630" spans="1:7" ht="16">
      <c r="A630" s="4">
        <v>23165654</v>
      </c>
      <c r="B630" s="1" t="s">
        <v>2625</v>
      </c>
      <c r="C630" s="4">
        <v>2013</v>
      </c>
      <c r="D630" s="5" t="s">
        <v>2626</v>
      </c>
      <c r="E630" s="3" t="s">
        <v>580</v>
      </c>
      <c r="F630" s="3" t="s">
        <v>38</v>
      </c>
      <c r="G630">
        <v>0</v>
      </c>
    </row>
    <row r="631" spans="1:7" ht="16">
      <c r="A631" s="4">
        <v>23088724</v>
      </c>
      <c r="B631" s="1" t="s">
        <v>843</v>
      </c>
      <c r="C631" s="4">
        <v>2013</v>
      </c>
      <c r="D631" s="5" t="s">
        <v>844</v>
      </c>
      <c r="E631" s="3" t="s">
        <v>580</v>
      </c>
      <c r="F631" s="3" t="s">
        <v>29</v>
      </c>
      <c r="G631">
        <v>0</v>
      </c>
    </row>
    <row r="632" spans="1:7" ht="16">
      <c r="A632" s="4">
        <v>23026619</v>
      </c>
      <c r="B632" s="1" t="s">
        <v>1323</v>
      </c>
      <c r="C632" s="4">
        <v>2012</v>
      </c>
      <c r="D632" s="5" t="s">
        <v>1324</v>
      </c>
      <c r="E632" s="3" t="s">
        <v>580</v>
      </c>
      <c r="F632" s="3" t="s">
        <v>42</v>
      </c>
      <c r="G632">
        <v>0</v>
      </c>
    </row>
    <row r="633" spans="1:7" ht="16">
      <c r="A633" s="4">
        <v>23026615</v>
      </c>
      <c r="B633" s="1" t="s">
        <v>1407</v>
      </c>
      <c r="C633" s="4">
        <v>2012</v>
      </c>
      <c r="D633" s="5" t="s">
        <v>1408</v>
      </c>
      <c r="E633" s="3" t="s">
        <v>580</v>
      </c>
      <c r="F633" s="3" t="s">
        <v>42</v>
      </c>
      <c r="G633">
        <v>0</v>
      </c>
    </row>
    <row r="634" spans="1:7" ht="16">
      <c r="A634" s="4">
        <v>23000642</v>
      </c>
      <c r="B634" s="1" t="s">
        <v>2447</v>
      </c>
      <c r="C634" s="4">
        <v>2013</v>
      </c>
      <c r="D634" s="5" t="s">
        <v>2448</v>
      </c>
      <c r="E634" s="3" t="s">
        <v>580</v>
      </c>
      <c r="F634" s="3" t="s">
        <v>38</v>
      </c>
      <c r="G634">
        <v>0</v>
      </c>
    </row>
    <row r="635" spans="1:7" ht="16">
      <c r="A635" s="4">
        <v>22996288</v>
      </c>
      <c r="B635" s="1" t="s">
        <v>2602</v>
      </c>
      <c r="C635" s="4">
        <v>2012</v>
      </c>
      <c r="D635" s="5" t="s">
        <v>2603</v>
      </c>
      <c r="E635" s="3" t="s">
        <v>580</v>
      </c>
      <c r="F635" s="3" t="s">
        <v>38</v>
      </c>
      <c r="G635">
        <v>0</v>
      </c>
    </row>
    <row r="636" spans="1:7" ht="16">
      <c r="A636" s="4">
        <v>22971937</v>
      </c>
      <c r="B636" s="1" t="s">
        <v>985</v>
      </c>
      <c r="C636" s="4">
        <v>2013</v>
      </c>
      <c r="D636" s="5" t="s">
        <v>986</v>
      </c>
      <c r="E636" s="3" t="s">
        <v>580</v>
      </c>
      <c r="F636" s="3" t="s">
        <v>29</v>
      </c>
      <c r="G636">
        <v>0</v>
      </c>
    </row>
    <row r="637" spans="1:7" ht="16">
      <c r="A637" s="4">
        <v>22862952</v>
      </c>
      <c r="B637" s="1" t="s">
        <v>961</v>
      </c>
      <c r="C637" s="4">
        <v>2012</v>
      </c>
      <c r="D637" s="5" t="s">
        <v>962</v>
      </c>
      <c r="E637" s="3" t="s">
        <v>580</v>
      </c>
      <c r="F637" s="3" t="s">
        <v>29</v>
      </c>
      <c r="G637">
        <v>0</v>
      </c>
    </row>
    <row r="638" spans="1:7" ht="16">
      <c r="A638" s="4">
        <v>22801446</v>
      </c>
      <c r="B638" s="1" t="s">
        <v>2202</v>
      </c>
      <c r="C638" s="4">
        <v>2012</v>
      </c>
      <c r="D638" s="5" t="s">
        <v>2203</v>
      </c>
      <c r="E638" s="3" t="s">
        <v>580</v>
      </c>
      <c r="F638" s="3" t="s">
        <v>33</v>
      </c>
      <c r="G638">
        <v>0</v>
      </c>
    </row>
    <row r="639" spans="1:7" ht="16">
      <c r="A639" s="4">
        <v>22710317</v>
      </c>
      <c r="B639" s="1" t="s">
        <v>2322</v>
      </c>
      <c r="C639" s="4">
        <v>2012</v>
      </c>
      <c r="D639" s="5" t="s">
        <v>2423</v>
      </c>
      <c r="E639" s="3" t="s">
        <v>580</v>
      </c>
      <c r="F639" s="3" t="s">
        <v>38</v>
      </c>
      <c r="G639">
        <v>0</v>
      </c>
    </row>
    <row r="640" spans="1:7" ht="16">
      <c r="A640" s="4">
        <v>22705183</v>
      </c>
      <c r="B640" s="1" t="s">
        <v>1125</v>
      </c>
      <c r="C640" s="4">
        <v>2013</v>
      </c>
      <c r="D640" s="5" t="s">
        <v>1126</v>
      </c>
      <c r="E640" s="3" t="s">
        <v>580</v>
      </c>
      <c r="F640" s="3" t="s">
        <v>29</v>
      </c>
      <c r="G640">
        <v>0</v>
      </c>
    </row>
    <row r="641" spans="1:7" ht="16">
      <c r="A641" s="4">
        <v>22701693</v>
      </c>
      <c r="B641" s="1" t="s">
        <v>1784</v>
      </c>
      <c r="C641" s="4">
        <v>2012</v>
      </c>
      <c r="D641" s="5" t="s">
        <v>1785</v>
      </c>
      <c r="E641" s="3" t="s">
        <v>580</v>
      </c>
      <c r="F641" s="3" t="s">
        <v>33</v>
      </c>
      <c r="G641">
        <v>0</v>
      </c>
    </row>
    <row r="642" spans="1:7" ht="16">
      <c r="A642" s="4">
        <v>22691524</v>
      </c>
      <c r="B642" s="1" t="s">
        <v>963</v>
      </c>
      <c r="C642" s="4">
        <v>2012</v>
      </c>
      <c r="D642" s="5" t="s">
        <v>964</v>
      </c>
      <c r="E642" s="3" t="s">
        <v>580</v>
      </c>
      <c r="F642" s="3" t="s">
        <v>29</v>
      </c>
      <c r="G642">
        <v>0</v>
      </c>
    </row>
    <row r="643" spans="1:7" ht="16">
      <c r="A643" s="4">
        <v>22687802</v>
      </c>
      <c r="B643" s="1" t="s">
        <v>1071</v>
      </c>
      <c r="C643" s="4">
        <v>2012</v>
      </c>
      <c r="D643" s="5" t="s">
        <v>1072</v>
      </c>
      <c r="E643" s="3" t="s">
        <v>580</v>
      </c>
      <c r="F643" s="3" t="s">
        <v>29</v>
      </c>
      <c r="G643">
        <v>0</v>
      </c>
    </row>
    <row r="644" spans="1:7" ht="16">
      <c r="A644" s="4">
        <v>22616807</v>
      </c>
      <c r="B644" s="1" t="s">
        <v>1224</v>
      </c>
      <c r="C644" s="4">
        <v>2012</v>
      </c>
      <c r="D644" s="5" t="s">
        <v>1225</v>
      </c>
      <c r="E644" s="3" t="s">
        <v>580</v>
      </c>
      <c r="F644" s="3" t="s">
        <v>42</v>
      </c>
      <c r="G644">
        <v>0</v>
      </c>
    </row>
    <row r="645" spans="1:7" ht="16">
      <c r="A645" s="4">
        <v>22576078</v>
      </c>
      <c r="B645" s="1" t="s">
        <v>763</v>
      </c>
      <c r="C645" s="4">
        <v>2012</v>
      </c>
      <c r="D645" s="5" t="s">
        <v>764</v>
      </c>
      <c r="E645" s="3" t="s">
        <v>580</v>
      </c>
      <c r="F645" s="3" t="s">
        <v>29</v>
      </c>
      <c r="G645">
        <v>0</v>
      </c>
    </row>
    <row r="646" spans="1:7" ht="16">
      <c r="A646" s="4">
        <v>22542037</v>
      </c>
      <c r="B646" s="1" t="s">
        <v>2619</v>
      </c>
      <c r="C646" s="4">
        <v>2012</v>
      </c>
      <c r="D646" s="5" t="s">
        <v>2620</v>
      </c>
      <c r="E646" s="3" t="s">
        <v>580</v>
      </c>
      <c r="F646" s="3" t="s">
        <v>38</v>
      </c>
      <c r="G646">
        <v>0</v>
      </c>
    </row>
    <row r="647" spans="1:7" ht="16">
      <c r="A647" s="4">
        <v>22554258</v>
      </c>
      <c r="B647" s="1" t="s">
        <v>951</v>
      </c>
      <c r="C647" s="4">
        <v>2012</v>
      </c>
      <c r="D647" s="5" t="s">
        <v>952</v>
      </c>
      <c r="E647" s="3" t="s">
        <v>580</v>
      </c>
      <c r="F647" s="3" t="s">
        <v>29</v>
      </c>
      <c r="G647">
        <v>0</v>
      </c>
    </row>
    <row r="648" spans="1:7" ht="16">
      <c r="A648" s="4">
        <v>22552456</v>
      </c>
      <c r="B648" s="1" t="s">
        <v>1379</v>
      </c>
      <c r="C648" s="4">
        <v>2012</v>
      </c>
      <c r="D648" s="5" t="s">
        <v>1380</v>
      </c>
      <c r="E648" s="3" t="s">
        <v>580</v>
      </c>
      <c r="F648" s="3" t="s">
        <v>42</v>
      </c>
      <c r="G648">
        <v>0</v>
      </c>
    </row>
    <row r="649" spans="1:7" ht="16">
      <c r="A649" s="4">
        <v>22524157</v>
      </c>
      <c r="B649" s="1" t="s">
        <v>2190</v>
      </c>
      <c r="C649" s="4">
        <v>2012</v>
      </c>
      <c r="D649" s="5" t="s">
        <v>2191</v>
      </c>
      <c r="E649" s="3" t="s">
        <v>580</v>
      </c>
      <c r="F649" s="3" t="s">
        <v>33</v>
      </c>
      <c r="G649">
        <v>0</v>
      </c>
    </row>
    <row r="650" spans="1:7" ht="16">
      <c r="A650" s="4">
        <v>22497528</v>
      </c>
      <c r="B650" s="1" t="s">
        <v>2521</v>
      </c>
      <c r="C650" s="4">
        <v>2012</v>
      </c>
      <c r="D650" s="5" t="s">
        <v>2522</v>
      </c>
      <c r="E650" s="3" t="s">
        <v>580</v>
      </c>
      <c r="F650" s="3" t="s">
        <v>38</v>
      </c>
      <c r="G650">
        <v>0</v>
      </c>
    </row>
    <row r="651" spans="1:7" ht="16">
      <c r="A651" s="4">
        <v>22421649</v>
      </c>
      <c r="B651" s="1" t="s">
        <v>1001</v>
      </c>
      <c r="C651" s="4">
        <v>2012</v>
      </c>
      <c r="D651" s="5" t="s">
        <v>1002</v>
      </c>
      <c r="E651" s="3" t="s">
        <v>580</v>
      </c>
      <c r="F651" s="3" t="s">
        <v>29</v>
      </c>
      <c r="G651">
        <v>0</v>
      </c>
    </row>
    <row r="652" spans="1:7" ht="16">
      <c r="A652" s="4">
        <v>22415068</v>
      </c>
      <c r="B652" s="1" t="s">
        <v>903</v>
      </c>
      <c r="C652" s="4">
        <v>2012</v>
      </c>
      <c r="D652" s="5" t="s">
        <v>904</v>
      </c>
      <c r="E652" s="3" t="s">
        <v>580</v>
      </c>
      <c r="F652" s="3" t="s">
        <v>29</v>
      </c>
      <c r="G652">
        <v>0</v>
      </c>
    </row>
    <row r="653" spans="1:7" ht="16">
      <c r="A653" s="4">
        <v>22388278</v>
      </c>
      <c r="B653" s="1" t="s">
        <v>1087</v>
      </c>
      <c r="C653" s="4">
        <v>2012</v>
      </c>
      <c r="D653" s="5" t="s">
        <v>1088</v>
      </c>
      <c r="E653" s="3" t="s">
        <v>580</v>
      </c>
      <c r="F653" s="3" t="s">
        <v>29</v>
      </c>
      <c r="G653">
        <v>0</v>
      </c>
    </row>
    <row r="654" spans="1:7" ht="16">
      <c r="A654" s="4">
        <v>22372783</v>
      </c>
      <c r="B654" s="1" t="s">
        <v>2226</v>
      </c>
      <c r="C654" s="4">
        <v>2012</v>
      </c>
      <c r="D654" s="5" t="s">
        <v>2227</v>
      </c>
      <c r="E654" s="3" t="s">
        <v>580</v>
      </c>
      <c r="F654" s="3" t="s">
        <v>33</v>
      </c>
      <c r="G654">
        <v>0</v>
      </c>
    </row>
    <row r="655" spans="1:7" ht="16">
      <c r="A655" s="4">
        <v>22357271</v>
      </c>
      <c r="B655" s="1" t="s">
        <v>2025</v>
      </c>
      <c r="C655" s="4">
        <v>2012</v>
      </c>
      <c r="D655" s="5" t="s">
        <v>2026</v>
      </c>
      <c r="E655" s="3" t="s">
        <v>580</v>
      </c>
      <c r="F655" s="3" t="s">
        <v>33</v>
      </c>
      <c r="G655">
        <v>0</v>
      </c>
    </row>
    <row r="656" spans="1:7" ht="16">
      <c r="A656" s="4">
        <v>22356254</v>
      </c>
      <c r="B656" s="1" t="s">
        <v>2285</v>
      </c>
      <c r="C656" s="4">
        <v>2012</v>
      </c>
      <c r="D656" s="5" t="s">
        <v>2286</v>
      </c>
      <c r="E656" s="3" t="s">
        <v>580</v>
      </c>
      <c r="F656" s="3" t="s">
        <v>38</v>
      </c>
      <c r="G656">
        <v>0</v>
      </c>
    </row>
    <row r="657" spans="1:7" ht="16">
      <c r="A657" s="4">
        <v>22321264</v>
      </c>
      <c r="B657" s="1" t="s">
        <v>1590</v>
      </c>
      <c r="C657" s="4">
        <v>2012</v>
      </c>
      <c r="D657" s="5" t="s">
        <v>2330</v>
      </c>
      <c r="E657" s="3" t="s">
        <v>580</v>
      </c>
      <c r="F657" s="3" t="s">
        <v>38</v>
      </c>
      <c r="G657">
        <v>0</v>
      </c>
    </row>
    <row r="658" spans="1:7" ht="16">
      <c r="A658" s="4">
        <v>22301197</v>
      </c>
      <c r="B658" s="1" t="s">
        <v>1371</v>
      </c>
      <c r="C658" s="4">
        <v>2012</v>
      </c>
      <c r="D658" s="5" t="s">
        <v>1372</v>
      </c>
      <c r="E658" s="3" t="s">
        <v>580</v>
      </c>
      <c r="F658" s="3" t="s">
        <v>42</v>
      </c>
      <c r="G658">
        <v>0</v>
      </c>
    </row>
    <row r="659" spans="1:7" ht="16">
      <c r="A659" s="4">
        <v>22278837</v>
      </c>
      <c r="B659" s="1" t="s">
        <v>1798</v>
      </c>
      <c r="C659" s="4">
        <v>2012</v>
      </c>
      <c r="D659" s="5" t="s">
        <v>1799</v>
      </c>
      <c r="E659" s="3" t="s">
        <v>580</v>
      </c>
      <c r="F659" s="3" t="s">
        <v>33</v>
      </c>
      <c r="G659">
        <v>0</v>
      </c>
    </row>
    <row r="660" spans="1:7" ht="16">
      <c r="A660" s="4">
        <v>22246831</v>
      </c>
      <c r="B660" s="1" t="s">
        <v>1315</v>
      </c>
      <c r="C660" s="4">
        <v>2012</v>
      </c>
      <c r="D660" s="5" t="s">
        <v>1316</v>
      </c>
      <c r="E660" s="3" t="s">
        <v>580</v>
      </c>
      <c r="F660" s="3" t="s">
        <v>42</v>
      </c>
      <c r="G660">
        <v>0</v>
      </c>
    </row>
    <row r="661" spans="1:7" ht="16">
      <c r="A661" s="4">
        <v>22245897</v>
      </c>
      <c r="B661" s="1" t="s">
        <v>1305</v>
      </c>
      <c r="C661" s="4">
        <v>2012</v>
      </c>
      <c r="D661" s="5" t="s">
        <v>1306</v>
      </c>
      <c r="E661" s="3" t="s">
        <v>580</v>
      </c>
      <c r="F661" s="3" t="s">
        <v>42</v>
      </c>
      <c r="G661">
        <v>0</v>
      </c>
    </row>
    <row r="662" spans="1:7" ht="16">
      <c r="A662" s="4">
        <v>22178541</v>
      </c>
      <c r="B662" s="1" t="s">
        <v>1325</v>
      </c>
      <c r="C662" s="4">
        <v>2012</v>
      </c>
      <c r="D662" s="5" t="s">
        <v>1326</v>
      </c>
      <c r="E662" s="3" t="s">
        <v>580</v>
      </c>
      <c r="F662" s="3" t="s">
        <v>42</v>
      </c>
      <c r="G662">
        <v>0</v>
      </c>
    </row>
    <row r="663" spans="1:7" ht="16">
      <c r="A663" s="4">
        <v>22093262</v>
      </c>
      <c r="B663" s="1" t="s">
        <v>743</v>
      </c>
      <c r="C663" s="4">
        <v>2011</v>
      </c>
      <c r="D663" s="5" t="s">
        <v>744</v>
      </c>
      <c r="E663" s="3" t="s">
        <v>580</v>
      </c>
      <c r="F663" s="3" t="s">
        <v>29</v>
      </c>
      <c r="G663">
        <v>0</v>
      </c>
    </row>
    <row r="664" spans="1:7" ht="16">
      <c r="A664" s="4">
        <v>22052666</v>
      </c>
      <c r="B664" s="1" t="s">
        <v>2297</v>
      </c>
      <c r="C664" s="4">
        <v>2012</v>
      </c>
      <c r="D664" s="5" t="s">
        <v>2298</v>
      </c>
      <c r="E664" s="3" t="s">
        <v>580</v>
      </c>
      <c r="F664" s="3" t="s">
        <v>38</v>
      </c>
      <c r="G664">
        <v>0</v>
      </c>
    </row>
    <row r="665" spans="1:7" ht="16">
      <c r="A665" s="4">
        <v>22027897</v>
      </c>
      <c r="B665" s="1" t="s">
        <v>1510</v>
      </c>
      <c r="C665" s="4">
        <v>2011</v>
      </c>
      <c r="D665" s="5" t="s">
        <v>1511</v>
      </c>
      <c r="E665" s="3" t="s">
        <v>580</v>
      </c>
      <c r="F665" s="3" t="s">
        <v>57</v>
      </c>
      <c r="G665">
        <v>0</v>
      </c>
    </row>
    <row r="666" spans="1:7" ht="16">
      <c r="A666" s="4">
        <v>21925094</v>
      </c>
      <c r="B666" s="1" t="s">
        <v>2523</v>
      </c>
      <c r="C666" s="4">
        <v>2011</v>
      </c>
      <c r="D666" s="5" t="s">
        <v>2524</v>
      </c>
      <c r="E666" s="3" t="s">
        <v>580</v>
      </c>
      <c r="F666" s="3" t="s">
        <v>38</v>
      </c>
      <c r="G666">
        <v>0</v>
      </c>
    </row>
    <row r="667" spans="1:7" ht="16">
      <c r="A667" s="4">
        <v>21898692</v>
      </c>
      <c r="B667" s="1" t="s">
        <v>2574</v>
      </c>
      <c r="C667" s="4">
        <v>2011</v>
      </c>
      <c r="D667" s="5" t="s">
        <v>2575</v>
      </c>
      <c r="E667" s="3" t="s">
        <v>580</v>
      </c>
      <c r="F667" s="3" t="s">
        <v>38</v>
      </c>
      <c r="G667">
        <v>0</v>
      </c>
    </row>
    <row r="668" spans="1:7" ht="16">
      <c r="A668" s="4">
        <v>21883755</v>
      </c>
      <c r="B668" s="1" t="s">
        <v>789</v>
      </c>
      <c r="C668" s="4">
        <v>2011</v>
      </c>
      <c r="D668" s="5" t="s">
        <v>790</v>
      </c>
      <c r="E668" s="3" t="s">
        <v>580</v>
      </c>
      <c r="F668" s="3" t="s">
        <v>29</v>
      </c>
      <c r="G668">
        <v>0</v>
      </c>
    </row>
    <row r="669" spans="1:7" ht="16">
      <c r="A669" s="4">
        <v>21858750</v>
      </c>
      <c r="B669" s="1" t="s">
        <v>2532</v>
      </c>
      <c r="C669" s="4">
        <v>2011</v>
      </c>
      <c r="D669" s="5" t="s">
        <v>2533</v>
      </c>
      <c r="E669" s="3" t="s">
        <v>580</v>
      </c>
      <c r="F669" s="3" t="s">
        <v>38</v>
      </c>
      <c r="G669">
        <v>0</v>
      </c>
    </row>
    <row r="670" spans="1:7" ht="16">
      <c r="A670" s="4">
        <v>21843348</v>
      </c>
      <c r="B670" s="1" t="s">
        <v>1238</v>
      </c>
      <c r="C670" s="4">
        <v>2011</v>
      </c>
      <c r="D670" s="5" t="s">
        <v>1239</v>
      </c>
      <c r="E670" s="3" t="s">
        <v>580</v>
      </c>
      <c r="F670" s="3" t="s">
        <v>42</v>
      </c>
      <c r="G670">
        <v>0</v>
      </c>
    </row>
    <row r="671" spans="1:7" ht="16">
      <c r="A671" s="4">
        <v>21811747</v>
      </c>
      <c r="B671" s="1" t="s">
        <v>1246</v>
      </c>
      <c r="C671" s="4">
        <v>2011</v>
      </c>
      <c r="D671" s="5" t="s">
        <v>1247</v>
      </c>
      <c r="E671" s="3" t="s">
        <v>580</v>
      </c>
      <c r="F671" s="3" t="s">
        <v>42</v>
      </c>
      <c r="G671">
        <v>0</v>
      </c>
    </row>
    <row r="672" spans="1:7" ht="16">
      <c r="A672" s="4">
        <v>21808857</v>
      </c>
      <c r="B672" s="1" t="s">
        <v>1251</v>
      </c>
      <c r="C672" s="4">
        <v>2011</v>
      </c>
      <c r="D672" s="5" t="s">
        <v>1252</v>
      </c>
      <c r="E672" s="3" t="s">
        <v>580</v>
      </c>
      <c r="F672" s="3" t="s">
        <v>42</v>
      </c>
      <c r="G672">
        <v>0</v>
      </c>
    </row>
    <row r="673" spans="1:7" ht="16">
      <c r="A673" s="4">
        <v>21805894</v>
      </c>
      <c r="B673" s="1" t="s">
        <v>2452</v>
      </c>
      <c r="C673" s="4">
        <v>2011</v>
      </c>
      <c r="D673" s="5" t="s">
        <v>2453</v>
      </c>
      <c r="E673" s="3" t="s">
        <v>580</v>
      </c>
      <c r="F673" s="3" t="s">
        <v>38</v>
      </c>
      <c r="G673">
        <v>0</v>
      </c>
    </row>
    <row r="674" spans="1:7" ht="16">
      <c r="A674" s="4">
        <v>21782505</v>
      </c>
      <c r="B674" s="1" t="s">
        <v>2299</v>
      </c>
      <c r="C674" s="4">
        <v>2011</v>
      </c>
      <c r="D674" s="5" t="s">
        <v>2300</v>
      </c>
      <c r="E674" s="3" t="s">
        <v>580</v>
      </c>
      <c r="F674" s="3" t="s">
        <v>38</v>
      </c>
      <c r="G674">
        <v>0</v>
      </c>
    </row>
    <row r="675" spans="1:7" ht="16">
      <c r="A675" s="4">
        <v>21757415</v>
      </c>
      <c r="B675" s="1" t="s">
        <v>2610</v>
      </c>
      <c r="C675" s="4">
        <v>2012</v>
      </c>
      <c r="D675" s="5" t="s">
        <v>2611</v>
      </c>
      <c r="E675" s="3" t="s">
        <v>580</v>
      </c>
      <c r="F675" s="3" t="s">
        <v>38</v>
      </c>
      <c r="G675">
        <v>0</v>
      </c>
    </row>
    <row r="676" spans="1:7" ht="16">
      <c r="A676" s="4">
        <v>21748845</v>
      </c>
      <c r="B676" s="1" t="s">
        <v>2561</v>
      </c>
      <c r="C676" s="4">
        <v>2011</v>
      </c>
      <c r="D676" s="5" t="s">
        <v>2562</v>
      </c>
      <c r="E676" s="3" t="s">
        <v>580</v>
      </c>
      <c r="F676" s="3" t="s">
        <v>38</v>
      </c>
      <c r="G676">
        <v>0</v>
      </c>
    </row>
    <row r="677" spans="1:7" ht="16">
      <c r="A677" s="4">
        <v>21720806</v>
      </c>
      <c r="B677" s="1" t="s">
        <v>2572</v>
      </c>
      <c r="C677" s="4">
        <v>2011</v>
      </c>
      <c r="D677" s="5" t="s">
        <v>2573</v>
      </c>
      <c r="E677" s="3" t="s">
        <v>580</v>
      </c>
      <c r="F677" s="3" t="s">
        <v>38</v>
      </c>
      <c r="G677">
        <v>0</v>
      </c>
    </row>
    <row r="678" spans="1:7" ht="16">
      <c r="A678" s="4">
        <v>21629177</v>
      </c>
      <c r="B678" s="1" t="s">
        <v>1590</v>
      </c>
      <c r="C678" s="4">
        <v>2011</v>
      </c>
      <c r="D678" s="5" t="s">
        <v>1591</v>
      </c>
      <c r="E678" s="3" t="s">
        <v>580</v>
      </c>
      <c r="F678" s="3" t="s">
        <v>65</v>
      </c>
      <c r="G678">
        <v>0</v>
      </c>
    </row>
    <row r="679" spans="1:7" ht="16">
      <c r="A679" s="4">
        <v>21620128</v>
      </c>
      <c r="B679" s="1" t="s">
        <v>1385</v>
      </c>
      <c r="C679" s="4">
        <v>2011</v>
      </c>
      <c r="D679" s="5" t="s">
        <v>1386</v>
      </c>
      <c r="E679" s="3" t="s">
        <v>580</v>
      </c>
      <c r="F679" s="3" t="s">
        <v>42</v>
      </c>
      <c r="G679">
        <v>0</v>
      </c>
    </row>
    <row r="680" spans="1:7" ht="16">
      <c r="A680" s="4">
        <v>21620083</v>
      </c>
      <c r="B680" s="1" t="s">
        <v>971</v>
      </c>
      <c r="C680" s="4">
        <v>2011</v>
      </c>
      <c r="D680" s="5" t="s">
        <v>972</v>
      </c>
      <c r="E680" s="3" t="s">
        <v>580</v>
      </c>
      <c r="F680" s="3" t="s">
        <v>29</v>
      </c>
      <c r="G680">
        <v>0</v>
      </c>
    </row>
    <row r="681" spans="1:7" ht="16">
      <c r="A681" s="4">
        <v>21604575</v>
      </c>
      <c r="B681" s="1" t="s">
        <v>598</v>
      </c>
      <c r="C681" s="4">
        <v>2010</v>
      </c>
      <c r="D681" s="5" t="s">
        <v>599</v>
      </c>
      <c r="E681" s="3" t="s">
        <v>580</v>
      </c>
      <c r="F681" s="3" t="s">
        <v>45</v>
      </c>
      <c r="G681">
        <v>0</v>
      </c>
    </row>
    <row r="682" spans="1:7" ht="16">
      <c r="A682" s="4">
        <v>21565944</v>
      </c>
      <c r="B682" s="1" t="s">
        <v>1592</v>
      </c>
      <c r="C682" s="4">
        <v>2011</v>
      </c>
      <c r="D682" s="5" t="s">
        <v>1593</v>
      </c>
      <c r="E682" s="3" t="s">
        <v>580</v>
      </c>
      <c r="F682" s="3" t="s">
        <v>65</v>
      </c>
      <c r="G682">
        <v>0</v>
      </c>
    </row>
    <row r="683" spans="1:7" ht="16">
      <c r="A683" s="4">
        <v>21488335</v>
      </c>
      <c r="B683" s="1" t="s">
        <v>2344</v>
      </c>
      <c r="C683" s="4">
        <v>2010</v>
      </c>
      <c r="D683" s="5" t="s">
        <v>2345</v>
      </c>
      <c r="E683" s="3" t="s">
        <v>580</v>
      </c>
      <c r="F683" s="3" t="s">
        <v>38</v>
      </c>
      <c r="G683">
        <v>0</v>
      </c>
    </row>
    <row r="684" spans="1:7" ht="16">
      <c r="A684" s="4">
        <v>21400833</v>
      </c>
      <c r="B684" s="1" t="s">
        <v>578</v>
      </c>
      <c r="C684" s="4">
        <v>2011</v>
      </c>
      <c r="D684" s="5" t="s">
        <v>579</v>
      </c>
      <c r="E684" s="3" t="s">
        <v>580</v>
      </c>
      <c r="F684" s="3" t="s">
        <v>45</v>
      </c>
      <c r="G684">
        <v>0</v>
      </c>
    </row>
    <row r="685" spans="1:7" ht="16">
      <c r="A685" s="4">
        <v>21397473</v>
      </c>
      <c r="B685" s="1" t="s">
        <v>1007</v>
      </c>
      <c r="C685" s="4">
        <v>2011</v>
      </c>
      <c r="D685" s="5" t="s">
        <v>1008</v>
      </c>
      <c r="E685" s="3" t="s">
        <v>580</v>
      </c>
      <c r="F685" s="3" t="s">
        <v>29</v>
      </c>
      <c r="G685">
        <v>0</v>
      </c>
    </row>
    <row r="686" spans="1:7" ht="16">
      <c r="A686" s="4">
        <v>21376662</v>
      </c>
      <c r="B686" s="1" t="s">
        <v>1895</v>
      </c>
      <c r="C686" s="4">
        <v>2011</v>
      </c>
      <c r="D686" s="5" t="s">
        <v>1896</v>
      </c>
      <c r="E686" s="3" t="s">
        <v>580</v>
      </c>
      <c r="F686" s="3" t="s">
        <v>33</v>
      </c>
      <c r="G686">
        <v>0</v>
      </c>
    </row>
    <row r="687" spans="1:7" ht="16">
      <c r="A687" s="4">
        <v>21358680</v>
      </c>
      <c r="B687" s="1" t="s">
        <v>1091</v>
      </c>
      <c r="C687" s="4">
        <v>2012</v>
      </c>
      <c r="D687" s="5" t="s">
        <v>1092</v>
      </c>
      <c r="E687" s="3" t="s">
        <v>580</v>
      </c>
      <c r="F687" s="3" t="s">
        <v>29</v>
      </c>
      <c r="G687">
        <v>0</v>
      </c>
    </row>
    <row r="688" spans="1:7" ht="16">
      <c r="A688" s="4">
        <v>21328386</v>
      </c>
      <c r="B688" s="1" t="s">
        <v>2174</v>
      </c>
      <c r="C688" s="4">
        <v>2011</v>
      </c>
      <c r="D688" s="5" t="s">
        <v>2175</v>
      </c>
      <c r="E688" s="3" t="s">
        <v>580</v>
      </c>
      <c r="F688" s="3" t="s">
        <v>33</v>
      </c>
      <c r="G688">
        <v>0</v>
      </c>
    </row>
    <row r="689" spans="1:7" ht="16">
      <c r="A689" s="4">
        <v>21300108</v>
      </c>
      <c r="B689" s="1" t="s">
        <v>2218</v>
      </c>
      <c r="C689" s="4">
        <v>2011</v>
      </c>
      <c r="D689" s="5" t="s">
        <v>2219</v>
      </c>
      <c r="E689" s="3" t="s">
        <v>580</v>
      </c>
      <c r="F689" s="3" t="s">
        <v>33</v>
      </c>
      <c r="G689">
        <v>0</v>
      </c>
    </row>
    <row r="690" spans="1:7" ht="16">
      <c r="A690" s="4">
        <v>21287317</v>
      </c>
      <c r="B690" s="1" t="s">
        <v>747</v>
      </c>
      <c r="C690" s="4">
        <v>2011</v>
      </c>
      <c r="D690" s="5" t="s">
        <v>748</v>
      </c>
      <c r="E690" s="3" t="s">
        <v>580</v>
      </c>
      <c r="F690" s="3" t="s">
        <v>29</v>
      </c>
      <c r="G690">
        <v>0</v>
      </c>
    </row>
    <row r="691" spans="1:7" ht="16">
      <c r="A691" s="4">
        <v>21282374</v>
      </c>
      <c r="B691" s="1" t="s">
        <v>2051</v>
      </c>
      <c r="C691" s="4">
        <v>2011</v>
      </c>
      <c r="D691" s="5" t="s">
        <v>2052</v>
      </c>
      <c r="E691" s="3" t="s">
        <v>580</v>
      </c>
      <c r="F691" s="3" t="s">
        <v>33</v>
      </c>
      <c r="G691">
        <v>0</v>
      </c>
    </row>
    <row r="692" spans="1:7" ht="16">
      <c r="A692" s="4">
        <v>21279280</v>
      </c>
      <c r="B692" s="1" t="s">
        <v>2536</v>
      </c>
      <c r="C692" s="4">
        <v>2010</v>
      </c>
      <c r="D692" s="5" t="s">
        <v>2537</v>
      </c>
      <c r="E692" s="3" t="s">
        <v>580</v>
      </c>
      <c r="F692" s="3" t="s">
        <v>38</v>
      </c>
      <c r="G692">
        <v>0</v>
      </c>
    </row>
    <row r="693" spans="1:7" ht="16">
      <c r="A693" s="4">
        <v>21254895</v>
      </c>
      <c r="B693" s="1" t="s">
        <v>1277</v>
      </c>
      <c r="C693" s="4">
        <v>2012</v>
      </c>
      <c r="D693" s="5" t="s">
        <v>1278</v>
      </c>
      <c r="E693" s="3" t="s">
        <v>580</v>
      </c>
      <c r="F693" s="3" t="s">
        <v>42</v>
      </c>
      <c r="G693">
        <v>0</v>
      </c>
    </row>
    <row r="694" spans="1:7" ht="16">
      <c r="A694" s="4">
        <v>21236397</v>
      </c>
      <c r="B694" s="1" t="s">
        <v>1525</v>
      </c>
      <c r="C694" s="4">
        <v>2011</v>
      </c>
      <c r="D694" s="5" t="s">
        <v>1526</v>
      </c>
      <c r="E694" s="3" t="s">
        <v>580</v>
      </c>
      <c r="F694" s="3" t="s">
        <v>57</v>
      </c>
      <c r="G694">
        <v>0</v>
      </c>
    </row>
    <row r="695" spans="1:7" ht="16">
      <c r="A695" s="4">
        <v>21166693</v>
      </c>
      <c r="B695" s="1" t="s">
        <v>2154</v>
      </c>
      <c r="C695" s="4">
        <v>2010</v>
      </c>
      <c r="D695" s="5" t="s">
        <v>2155</v>
      </c>
      <c r="E695" s="3" t="s">
        <v>580</v>
      </c>
      <c r="F695" s="3" t="s">
        <v>33</v>
      </c>
      <c r="G695">
        <v>0</v>
      </c>
    </row>
    <row r="696" spans="1:7" ht="16">
      <c r="A696" s="4">
        <v>21161019</v>
      </c>
      <c r="B696" s="1" t="s">
        <v>2592</v>
      </c>
      <c r="C696" s="4">
        <v>2010</v>
      </c>
      <c r="D696" s="5" t="s">
        <v>2593</v>
      </c>
      <c r="E696" s="3" t="s">
        <v>580</v>
      </c>
      <c r="F696" s="3" t="s">
        <v>38</v>
      </c>
      <c r="G696">
        <v>0</v>
      </c>
    </row>
    <row r="697" spans="1:7" ht="16">
      <c r="A697" s="4">
        <v>21088083</v>
      </c>
      <c r="B697" s="1" t="s">
        <v>815</v>
      </c>
      <c r="C697" s="4">
        <v>2010</v>
      </c>
      <c r="D697" s="5" t="s">
        <v>816</v>
      </c>
      <c r="E697" s="3" t="s">
        <v>580</v>
      </c>
      <c r="F697" s="3" t="s">
        <v>29</v>
      </c>
      <c r="G697">
        <v>0</v>
      </c>
    </row>
    <row r="698" spans="1:7" ht="16">
      <c r="A698" s="4">
        <v>21064150</v>
      </c>
      <c r="B698" s="1" t="s">
        <v>835</v>
      </c>
      <c r="C698" s="4">
        <v>2011</v>
      </c>
      <c r="D698" s="5" t="s">
        <v>836</v>
      </c>
      <c r="E698" s="3" t="s">
        <v>580</v>
      </c>
      <c r="F698" s="3" t="s">
        <v>29</v>
      </c>
      <c r="G698">
        <v>0</v>
      </c>
    </row>
    <row r="699" spans="1:7" ht="16">
      <c r="A699" s="4">
        <v>21037551</v>
      </c>
      <c r="B699" s="1" t="s">
        <v>2559</v>
      </c>
      <c r="C699" s="4">
        <v>2010</v>
      </c>
      <c r="D699" s="5" t="s">
        <v>2560</v>
      </c>
      <c r="E699" s="3" t="s">
        <v>580</v>
      </c>
      <c r="F699" s="3" t="s">
        <v>38</v>
      </c>
      <c r="G699">
        <v>0</v>
      </c>
    </row>
    <row r="700" spans="1:7" ht="16">
      <c r="A700" s="4">
        <v>20956957</v>
      </c>
      <c r="B700" s="1" t="s">
        <v>1520</v>
      </c>
      <c r="C700" s="4">
        <v>2011</v>
      </c>
      <c r="D700" s="5" t="s">
        <v>1521</v>
      </c>
      <c r="E700" s="3" t="s">
        <v>580</v>
      </c>
      <c r="F700" s="3" t="s">
        <v>57</v>
      </c>
      <c r="G700">
        <v>0</v>
      </c>
    </row>
    <row r="701" spans="1:7" ht="16">
      <c r="A701" s="4">
        <v>20881490</v>
      </c>
      <c r="B701" s="1" t="s">
        <v>1513</v>
      </c>
      <c r="C701" s="4">
        <v>2010</v>
      </c>
      <c r="D701" s="5" t="s">
        <v>2444</v>
      </c>
      <c r="E701" s="3" t="s">
        <v>580</v>
      </c>
      <c r="F701" s="3" t="s">
        <v>38</v>
      </c>
      <c r="G701">
        <v>0</v>
      </c>
    </row>
    <row r="702" spans="1:7" ht="16">
      <c r="A702" s="4">
        <v>20872717</v>
      </c>
      <c r="B702" s="1" t="s">
        <v>2364</v>
      </c>
      <c r="C702" s="4">
        <v>2010</v>
      </c>
      <c r="D702" s="5" t="s">
        <v>2365</v>
      </c>
      <c r="E702" s="3" t="s">
        <v>580</v>
      </c>
      <c r="F702" s="3" t="s">
        <v>38</v>
      </c>
      <c r="G702">
        <v>0</v>
      </c>
    </row>
    <row r="703" spans="1:7" ht="16">
      <c r="A703" s="4">
        <v>20853075</v>
      </c>
      <c r="B703" s="1" t="s">
        <v>2104</v>
      </c>
      <c r="C703" s="4">
        <v>2011</v>
      </c>
      <c r="D703" s="5" t="s">
        <v>2105</v>
      </c>
      <c r="E703" s="3" t="s">
        <v>580</v>
      </c>
      <c r="F703" s="3" t="s">
        <v>33</v>
      </c>
      <c r="G703">
        <v>0</v>
      </c>
    </row>
    <row r="704" spans="1:7" ht="16">
      <c r="A704" s="4">
        <v>20832191</v>
      </c>
      <c r="B704" s="1" t="s">
        <v>2299</v>
      </c>
      <c r="C704" s="4">
        <v>2011</v>
      </c>
      <c r="D704" s="5" t="s">
        <v>2456</v>
      </c>
      <c r="E704" s="3" t="s">
        <v>580</v>
      </c>
      <c r="F704" s="3" t="s">
        <v>38</v>
      </c>
      <c r="G704">
        <v>0</v>
      </c>
    </row>
    <row r="705" spans="1:7" ht="16">
      <c r="A705" s="4">
        <v>20714035</v>
      </c>
      <c r="B705" s="1" t="s">
        <v>606</v>
      </c>
      <c r="C705" s="4">
        <v>2010</v>
      </c>
      <c r="D705" s="5" t="s">
        <v>2315</v>
      </c>
      <c r="E705" s="3" t="s">
        <v>580</v>
      </c>
      <c r="F705" s="3" t="s">
        <v>38</v>
      </c>
      <c r="G705">
        <v>0</v>
      </c>
    </row>
    <row r="706" spans="1:7" ht="16">
      <c r="A706" s="4">
        <v>20592533</v>
      </c>
      <c r="B706" s="1" t="s">
        <v>2320</v>
      </c>
      <c r="C706" s="4">
        <v>2010</v>
      </c>
      <c r="D706" s="5" t="s">
        <v>2321</v>
      </c>
      <c r="E706" s="3" t="s">
        <v>580</v>
      </c>
      <c r="F706" s="3" t="s">
        <v>38</v>
      </c>
      <c r="G706">
        <v>0</v>
      </c>
    </row>
    <row r="707" spans="1:7" ht="16">
      <c r="A707" s="4">
        <v>20561301</v>
      </c>
      <c r="B707" s="1" t="s">
        <v>805</v>
      </c>
      <c r="C707" s="4">
        <v>2010</v>
      </c>
      <c r="D707" s="5" t="s">
        <v>806</v>
      </c>
      <c r="E707" s="3" t="s">
        <v>580</v>
      </c>
      <c r="F707" s="3" t="s">
        <v>29</v>
      </c>
      <c r="G707">
        <v>0</v>
      </c>
    </row>
    <row r="708" spans="1:7" ht="16">
      <c r="A708" s="4">
        <v>20534278</v>
      </c>
      <c r="B708" s="1" t="s">
        <v>1271</v>
      </c>
      <c r="C708" s="4">
        <v>2010</v>
      </c>
      <c r="D708" s="5" t="s">
        <v>1272</v>
      </c>
      <c r="E708" s="3" t="s">
        <v>580</v>
      </c>
      <c r="F708" s="3" t="s">
        <v>42</v>
      </c>
      <c r="G708">
        <v>0</v>
      </c>
    </row>
    <row r="709" spans="1:7" ht="16">
      <c r="A709" s="4">
        <v>20487415</v>
      </c>
      <c r="B709" s="1" t="s">
        <v>1163</v>
      </c>
      <c r="C709" s="4">
        <v>2010</v>
      </c>
      <c r="D709" s="5" t="s">
        <v>1164</v>
      </c>
      <c r="E709" s="3" t="s">
        <v>580</v>
      </c>
      <c r="F709" s="3" t="s">
        <v>29</v>
      </c>
      <c r="G709">
        <v>0</v>
      </c>
    </row>
    <row r="710" spans="1:7" ht="16">
      <c r="A710" s="4">
        <v>20487413</v>
      </c>
      <c r="B710" s="1" t="s">
        <v>785</v>
      </c>
      <c r="C710" s="4">
        <v>2010</v>
      </c>
      <c r="D710" s="5" t="s">
        <v>786</v>
      </c>
      <c r="E710" s="3" t="s">
        <v>580</v>
      </c>
      <c r="F710" s="3" t="s">
        <v>29</v>
      </c>
      <c r="G710">
        <v>0</v>
      </c>
    </row>
    <row r="711" spans="1:7" ht="16">
      <c r="A711" s="4">
        <v>20466275</v>
      </c>
      <c r="B711" s="1" t="s">
        <v>1525</v>
      </c>
      <c r="C711" s="4">
        <v>2010</v>
      </c>
      <c r="D711" s="5" t="s">
        <v>2451</v>
      </c>
      <c r="E711" s="3" t="s">
        <v>580</v>
      </c>
      <c r="F711" s="3" t="s">
        <v>38</v>
      </c>
      <c r="G711">
        <v>0</v>
      </c>
    </row>
    <row r="712" spans="1:7" ht="16">
      <c r="A712" s="4">
        <v>20466274</v>
      </c>
      <c r="B712" s="1" t="s">
        <v>2552</v>
      </c>
      <c r="C712" s="4">
        <v>2010</v>
      </c>
      <c r="D712" s="5" t="s">
        <v>2553</v>
      </c>
      <c r="E712" s="3" t="s">
        <v>580</v>
      </c>
      <c r="F712" s="3" t="s">
        <v>38</v>
      </c>
      <c r="G712">
        <v>0</v>
      </c>
    </row>
    <row r="713" spans="1:7" ht="16">
      <c r="A713" s="4">
        <v>22371761</v>
      </c>
      <c r="B713" s="1" t="s">
        <v>1149</v>
      </c>
      <c r="C713" s="4">
        <v>2010</v>
      </c>
      <c r="D713" s="5" t="s">
        <v>1150</v>
      </c>
      <c r="E713" s="3" t="s">
        <v>580</v>
      </c>
      <c r="F713" s="3" t="s">
        <v>29</v>
      </c>
      <c r="G713">
        <v>0</v>
      </c>
    </row>
    <row r="714" spans="1:7" ht="16">
      <c r="A714" s="4">
        <v>20414752</v>
      </c>
      <c r="B714" s="1" t="s">
        <v>1508</v>
      </c>
      <c r="C714" s="4">
        <v>2010</v>
      </c>
      <c r="D714" s="5" t="s">
        <v>2520</v>
      </c>
      <c r="E714" s="3" t="s">
        <v>580</v>
      </c>
      <c r="F714" s="3" t="s">
        <v>38</v>
      </c>
      <c r="G714">
        <v>0</v>
      </c>
    </row>
    <row r="715" spans="1:7" ht="16">
      <c r="A715" s="4">
        <v>20407819</v>
      </c>
      <c r="B715" s="1" t="s">
        <v>1234</v>
      </c>
      <c r="C715" s="4">
        <v>2010</v>
      </c>
      <c r="D715" s="5" t="s">
        <v>1235</v>
      </c>
      <c r="E715" s="3" t="s">
        <v>580</v>
      </c>
      <c r="F715" s="3" t="s">
        <v>42</v>
      </c>
      <c r="G715">
        <v>0</v>
      </c>
    </row>
    <row r="716" spans="1:7" ht="16">
      <c r="A716" s="4">
        <v>20404187</v>
      </c>
      <c r="B716" s="1" t="s">
        <v>1804</v>
      </c>
      <c r="C716" s="4">
        <v>2010</v>
      </c>
      <c r="D716" s="5" t="s">
        <v>1805</v>
      </c>
      <c r="E716" s="3" t="s">
        <v>580</v>
      </c>
      <c r="F716" s="3" t="s">
        <v>33</v>
      </c>
      <c r="G716">
        <v>0</v>
      </c>
    </row>
    <row r="717" spans="1:7" ht="16">
      <c r="A717" s="4">
        <v>20345999</v>
      </c>
      <c r="B717" s="1" t="s">
        <v>1995</v>
      </c>
      <c r="C717" s="4">
        <v>2010</v>
      </c>
      <c r="D717" s="5" t="s">
        <v>1996</v>
      </c>
      <c r="E717" s="3" t="s">
        <v>580</v>
      </c>
      <c r="F717" s="3" t="s">
        <v>33</v>
      </c>
      <c r="G717">
        <v>0</v>
      </c>
    </row>
    <row r="718" spans="1:7" ht="16">
      <c r="A718" s="4">
        <v>20331520</v>
      </c>
      <c r="B718" s="1" t="s">
        <v>989</v>
      </c>
      <c r="C718" s="4">
        <v>2011</v>
      </c>
      <c r="D718" s="5" t="s">
        <v>990</v>
      </c>
      <c r="E718" s="3" t="s">
        <v>580</v>
      </c>
      <c r="F718" s="3" t="s">
        <v>29</v>
      </c>
      <c r="G718">
        <v>0</v>
      </c>
    </row>
    <row r="719" spans="1:7" ht="16">
      <c r="A719" s="4">
        <v>20304745</v>
      </c>
      <c r="B719" s="1" t="s">
        <v>2288</v>
      </c>
      <c r="C719" s="4">
        <v>2010</v>
      </c>
      <c r="D719" s="5" t="s">
        <v>2289</v>
      </c>
      <c r="E719" s="3" t="s">
        <v>580</v>
      </c>
      <c r="F719" s="3" t="s">
        <v>38</v>
      </c>
      <c r="G719">
        <v>0</v>
      </c>
    </row>
    <row r="720" spans="1:7" ht="16">
      <c r="A720" s="4">
        <v>20211581</v>
      </c>
      <c r="B720" s="1" t="s">
        <v>1812</v>
      </c>
      <c r="C720" s="4">
        <v>2010</v>
      </c>
      <c r="D720" s="5" t="s">
        <v>1813</v>
      </c>
      <c r="E720" s="3" t="s">
        <v>580</v>
      </c>
      <c r="F720" s="3" t="s">
        <v>33</v>
      </c>
      <c r="G720">
        <v>0</v>
      </c>
    </row>
    <row r="721" spans="1:7" ht="16">
      <c r="A721" s="4">
        <v>20172284</v>
      </c>
      <c r="B721" s="1" t="s">
        <v>1403</v>
      </c>
      <c r="C721" s="4">
        <v>2010</v>
      </c>
      <c r="D721" s="5" t="s">
        <v>1404</v>
      </c>
      <c r="E721" s="3" t="s">
        <v>580</v>
      </c>
      <c r="F721" s="3" t="s">
        <v>42</v>
      </c>
      <c r="G721">
        <v>0</v>
      </c>
    </row>
    <row r="722" spans="1:7" ht="16">
      <c r="A722" s="4">
        <v>20070702</v>
      </c>
      <c r="B722" s="1" t="s">
        <v>1563</v>
      </c>
      <c r="C722" s="4">
        <v>2009</v>
      </c>
      <c r="D722" s="5" t="s">
        <v>1708</v>
      </c>
      <c r="E722" s="3" t="s">
        <v>580</v>
      </c>
      <c r="F722" s="3" t="s">
        <v>49</v>
      </c>
      <c r="G722">
        <v>0</v>
      </c>
    </row>
    <row r="723" spans="1:7" ht="16">
      <c r="A723" s="4">
        <v>20070668</v>
      </c>
      <c r="B723" s="1" t="s">
        <v>1563</v>
      </c>
      <c r="C723" s="4">
        <v>2009</v>
      </c>
      <c r="D723" s="5" t="s">
        <v>1564</v>
      </c>
      <c r="E723" s="3" t="s">
        <v>580</v>
      </c>
      <c r="F723" s="3" t="s">
        <v>158</v>
      </c>
      <c r="G723">
        <v>0</v>
      </c>
    </row>
    <row r="724" spans="1:7" ht="16">
      <c r="A724" s="4">
        <v>20088693</v>
      </c>
      <c r="B724" s="1" t="s">
        <v>1973</v>
      </c>
      <c r="C724" s="4">
        <v>2010</v>
      </c>
      <c r="D724" s="5" t="s">
        <v>1974</v>
      </c>
      <c r="E724" s="3" t="s">
        <v>580</v>
      </c>
      <c r="F724" s="3" t="s">
        <v>33</v>
      </c>
      <c r="G724">
        <v>0</v>
      </c>
    </row>
    <row r="725" spans="1:7" ht="16">
      <c r="A725" s="4">
        <v>20087928</v>
      </c>
      <c r="B725" s="1" t="s">
        <v>2584</v>
      </c>
      <c r="C725" s="4">
        <v>2010</v>
      </c>
      <c r="D725" s="5" t="s">
        <v>2585</v>
      </c>
      <c r="E725" s="3" t="s">
        <v>580</v>
      </c>
      <c r="F725" s="3" t="s">
        <v>38</v>
      </c>
      <c r="G725">
        <v>0</v>
      </c>
    </row>
    <row r="726" spans="1:7" ht="16">
      <c r="A726" s="4">
        <v>20053742</v>
      </c>
      <c r="B726" s="1" t="s">
        <v>1808</v>
      </c>
      <c r="C726" s="4">
        <v>2010</v>
      </c>
      <c r="D726" s="5" t="s">
        <v>1809</v>
      </c>
      <c r="E726" s="3" t="s">
        <v>580</v>
      </c>
      <c r="F726" s="3" t="s">
        <v>33</v>
      </c>
      <c r="G726">
        <v>0</v>
      </c>
    </row>
    <row r="727" spans="1:7" ht="16">
      <c r="A727" s="4">
        <v>20053335</v>
      </c>
      <c r="B727" s="1" t="s">
        <v>837</v>
      </c>
      <c r="C727" s="4">
        <v>2010</v>
      </c>
      <c r="D727" s="5" t="s">
        <v>838</v>
      </c>
      <c r="E727" s="3" t="s">
        <v>580</v>
      </c>
      <c r="F727" s="3" t="s">
        <v>29</v>
      </c>
      <c r="G727">
        <v>0</v>
      </c>
    </row>
    <row r="728" spans="1:7" ht="16">
      <c r="A728" s="4">
        <v>19920774</v>
      </c>
      <c r="B728" s="1" t="s">
        <v>801</v>
      </c>
      <c r="C728" s="4">
        <v>2009</v>
      </c>
      <c r="D728" s="5" t="s">
        <v>802</v>
      </c>
      <c r="E728" s="3" t="s">
        <v>580</v>
      </c>
      <c r="F728" s="3" t="s">
        <v>29</v>
      </c>
      <c r="G728">
        <v>0</v>
      </c>
    </row>
    <row r="729" spans="1:7" ht="16">
      <c r="A729" s="4">
        <v>19920771</v>
      </c>
      <c r="B729" s="1" t="s">
        <v>1504</v>
      </c>
      <c r="C729" s="4">
        <v>2009</v>
      </c>
      <c r="D729" s="5" t="s">
        <v>1505</v>
      </c>
      <c r="E729" s="3" t="s">
        <v>580</v>
      </c>
      <c r="F729" s="3" t="s">
        <v>57</v>
      </c>
      <c r="G729">
        <v>0</v>
      </c>
    </row>
    <row r="730" spans="1:7" ht="16">
      <c r="A730" s="4">
        <v>19915376</v>
      </c>
      <c r="B730" s="1" t="s">
        <v>2480</v>
      </c>
      <c r="C730" s="4">
        <v>2009</v>
      </c>
      <c r="D730" s="5" t="s">
        <v>2481</v>
      </c>
      <c r="E730" s="3" t="s">
        <v>580</v>
      </c>
      <c r="F730" s="3" t="s">
        <v>38</v>
      </c>
      <c r="G730">
        <v>0</v>
      </c>
    </row>
    <row r="731" spans="1:7" ht="16">
      <c r="A731" s="4">
        <v>19910888</v>
      </c>
      <c r="B731" s="1" t="s">
        <v>2224</v>
      </c>
      <c r="C731" s="4">
        <v>2009</v>
      </c>
      <c r="D731" s="5" t="s">
        <v>2225</v>
      </c>
      <c r="E731" s="3" t="s">
        <v>580</v>
      </c>
      <c r="F731" s="3" t="s">
        <v>33</v>
      </c>
      <c r="G731">
        <v>0</v>
      </c>
    </row>
    <row r="732" spans="1:7" ht="16">
      <c r="A732" s="4">
        <v>19907110</v>
      </c>
      <c r="B732" s="1" t="s">
        <v>581</v>
      </c>
      <c r="C732" s="4">
        <v>2009</v>
      </c>
      <c r="D732" s="5" t="s">
        <v>2443</v>
      </c>
      <c r="E732" s="3" t="s">
        <v>580</v>
      </c>
      <c r="F732" s="3" t="s">
        <v>38</v>
      </c>
      <c r="G732">
        <v>0</v>
      </c>
    </row>
    <row r="733" spans="1:7" ht="16">
      <c r="A733" s="4">
        <v>19898212</v>
      </c>
      <c r="B733" s="1" t="s">
        <v>1588</v>
      </c>
      <c r="C733" s="4">
        <v>2009</v>
      </c>
      <c r="D733" s="5" t="s">
        <v>1589</v>
      </c>
      <c r="E733" s="3" t="s">
        <v>580</v>
      </c>
      <c r="F733" s="3" t="s">
        <v>65</v>
      </c>
      <c r="G733">
        <v>0</v>
      </c>
    </row>
    <row r="734" spans="1:7" ht="16">
      <c r="A734" s="4">
        <v>19892483</v>
      </c>
      <c r="B734" s="1" t="s">
        <v>1529</v>
      </c>
      <c r="C734" s="4">
        <v>2010</v>
      </c>
      <c r="D734" s="5" t="s">
        <v>1530</v>
      </c>
      <c r="E734" s="3" t="s">
        <v>580</v>
      </c>
      <c r="F734" s="3" t="s">
        <v>93</v>
      </c>
      <c r="G734">
        <v>0</v>
      </c>
    </row>
    <row r="735" spans="1:7" ht="16">
      <c r="A735" s="4">
        <v>19891754</v>
      </c>
      <c r="B735" s="1" t="s">
        <v>1565</v>
      </c>
      <c r="C735" s="4">
        <v>2009</v>
      </c>
      <c r="D735" s="5" t="s">
        <v>1566</v>
      </c>
      <c r="E735" s="3" t="s">
        <v>580</v>
      </c>
      <c r="F735" s="3" t="s">
        <v>85</v>
      </c>
      <c r="G735">
        <v>0</v>
      </c>
    </row>
    <row r="736" spans="1:7" ht="16">
      <c r="A736" s="4">
        <v>19863339</v>
      </c>
      <c r="B736" s="1" t="s">
        <v>1075</v>
      </c>
      <c r="C736" s="4">
        <v>2009</v>
      </c>
      <c r="D736" s="5" t="s">
        <v>1076</v>
      </c>
      <c r="E736" s="3" t="s">
        <v>580</v>
      </c>
      <c r="F736" s="3" t="s">
        <v>29</v>
      </c>
      <c r="G736">
        <v>0</v>
      </c>
    </row>
    <row r="737" spans="1:7" ht="16">
      <c r="A737" s="4">
        <v>19856546</v>
      </c>
      <c r="B737" s="1" t="s">
        <v>2391</v>
      </c>
      <c r="C737" s="4">
        <v>2008</v>
      </c>
      <c r="D737" s="5" t="s">
        <v>2392</v>
      </c>
      <c r="E737" s="3" t="s">
        <v>580</v>
      </c>
      <c r="F737" s="3" t="s">
        <v>38</v>
      </c>
      <c r="G737">
        <v>0</v>
      </c>
    </row>
    <row r="738" spans="1:7" ht="16">
      <c r="A738" s="4">
        <v>19856545</v>
      </c>
      <c r="B738" s="1" t="s">
        <v>1574</v>
      </c>
      <c r="C738" s="4">
        <v>2008</v>
      </c>
      <c r="D738" s="5" t="s">
        <v>1575</v>
      </c>
      <c r="E738" s="3" t="s">
        <v>580</v>
      </c>
      <c r="F738" s="3" t="s">
        <v>65</v>
      </c>
      <c r="G738">
        <v>0</v>
      </c>
    </row>
    <row r="739" spans="1:7" ht="16">
      <c r="A739" s="4">
        <v>19845116</v>
      </c>
      <c r="B739" s="1" t="s">
        <v>1175</v>
      </c>
      <c r="C739" s="4">
        <v>2009</v>
      </c>
      <c r="D739" s="5" t="s">
        <v>1176</v>
      </c>
      <c r="E739" s="3" t="s">
        <v>580</v>
      </c>
      <c r="F739" s="3" t="s">
        <v>29</v>
      </c>
      <c r="G739">
        <v>0</v>
      </c>
    </row>
    <row r="740" spans="1:7" ht="16">
      <c r="A740" s="4">
        <v>19790143</v>
      </c>
      <c r="B740" s="1" t="s">
        <v>2426</v>
      </c>
      <c r="C740" s="4">
        <v>2009</v>
      </c>
      <c r="D740" s="5" t="s">
        <v>2427</v>
      </c>
      <c r="E740" s="3" t="s">
        <v>580</v>
      </c>
      <c r="F740" s="3" t="s">
        <v>38</v>
      </c>
      <c r="G740">
        <v>0</v>
      </c>
    </row>
    <row r="741" spans="1:7" ht="16">
      <c r="A741" s="4">
        <v>19752295</v>
      </c>
      <c r="B741" s="1" t="s">
        <v>2567</v>
      </c>
      <c r="C741" s="4">
        <v>2009</v>
      </c>
      <c r="D741" s="5" t="s">
        <v>2569</v>
      </c>
      <c r="E741" s="3" t="s">
        <v>580</v>
      </c>
      <c r="F741" s="3" t="s">
        <v>38</v>
      </c>
      <c r="G741">
        <v>0</v>
      </c>
    </row>
    <row r="742" spans="1:7" ht="16">
      <c r="A742" s="4">
        <v>19671120</v>
      </c>
      <c r="B742" s="1" t="s">
        <v>1738</v>
      </c>
      <c r="C742" s="4">
        <v>2009</v>
      </c>
      <c r="D742" s="5" t="s">
        <v>1739</v>
      </c>
      <c r="E742" s="3" t="s">
        <v>580</v>
      </c>
      <c r="F742" s="3" t="s">
        <v>69</v>
      </c>
      <c r="G742">
        <v>0</v>
      </c>
    </row>
    <row r="743" spans="1:7" ht="16">
      <c r="A743" s="4">
        <v>19667214</v>
      </c>
      <c r="B743" s="1" t="s">
        <v>2567</v>
      </c>
      <c r="C743" s="4">
        <v>2009</v>
      </c>
      <c r="D743" s="5" t="s">
        <v>2568</v>
      </c>
      <c r="E743" s="3" t="s">
        <v>580</v>
      </c>
      <c r="F743" s="3" t="s">
        <v>38</v>
      </c>
      <c r="G743">
        <v>0</v>
      </c>
    </row>
    <row r="744" spans="1:7" ht="16">
      <c r="A744" s="4">
        <v>19664576</v>
      </c>
      <c r="B744" s="1" t="s">
        <v>2538</v>
      </c>
      <c r="C744" s="4">
        <v>2009</v>
      </c>
      <c r="D744" s="5" t="s">
        <v>2539</v>
      </c>
      <c r="E744" s="3" t="s">
        <v>580</v>
      </c>
      <c r="F744" s="3" t="s">
        <v>38</v>
      </c>
      <c r="G744">
        <v>0</v>
      </c>
    </row>
    <row r="745" spans="1:7" ht="16">
      <c r="A745" s="4">
        <v>19664021</v>
      </c>
      <c r="B745" s="1" t="s">
        <v>1762</v>
      </c>
      <c r="C745" s="4">
        <v>2009</v>
      </c>
      <c r="D745" s="5" t="s">
        <v>1763</v>
      </c>
      <c r="E745" s="3" t="s">
        <v>580</v>
      </c>
      <c r="F745" s="3" t="s">
        <v>33</v>
      </c>
      <c r="G745">
        <v>0</v>
      </c>
    </row>
    <row r="746" spans="1:7" ht="16">
      <c r="A746" s="4">
        <v>19656346</v>
      </c>
      <c r="B746" s="1" t="s">
        <v>757</v>
      </c>
      <c r="C746" s="4">
        <v>2009</v>
      </c>
      <c r="D746" s="5" t="s">
        <v>758</v>
      </c>
      <c r="E746" s="3" t="s">
        <v>580</v>
      </c>
      <c r="F746" s="3" t="s">
        <v>29</v>
      </c>
      <c r="G746">
        <v>0</v>
      </c>
    </row>
    <row r="747" spans="1:7" ht="16">
      <c r="A747" s="4">
        <v>19619326</v>
      </c>
      <c r="B747" s="1" t="s">
        <v>907</v>
      </c>
      <c r="C747" s="4">
        <v>2009</v>
      </c>
      <c r="D747" s="5" t="s">
        <v>908</v>
      </c>
      <c r="E747" s="3" t="s">
        <v>580</v>
      </c>
      <c r="F747" s="3" t="s">
        <v>29</v>
      </c>
      <c r="G747">
        <v>0</v>
      </c>
    </row>
    <row r="748" spans="1:7" ht="16">
      <c r="A748" s="4">
        <v>19582481</v>
      </c>
      <c r="B748" s="1" t="s">
        <v>761</v>
      </c>
      <c r="C748" s="4">
        <v>2009</v>
      </c>
      <c r="D748" s="5" t="s">
        <v>762</v>
      </c>
      <c r="E748" s="3" t="s">
        <v>580</v>
      </c>
      <c r="F748" s="3" t="s">
        <v>29</v>
      </c>
      <c r="G748">
        <v>0</v>
      </c>
    </row>
    <row r="749" spans="1:7" ht="16">
      <c r="A749" s="4">
        <v>19556082</v>
      </c>
      <c r="B749" s="1" t="s">
        <v>1089</v>
      </c>
      <c r="C749" s="4">
        <v>2010</v>
      </c>
      <c r="D749" s="5" t="s">
        <v>1090</v>
      </c>
      <c r="E749" s="3" t="s">
        <v>580</v>
      </c>
      <c r="F749" s="3" t="s">
        <v>29</v>
      </c>
      <c r="G749">
        <v>0</v>
      </c>
    </row>
    <row r="750" spans="1:7" ht="16">
      <c r="A750" s="4">
        <v>19522847</v>
      </c>
      <c r="B750" s="1" t="s">
        <v>1045</v>
      </c>
      <c r="C750" s="4">
        <v>2010</v>
      </c>
      <c r="D750" s="5" t="s">
        <v>1046</v>
      </c>
      <c r="E750" s="3" t="s">
        <v>580</v>
      </c>
      <c r="F750" s="3" t="s">
        <v>29</v>
      </c>
      <c r="G750">
        <v>0</v>
      </c>
    </row>
    <row r="751" spans="1:7" ht="16">
      <c r="A751" s="4">
        <v>19522223</v>
      </c>
      <c r="B751" s="1" t="s">
        <v>600</v>
      </c>
      <c r="C751" s="4">
        <v>2009</v>
      </c>
      <c r="D751" s="5" t="s">
        <v>601</v>
      </c>
      <c r="E751" s="3" t="s">
        <v>580</v>
      </c>
      <c r="F751" s="3" t="s">
        <v>45</v>
      </c>
      <c r="G751">
        <v>0</v>
      </c>
    </row>
    <row r="752" spans="1:7" ht="16">
      <c r="A752" s="4">
        <v>19519818</v>
      </c>
      <c r="B752" s="1" t="s">
        <v>795</v>
      </c>
      <c r="C752" s="4">
        <v>2009</v>
      </c>
      <c r="D752" s="5" t="s">
        <v>796</v>
      </c>
      <c r="E752" s="3" t="s">
        <v>580</v>
      </c>
      <c r="F752" s="3" t="s">
        <v>29</v>
      </c>
      <c r="G752">
        <v>0</v>
      </c>
    </row>
    <row r="753" spans="1:7" ht="16">
      <c r="A753" s="4">
        <v>19509026</v>
      </c>
      <c r="B753" s="1" t="s">
        <v>1135</v>
      </c>
      <c r="C753" s="4">
        <v>2009</v>
      </c>
      <c r="D753" s="5" t="s">
        <v>1136</v>
      </c>
      <c r="E753" s="3" t="s">
        <v>580</v>
      </c>
      <c r="F753" s="3" t="s">
        <v>29</v>
      </c>
      <c r="G753">
        <v>0</v>
      </c>
    </row>
    <row r="754" spans="1:7" ht="16">
      <c r="A754" s="4">
        <v>19497784</v>
      </c>
      <c r="B754" s="1" t="s">
        <v>1236</v>
      </c>
      <c r="C754" s="4">
        <v>2009</v>
      </c>
      <c r="D754" s="5" t="s">
        <v>1237</v>
      </c>
      <c r="E754" s="3" t="s">
        <v>580</v>
      </c>
      <c r="F754" s="3" t="s">
        <v>42</v>
      </c>
      <c r="G754">
        <v>0</v>
      </c>
    </row>
    <row r="755" spans="1:7" ht="16">
      <c r="A755" s="4">
        <v>19496184</v>
      </c>
      <c r="B755" s="1" t="s">
        <v>2301</v>
      </c>
      <c r="C755" s="4">
        <v>2009</v>
      </c>
      <c r="D755" s="5" t="s">
        <v>2302</v>
      </c>
      <c r="E755" s="3" t="s">
        <v>580</v>
      </c>
      <c r="F755" s="3" t="s">
        <v>38</v>
      </c>
      <c r="G755">
        <v>0</v>
      </c>
    </row>
    <row r="756" spans="1:7" ht="16">
      <c r="A756" s="4">
        <v>19490982</v>
      </c>
      <c r="B756" s="1" t="s">
        <v>1598</v>
      </c>
      <c r="C756" s="4">
        <v>2009</v>
      </c>
      <c r="D756" s="5" t="s">
        <v>1599</v>
      </c>
      <c r="E756" s="3" t="s">
        <v>580</v>
      </c>
      <c r="F756" s="3" t="s">
        <v>102</v>
      </c>
      <c r="G756">
        <v>0</v>
      </c>
    </row>
    <row r="757" spans="1:7" ht="16">
      <c r="A757" s="4">
        <v>19422536</v>
      </c>
      <c r="B757" s="1" t="s">
        <v>767</v>
      </c>
      <c r="C757" s="4">
        <v>2010</v>
      </c>
      <c r="D757" s="5" t="s">
        <v>768</v>
      </c>
      <c r="E757" s="3" t="s">
        <v>580</v>
      </c>
      <c r="F757" s="3" t="s">
        <v>29</v>
      </c>
      <c r="G757">
        <v>0</v>
      </c>
    </row>
    <row r="758" spans="1:7" ht="16">
      <c r="A758" s="4">
        <v>19321385</v>
      </c>
      <c r="B758" s="1" t="s">
        <v>745</v>
      </c>
      <c r="C758" s="4">
        <v>2009</v>
      </c>
      <c r="D758" s="5" t="s">
        <v>746</v>
      </c>
      <c r="E758" s="3" t="s">
        <v>580</v>
      </c>
      <c r="F758" s="3" t="s">
        <v>29</v>
      </c>
      <c r="G758">
        <v>0</v>
      </c>
    </row>
    <row r="759" spans="1:7" ht="16">
      <c r="A759" s="4">
        <v>19295317</v>
      </c>
      <c r="B759" s="1" t="s">
        <v>1397</v>
      </c>
      <c r="C759" s="4">
        <v>2009</v>
      </c>
      <c r="D759" s="5" t="s">
        <v>1398</v>
      </c>
      <c r="E759" s="3" t="s">
        <v>580</v>
      </c>
      <c r="F759" s="3" t="s">
        <v>42</v>
      </c>
      <c r="G759">
        <v>0</v>
      </c>
    </row>
    <row r="760" spans="1:7" ht="16">
      <c r="A760" s="4">
        <v>19222466</v>
      </c>
      <c r="B760" s="1" t="s">
        <v>1019</v>
      </c>
      <c r="C760" s="4">
        <v>2009</v>
      </c>
      <c r="D760" s="5" t="s">
        <v>1020</v>
      </c>
      <c r="E760" s="3" t="s">
        <v>580</v>
      </c>
      <c r="F760" s="3" t="s">
        <v>29</v>
      </c>
      <c r="G760">
        <v>0</v>
      </c>
    </row>
    <row r="761" spans="1:7" ht="16">
      <c r="A761" s="4">
        <v>19153640</v>
      </c>
      <c r="B761" s="1" t="s">
        <v>1865</v>
      </c>
      <c r="C761" s="4">
        <v>2009</v>
      </c>
      <c r="D761" s="5" t="s">
        <v>1866</v>
      </c>
      <c r="E761" s="3" t="s">
        <v>580</v>
      </c>
      <c r="F761" s="3" t="s">
        <v>33</v>
      </c>
      <c r="G761">
        <v>0</v>
      </c>
    </row>
    <row r="762" spans="1:7" ht="16">
      <c r="A762" s="4">
        <v>19120074</v>
      </c>
      <c r="B762" s="1" t="s">
        <v>2027</v>
      </c>
      <c r="C762" s="4">
        <v>2009</v>
      </c>
      <c r="D762" s="5" t="s">
        <v>2028</v>
      </c>
      <c r="E762" s="3" t="s">
        <v>580</v>
      </c>
      <c r="F762" s="3" t="s">
        <v>33</v>
      </c>
      <c r="G762">
        <v>0</v>
      </c>
    </row>
    <row r="763" spans="1:7" ht="16">
      <c r="A763" s="4">
        <v>19100492</v>
      </c>
      <c r="B763" s="1" t="s">
        <v>1039</v>
      </c>
      <c r="C763" s="4">
        <v>2008</v>
      </c>
      <c r="D763" s="5" t="s">
        <v>1040</v>
      </c>
      <c r="E763" s="3" t="s">
        <v>580</v>
      </c>
      <c r="F763" s="3" t="s">
        <v>29</v>
      </c>
      <c r="G763">
        <v>0</v>
      </c>
    </row>
    <row r="764" spans="1:7" ht="16">
      <c r="A764" s="4">
        <v>19100443</v>
      </c>
      <c r="B764" s="1" t="s">
        <v>1275</v>
      </c>
      <c r="C764" s="4">
        <v>2008</v>
      </c>
      <c r="D764" s="5" t="s">
        <v>1276</v>
      </c>
      <c r="E764" s="3" t="s">
        <v>580</v>
      </c>
      <c r="F764" s="3" t="s">
        <v>42</v>
      </c>
      <c r="G764">
        <v>0</v>
      </c>
    </row>
    <row r="765" spans="1:7" ht="16">
      <c r="A765" s="4">
        <v>19099488</v>
      </c>
      <c r="B765" s="1" t="s">
        <v>1447</v>
      </c>
      <c r="C765" s="4">
        <v>2009</v>
      </c>
      <c r="D765" s="5" t="s">
        <v>1448</v>
      </c>
      <c r="E765" s="3" t="s">
        <v>580</v>
      </c>
      <c r="F765" s="3" t="s">
        <v>42</v>
      </c>
      <c r="G765">
        <v>0</v>
      </c>
    </row>
    <row r="766" spans="1:7" ht="16">
      <c r="A766" s="4">
        <v>19034008</v>
      </c>
      <c r="B766" s="1" t="s">
        <v>2244</v>
      </c>
      <c r="C766" s="4">
        <v>2008</v>
      </c>
      <c r="D766" s="5" t="s">
        <v>2245</v>
      </c>
      <c r="E766" s="3" t="s">
        <v>580</v>
      </c>
      <c r="F766" s="3" t="s">
        <v>105</v>
      </c>
      <c r="G766">
        <v>0</v>
      </c>
    </row>
    <row r="767" spans="1:7" ht="16">
      <c r="A767" s="4">
        <v>19033999</v>
      </c>
      <c r="B767" s="1" t="s">
        <v>2550</v>
      </c>
      <c r="C767" s="4">
        <v>2008</v>
      </c>
      <c r="D767" s="5" t="s">
        <v>2551</v>
      </c>
      <c r="E767" s="3" t="s">
        <v>580</v>
      </c>
      <c r="F767" s="3" t="s">
        <v>38</v>
      </c>
      <c r="G767">
        <v>0</v>
      </c>
    </row>
    <row r="768" spans="1:7" ht="16">
      <c r="A768" s="4">
        <v>19022297</v>
      </c>
      <c r="B768" s="1" t="s">
        <v>2160</v>
      </c>
      <c r="C768" s="4">
        <v>2009</v>
      </c>
      <c r="D768" s="5" t="s">
        <v>2161</v>
      </c>
      <c r="E768" s="3" t="s">
        <v>580</v>
      </c>
      <c r="F768" s="3" t="s">
        <v>33</v>
      </c>
      <c r="G768">
        <v>0</v>
      </c>
    </row>
    <row r="769" spans="1:7" ht="16">
      <c r="A769" s="4">
        <v>18978824</v>
      </c>
      <c r="B769" s="1" t="s">
        <v>624</v>
      </c>
      <c r="C769" s="4">
        <v>2009</v>
      </c>
      <c r="D769" s="5" t="s">
        <v>625</v>
      </c>
      <c r="E769" s="3" t="s">
        <v>580</v>
      </c>
      <c r="F769" s="3" t="s">
        <v>45</v>
      </c>
      <c r="G769">
        <v>0</v>
      </c>
    </row>
    <row r="770" spans="1:7" ht="16">
      <c r="A770" s="4">
        <v>18952495</v>
      </c>
      <c r="B770" s="1" t="s">
        <v>819</v>
      </c>
      <c r="C770" s="4">
        <v>2009</v>
      </c>
      <c r="D770" s="5" t="s">
        <v>820</v>
      </c>
      <c r="E770" s="3" t="s">
        <v>580</v>
      </c>
      <c r="F770" s="3" t="s">
        <v>29</v>
      </c>
      <c r="G770">
        <v>0</v>
      </c>
    </row>
    <row r="771" spans="1:7" ht="16">
      <c r="A771" s="4">
        <v>18929381</v>
      </c>
      <c r="B771" s="1" t="s">
        <v>2204</v>
      </c>
      <c r="C771" s="4">
        <v>2008</v>
      </c>
      <c r="D771" s="5" t="s">
        <v>2205</v>
      </c>
      <c r="E771" s="3" t="s">
        <v>580</v>
      </c>
      <c r="F771" s="3" t="s">
        <v>33</v>
      </c>
      <c r="G771">
        <v>0</v>
      </c>
    </row>
    <row r="772" spans="1:7" ht="16">
      <c r="A772" s="4">
        <v>18855654</v>
      </c>
      <c r="B772" s="1" t="s">
        <v>1818</v>
      </c>
      <c r="C772" s="4">
        <v>2008</v>
      </c>
      <c r="D772" s="5" t="s">
        <v>1819</v>
      </c>
      <c r="E772" s="3" t="s">
        <v>580</v>
      </c>
      <c r="F772" s="3" t="s">
        <v>33</v>
      </c>
      <c r="G772">
        <v>0</v>
      </c>
    </row>
    <row r="773" spans="1:7" ht="16">
      <c r="A773" s="4">
        <v>18829379</v>
      </c>
      <c r="B773" s="1" t="s">
        <v>2580</v>
      </c>
      <c r="C773" s="4">
        <v>2008</v>
      </c>
      <c r="D773" s="5" t="s">
        <v>2581</v>
      </c>
      <c r="E773" s="3" t="s">
        <v>580</v>
      </c>
      <c r="F773" s="3" t="s">
        <v>38</v>
      </c>
      <c r="G773">
        <v>0</v>
      </c>
    </row>
    <row r="774" spans="1:7" ht="16">
      <c r="A774" s="4">
        <v>18818265</v>
      </c>
      <c r="B774" s="1" t="s">
        <v>1269</v>
      </c>
      <c r="C774" s="4">
        <v>2009</v>
      </c>
      <c r="D774" s="5" t="s">
        <v>1270</v>
      </c>
      <c r="E774" s="3" t="s">
        <v>580</v>
      </c>
      <c r="F774" s="3" t="s">
        <v>42</v>
      </c>
      <c r="G774">
        <v>0</v>
      </c>
    </row>
    <row r="775" spans="1:7" ht="16">
      <c r="A775" s="4">
        <v>18789976</v>
      </c>
      <c r="B775" s="1" t="s">
        <v>1202</v>
      </c>
      <c r="C775" s="4">
        <v>2008</v>
      </c>
      <c r="D775" s="5" t="s">
        <v>1203</v>
      </c>
      <c r="E775" s="3" t="s">
        <v>580</v>
      </c>
      <c r="F775" s="3" t="s">
        <v>29</v>
      </c>
      <c r="G775">
        <v>0</v>
      </c>
    </row>
    <row r="776" spans="1:7" ht="16">
      <c r="A776" s="4">
        <v>18778180</v>
      </c>
      <c r="B776" s="1" t="s">
        <v>2600</v>
      </c>
      <c r="C776" s="4">
        <v>2008</v>
      </c>
      <c r="D776" s="5" t="s">
        <v>2601</v>
      </c>
      <c r="E776" s="3" t="s">
        <v>580</v>
      </c>
      <c r="F776" s="3" t="s">
        <v>38</v>
      </c>
      <c r="G776" s="3">
        <v>0</v>
      </c>
    </row>
    <row r="777" spans="1:7" ht="16">
      <c r="A777" s="4">
        <v>18765102</v>
      </c>
      <c r="B777" s="1" t="s">
        <v>2509</v>
      </c>
      <c r="C777" s="4">
        <v>2008</v>
      </c>
      <c r="D777" s="5" t="s">
        <v>2510</v>
      </c>
      <c r="E777" s="3" t="s">
        <v>580</v>
      </c>
      <c r="F777" s="3" t="s">
        <v>38</v>
      </c>
      <c r="G777">
        <v>0</v>
      </c>
    </row>
    <row r="778" spans="1:7" ht="16">
      <c r="A778" s="4">
        <v>18762769</v>
      </c>
      <c r="B778" s="1" t="s">
        <v>861</v>
      </c>
      <c r="C778" s="4">
        <v>2009</v>
      </c>
      <c r="D778" s="5" t="s">
        <v>862</v>
      </c>
      <c r="E778" s="3" t="s">
        <v>580</v>
      </c>
      <c r="F778" s="3" t="s">
        <v>29</v>
      </c>
      <c r="G778">
        <v>0</v>
      </c>
    </row>
    <row r="779" spans="1:7" ht="16">
      <c r="A779" s="4">
        <v>18762768</v>
      </c>
      <c r="B779" s="1" t="s">
        <v>755</v>
      </c>
      <c r="C779" s="4">
        <v>2009</v>
      </c>
      <c r="D779" s="5" t="s">
        <v>756</v>
      </c>
      <c r="E779" s="3" t="s">
        <v>580</v>
      </c>
      <c r="F779" s="3" t="s">
        <v>29</v>
      </c>
      <c r="G779">
        <v>0</v>
      </c>
    </row>
    <row r="780" spans="1:7" ht="16">
      <c r="A780" s="4">
        <v>18762520</v>
      </c>
      <c r="B780" s="1" t="s">
        <v>1586</v>
      </c>
      <c r="C780" s="4">
        <v>2008</v>
      </c>
      <c r="D780" s="5" t="s">
        <v>1587</v>
      </c>
      <c r="E780" s="3" t="s">
        <v>580</v>
      </c>
      <c r="F780" s="3" t="s">
        <v>65</v>
      </c>
      <c r="G780">
        <v>0</v>
      </c>
    </row>
    <row r="781" spans="1:7" ht="16">
      <c r="A781" s="4">
        <v>18712834</v>
      </c>
      <c r="B781" s="1" t="s">
        <v>765</v>
      </c>
      <c r="C781" s="4">
        <v>2008</v>
      </c>
      <c r="D781" s="5" t="s">
        <v>766</v>
      </c>
      <c r="E781" s="3" t="s">
        <v>580</v>
      </c>
      <c r="F781" s="3" t="s">
        <v>29</v>
      </c>
      <c r="G781">
        <v>0</v>
      </c>
    </row>
    <row r="782" spans="1:7" ht="16">
      <c r="A782" s="4">
        <v>18695326</v>
      </c>
      <c r="B782" s="1" t="s">
        <v>1774</v>
      </c>
      <c r="C782" s="4">
        <v>2008</v>
      </c>
      <c r="D782" s="5" t="s">
        <v>1775</v>
      </c>
      <c r="E782" s="3" t="s">
        <v>580</v>
      </c>
      <c r="F782" s="3" t="s">
        <v>33</v>
      </c>
      <c r="G782">
        <v>0</v>
      </c>
    </row>
    <row r="783" spans="1:7" ht="16">
      <c r="A783" s="4">
        <v>18691755</v>
      </c>
      <c r="B783" s="1" t="s">
        <v>935</v>
      </c>
      <c r="C783" s="4">
        <v>2009</v>
      </c>
      <c r="D783" s="5" t="s">
        <v>936</v>
      </c>
      <c r="E783" s="3" t="s">
        <v>580</v>
      </c>
      <c r="F783" s="3" t="s">
        <v>29</v>
      </c>
      <c r="G783">
        <v>0</v>
      </c>
    </row>
    <row r="784" spans="1:7" ht="16">
      <c r="A784" s="4">
        <v>18687640</v>
      </c>
      <c r="B784" s="1" t="s">
        <v>735</v>
      </c>
      <c r="C784" s="4">
        <v>2008</v>
      </c>
      <c r="D784" s="5" t="s">
        <v>736</v>
      </c>
      <c r="E784" s="3" t="s">
        <v>580</v>
      </c>
      <c r="F784" s="3" t="s">
        <v>29</v>
      </c>
      <c r="G784">
        <v>0</v>
      </c>
    </row>
    <row r="785" spans="1:7" ht="16">
      <c r="A785" s="4">
        <v>18675117</v>
      </c>
      <c r="B785" s="1" t="s">
        <v>1453</v>
      </c>
      <c r="C785" s="4">
        <v>2008</v>
      </c>
      <c r="D785" s="5" t="s">
        <v>1454</v>
      </c>
      <c r="E785" s="3" t="s">
        <v>580</v>
      </c>
      <c r="F785" s="3" t="s">
        <v>42</v>
      </c>
      <c r="G785">
        <v>0</v>
      </c>
    </row>
    <row r="786" spans="1:7" ht="16">
      <c r="A786" s="4">
        <v>18675102</v>
      </c>
      <c r="B786" s="1" t="s">
        <v>1479</v>
      </c>
      <c r="C786" s="4">
        <v>2008</v>
      </c>
      <c r="D786" s="5" t="s">
        <v>1480</v>
      </c>
      <c r="E786" s="3" t="s">
        <v>580</v>
      </c>
      <c r="F786" s="3" t="s">
        <v>42</v>
      </c>
      <c r="G786">
        <v>0</v>
      </c>
    </row>
    <row r="787" spans="1:7" ht="16">
      <c r="A787" s="4">
        <v>18628071</v>
      </c>
      <c r="B787" s="1" t="s">
        <v>1161</v>
      </c>
      <c r="C787" s="4">
        <v>2008</v>
      </c>
      <c r="D787" s="5" t="s">
        <v>1162</v>
      </c>
      <c r="E787" s="3" t="s">
        <v>580</v>
      </c>
      <c r="F787" s="3" t="s">
        <v>29</v>
      </c>
      <c r="G787">
        <v>0</v>
      </c>
    </row>
    <row r="788" spans="1:7" ht="16">
      <c r="A788" s="4">
        <v>18587440</v>
      </c>
      <c r="B788" s="1" t="s">
        <v>1216</v>
      </c>
      <c r="C788" s="4">
        <v>2008</v>
      </c>
      <c r="D788" s="5" t="s">
        <v>1217</v>
      </c>
      <c r="E788" s="3" t="s">
        <v>580</v>
      </c>
      <c r="F788" s="3" t="s">
        <v>89</v>
      </c>
      <c r="G788">
        <v>0</v>
      </c>
    </row>
    <row r="789" spans="1:7" ht="16">
      <c r="A789" s="4">
        <v>18564986</v>
      </c>
      <c r="B789" s="1" t="s">
        <v>1248</v>
      </c>
      <c r="C789" s="4">
        <v>2008</v>
      </c>
      <c r="D789" s="5" t="s">
        <v>1249</v>
      </c>
      <c r="E789" s="3" t="s">
        <v>580</v>
      </c>
      <c r="F789" s="3" t="s">
        <v>42</v>
      </c>
      <c r="G789">
        <v>0</v>
      </c>
    </row>
    <row r="790" spans="1:7" ht="16">
      <c r="A790" s="4">
        <v>18550745</v>
      </c>
      <c r="B790" s="1" t="s">
        <v>1596</v>
      </c>
      <c r="C790" s="4">
        <v>2008</v>
      </c>
      <c r="D790" s="5" t="s">
        <v>1597</v>
      </c>
      <c r="E790" s="3" t="s">
        <v>580</v>
      </c>
      <c r="F790" s="3" t="s">
        <v>102</v>
      </c>
      <c r="G790">
        <v>0</v>
      </c>
    </row>
    <row r="791" spans="1:7" ht="16">
      <c r="A791" s="4">
        <v>18489054</v>
      </c>
      <c r="B791" s="1" t="s">
        <v>857</v>
      </c>
      <c r="C791" s="4">
        <v>2008</v>
      </c>
      <c r="D791" s="5" t="s">
        <v>858</v>
      </c>
      <c r="E791" s="3" t="s">
        <v>580</v>
      </c>
      <c r="F791" s="3" t="s">
        <v>29</v>
      </c>
      <c r="G791">
        <v>0</v>
      </c>
    </row>
    <row r="792" spans="1:7" ht="16">
      <c r="A792" s="4">
        <v>18536223</v>
      </c>
      <c r="B792" s="1" t="s">
        <v>620</v>
      </c>
      <c r="C792" s="4">
        <v>2008</v>
      </c>
      <c r="D792" s="5" t="s">
        <v>621</v>
      </c>
      <c r="E792" s="3" t="s">
        <v>580</v>
      </c>
      <c r="F792" s="3" t="s">
        <v>45</v>
      </c>
      <c r="G792">
        <v>0</v>
      </c>
    </row>
    <row r="793" spans="1:7" ht="16">
      <c r="A793" s="4">
        <v>18433408</v>
      </c>
      <c r="B793" s="1" t="s">
        <v>813</v>
      </c>
      <c r="C793" s="4">
        <v>2008</v>
      </c>
      <c r="D793" s="5" t="s">
        <v>814</v>
      </c>
      <c r="E793" s="3" t="s">
        <v>580</v>
      </c>
      <c r="F793" s="3" t="s">
        <v>29</v>
      </c>
      <c r="G793">
        <v>0</v>
      </c>
    </row>
    <row r="794" spans="1:7" ht="16">
      <c r="A794" s="4">
        <v>18428148</v>
      </c>
      <c r="B794" s="1" t="s">
        <v>1253</v>
      </c>
      <c r="C794" s="4">
        <v>2008</v>
      </c>
      <c r="D794" s="5" t="s">
        <v>1254</v>
      </c>
      <c r="E794" s="3" t="s">
        <v>580</v>
      </c>
      <c r="F794" s="3" t="s">
        <v>42</v>
      </c>
      <c r="G794">
        <v>0</v>
      </c>
    </row>
    <row r="795" spans="1:7" ht="16">
      <c r="A795" s="4">
        <v>18394275</v>
      </c>
      <c r="B795" s="1" t="s">
        <v>1435</v>
      </c>
      <c r="C795" s="4">
        <v>2008</v>
      </c>
      <c r="D795" s="5" t="s">
        <v>1436</v>
      </c>
      <c r="E795" s="3" t="s">
        <v>580</v>
      </c>
      <c r="F795" s="3" t="s">
        <v>42</v>
      </c>
      <c r="G795">
        <v>0</v>
      </c>
    </row>
    <row r="796" spans="1:7" ht="16">
      <c r="A796" s="4">
        <v>18329730</v>
      </c>
      <c r="B796" s="1" t="s">
        <v>1897</v>
      </c>
      <c r="C796" s="4">
        <v>2008</v>
      </c>
      <c r="D796" s="5" t="s">
        <v>1898</v>
      </c>
      <c r="E796" s="3" t="s">
        <v>580</v>
      </c>
      <c r="F796" s="3" t="s">
        <v>33</v>
      </c>
      <c r="G796">
        <v>0</v>
      </c>
    </row>
    <row r="797" spans="1:7" ht="16">
      <c r="A797" s="4">
        <v>18310542</v>
      </c>
      <c r="B797" s="1" t="s">
        <v>1037</v>
      </c>
      <c r="C797" s="4">
        <v>2008</v>
      </c>
      <c r="D797" s="5" t="s">
        <v>1038</v>
      </c>
      <c r="E797" s="3" t="s">
        <v>580</v>
      </c>
      <c r="F797" s="3" t="s">
        <v>29</v>
      </c>
      <c r="G797">
        <v>0</v>
      </c>
    </row>
    <row r="798" spans="1:7" ht="16">
      <c r="A798" s="4">
        <v>18297709</v>
      </c>
      <c r="B798" s="1" t="s">
        <v>1993</v>
      </c>
      <c r="C798" s="4">
        <v>2008</v>
      </c>
      <c r="D798" s="5" t="s">
        <v>1994</v>
      </c>
      <c r="E798" s="3" t="s">
        <v>580</v>
      </c>
      <c r="F798" s="3" t="s">
        <v>33</v>
      </c>
      <c r="G798">
        <v>0</v>
      </c>
    </row>
    <row r="799" spans="1:7" ht="16">
      <c r="A799" s="4">
        <v>18286574</v>
      </c>
      <c r="B799" s="1" t="s">
        <v>2122</v>
      </c>
      <c r="C799" s="4">
        <v>2008</v>
      </c>
      <c r="D799" s="5" t="s">
        <v>2123</v>
      </c>
      <c r="E799" s="3" t="s">
        <v>580</v>
      </c>
      <c r="F799" s="3" t="s">
        <v>33</v>
      </c>
      <c r="G799">
        <v>0</v>
      </c>
    </row>
    <row r="800" spans="1:7" ht="16">
      <c r="A800" s="4">
        <v>18277595</v>
      </c>
      <c r="B800" s="1" t="s">
        <v>1107</v>
      </c>
      <c r="C800" s="4">
        <v>2008</v>
      </c>
      <c r="D800" s="5" t="s">
        <v>1108</v>
      </c>
      <c r="E800" s="3" t="s">
        <v>580</v>
      </c>
      <c r="F800" s="3" t="s">
        <v>29</v>
      </c>
      <c r="G800">
        <v>0</v>
      </c>
    </row>
    <row r="801" spans="1:7" ht="16">
      <c r="A801" s="4">
        <v>18250297</v>
      </c>
      <c r="B801" s="1" t="s">
        <v>1009</v>
      </c>
      <c r="C801" s="4">
        <v>2008</v>
      </c>
      <c r="D801" s="5" t="s">
        <v>1010</v>
      </c>
      <c r="E801" s="3" t="s">
        <v>580</v>
      </c>
      <c r="F801" s="3" t="s">
        <v>29</v>
      </c>
      <c r="G801">
        <v>0</v>
      </c>
    </row>
    <row r="802" spans="1:7" ht="16">
      <c r="A802" s="4">
        <v>18212637</v>
      </c>
      <c r="B802" s="1" t="s">
        <v>1746</v>
      </c>
      <c r="C802" s="4">
        <v>2008</v>
      </c>
      <c r="D802" s="5" t="s">
        <v>1747</v>
      </c>
      <c r="E802" s="3" t="s">
        <v>580</v>
      </c>
      <c r="F802" s="3" t="s">
        <v>69</v>
      </c>
      <c r="G802">
        <v>0</v>
      </c>
    </row>
    <row r="803" spans="1:7" ht="16">
      <c r="A803" s="4">
        <v>18181741</v>
      </c>
      <c r="B803" s="1" t="s">
        <v>1359</v>
      </c>
      <c r="C803" s="4">
        <v>2008</v>
      </c>
      <c r="D803" s="5" t="s">
        <v>1360</v>
      </c>
      <c r="E803" s="3" t="s">
        <v>580</v>
      </c>
      <c r="F803" s="3" t="s">
        <v>42</v>
      </c>
      <c r="G803">
        <v>0</v>
      </c>
    </row>
    <row r="804" spans="1:7" ht="16">
      <c r="A804" s="4">
        <v>18166808</v>
      </c>
      <c r="B804" s="1" t="s">
        <v>1977</v>
      </c>
      <c r="C804" s="4">
        <v>2008</v>
      </c>
      <c r="D804" s="5" t="s">
        <v>1978</v>
      </c>
      <c r="E804" s="3" t="s">
        <v>580</v>
      </c>
      <c r="F804" s="3" t="s">
        <v>33</v>
      </c>
      <c r="G804">
        <v>0</v>
      </c>
    </row>
    <row r="805" spans="1:7" ht="16">
      <c r="A805" s="4">
        <v>18161770</v>
      </c>
      <c r="B805" s="1" t="s">
        <v>1240</v>
      </c>
      <c r="C805" s="4">
        <v>2008</v>
      </c>
      <c r="D805" s="5" t="s">
        <v>1241</v>
      </c>
      <c r="E805" s="3" t="s">
        <v>580</v>
      </c>
      <c r="F805" s="3" t="s">
        <v>42</v>
      </c>
      <c r="G805">
        <v>0</v>
      </c>
    </row>
    <row r="806" spans="1:7" ht="16">
      <c r="A806" s="4">
        <v>18044207</v>
      </c>
      <c r="B806" s="1" t="s">
        <v>1017</v>
      </c>
      <c r="C806" s="4">
        <v>2007</v>
      </c>
      <c r="D806" s="5" t="s">
        <v>1018</v>
      </c>
      <c r="E806" s="3" t="s">
        <v>580</v>
      </c>
      <c r="F806" s="3" t="s">
        <v>29</v>
      </c>
      <c r="G806">
        <v>0</v>
      </c>
    </row>
    <row r="807" spans="1:7" ht="16">
      <c r="A807" s="4">
        <v>18024365</v>
      </c>
      <c r="B807" s="1" t="s">
        <v>871</v>
      </c>
      <c r="C807" s="4">
        <v>2007</v>
      </c>
      <c r="D807" s="5" t="s">
        <v>872</v>
      </c>
      <c r="E807" s="3" t="s">
        <v>580</v>
      </c>
      <c r="F807" s="3" t="s">
        <v>29</v>
      </c>
      <c r="G807">
        <v>0</v>
      </c>
    </row>
    <row r="808" spans="1:7" ht="16">
      <c r="A808" s="4">
        <v>17988530</v>
      </c>
      <c r="B808" s="1" t="s">
        <v>267</v>
      </c>
      <c r="C808" s="4">
        <v>2007</v>
      </c>
      <c r="D808" s="5" t="s">
        <v>640</v>
      </c>
      <c r="E808" s="3" t="s">
        <v>580</v>
      </c>
      <c r="F808" s="3" t="s">
        <v>45</v>
      </c>
      <c r="G808">
        <v>0</v>
      </c>
    </row>
    <row r="809" spans="1:7" ht="16">
      <c r="A809" s="4">
        <v>17939902</v>
      </c>
      <c r="B809" s="1" t="s">
        <v>811</v>
      </c>
      <c r="C809" s="4">
        <v>2007</v>
      </c>
      <c r="D809" s="5" t="s">
        <v>812</v>
      </c>
      <c r="E809" s="3" t="s">
        <v>580</v>
      </c>
      <c r="F809" s="3" t="s">
        <v>29</v>
      </c>
      <c r="G809">
        <v>0</v>
      </c>
    </row>
    <row r="810" spans="1:7" ht="16">
      <c r="A810" s="4">
        <v>17928352</v>
      </c>
      <c r="B810" s="1" t="s">
        <v>1816</v>
      </c>
      <c r="C810" s="4">
        <v>2008</v>
      </c>
      <c r="D810" s="5" t="s">
        <v>1817</v>
      </c>
      <c r="E810" s="3" t="s">
        <v>580</v>
      </c>
      <c r="F810" s="3" t="s">
        <v>33</v>
      </c>
      <c r="G810">
        <v>0</v>
      </c>
    </row>
    <row r="811" spans="1:7" ht="16">
      <c r="A811" s="4">
        <v>17922393</v>
      </c>
      <c r="B811" s="1" t="s">
        <v>1957</v>
      </c>
      <c r="C811" s="4">
        <v>2007</v>
      </c>
      <c r="D811" s="5" t="s">
        <v>1958</v>
      </c>
      <c r="E811" s="3" t="s">
        <v>580</v>
      </c>
      <c r="F811" s="3" t="s">
        <v>33</v>
      </c>
      <c r="G811">
        <v>0</v>
      </c>
    </row>
    <row r="812" spans="1:7" ht="16">
      <c r="A812" s="4">
        <v>17921853</v>
      </c>
      <c r="B812" s="1" t="s">
        <v>899</v>
      </c>
      <c r="C812" s="4">
        <v>2007</v>
      </c>
      <c r="D812" s="5" t="s">
        <v>900</v>
      </c>
      <c r="E812" s="3" t="s">
        <v>580</v>
      </c>
      <c r="F812" s="3" t="s">
        <v>29</v>
      </c>
      <c r="G812">
        <v>0</v>
      </c>
    </row>
    <row r="813" spans="1:7" ht="16">
      <c r="A813" s="4">
        <v>17913577</v>
      </c>
      <c r="B813" s="1" t="s">
        <v>865</v>
      </c>
      <c r="C813" s="4">
        <v>2007</v>
      </c>
      <c r="D813" s="5" t="s">
        <v>866</v>
      </c>
      <c r="E813" s="3" t="s">
        <v>580</v>
      </c>
      <c r="F813" s="3" t="s">
        <v>29</v>
      </c>
      <c r="G813">
        <v>0</v>
      </c>
    </row>
    <row r="814" spans="1:7" ht="16">
      <c r="A814" s="4">
        <v>17902128</v>
      </c>
      <c r="B814" s="1" t="s">
        <v>1471</v>
      </c>
      <c r="C814" s="4">
        <v>2007</v>
      </c>
      <c r="D814" s="5" t="s">
        <v>1472</v>
      </c>
      <c r="E814" s="3" t="s">
        <v>580</v>
      </c>
      <c r="F814" s="3" t="s">
        <v>42</v>
      </c>
      <c r="G814">
        <v>0</v>
      </c>
    </row>
    <row r="815" spans="1:7" ht="16">
      <c r="A815" s="4">
        <v>17867305</v>
      </c>
      <c r="B815" s="1" t="s">
        <v>981</v>
      </c>
      <c r="C815" s="4">
        <v>2007</v>
      </c>
      <c r="D815" s="5" t="s">
        <v>982</v>
      </c>
      <c r="E815" s="3" t="s">
        <v>580</v>
      </c>
      <c r="F815" s="3" t="s">
        <v>29</v>
      </c>
      <c r="G815">
        <v>0</v>
      </c>
    </row>
    <row r="816" spans="1:7" ht="16">
      <c r="A816" s="4">
        <v>17802896</v>
      </c>
      <c r="B816" s="1" t="s">
        <v>2338</v>
      </c>
      <c r="C816" s="4">
        <v>2007</v>
      </c>
      <c r="D816" s="5" t="s">
        <v>2339</v>
      </c>
      <c r="E816" s="3" t="s">
        <v>580</v>
      </c>
      <c r="F816" s="3" t="s">
        <v>38</v>
      </c>
      <c r="G816">
        <v>0</v>
      </c>
    </row>
    <row r="817" spans="1:7" ht="16">
      <c r="A817" s="4">
        <v>17716883</v>
      </c>
      <c r="B817" s="1" t="s">
        <v>2627</v>
      </c>
      <c r="C817" s="4">
        <v>2007</v>
      </c>
      <c r="D817" s="5" t="s">
        <v>2628</v>
      </c>
      <c r="E817" s="3" t="s">
        <v>580</v>
      </c>
      <c r="F817" s="3" t="s">
        <v>38</v>
      </c>
      <c r="G817">
        <v>0</v>
      </c>
    </row>
    <row r="818" spans="1:7" ht="16">
      <c r="A818" s="4">
        <v>17704794</v>
      </c>
      <c r="B818" s="1" t="s">
        <v>873</v>
      </c>
      <c r="C818" s="4">
        <v>2007</v>
      </c>
      <c r="D818" s="5" t="s">
        <v>874</v>
      </c>
      <c r="E818" s="3" t="s">
        <v>580</v>
      </c>
      <c r="F818" s="3" t="s">
        <v>29</v>
      </c>
      <c r="G818">
        <v>0</v>
      </c>
    </row>
    <row r="819" spans="1:7" ht="16">
      <c r="A819" s="4">
        <v>17637686</v>
      </c>
      <c r="B819" s="1" t="s">
        <v>731</v>
      </c>
      <c r="C819" s="4">
        <v>2007</v>
      </c>
      <c r="D819" s="5" t="s">
        <v>732</v>
      </c>
      <c r="E819" s="3" t="s">
        <v>580</v>
      </c>
      <c r="F819" s="3" t="s">
        <v>29</v>
      </c>
      <c r="G819">
        <v>0</v>
      </c>
    </row>
    <row r="820" spans="1:7" ht="16">
      <c r="A820" s="4">
        <v>17580183</v>
      </c>
      <c r="B820" s="1" t="s">
        <v>1750</v>
      </c>
      <c r="C820" s="4">
        <v>2007</v>
      </c>
      <c r="D820" s="5" t="s">
        <v>1751</v>
      </c>
      <c r="E820" s="3" t="s">
        <v>580</v>
      </c>
      <c r="F820" s="3" t="s">
        <v>69</v>
      </c>
      <c r="G820">
        <v>0</v>
      </c>
    </row>
    <row r="821" spans="1:7" ht="16">
      <c r="A821" s="4">
        <v>37012846</v>
      </c>
      <c r="B821" s="1" t="s">
        <v>2230</v>
      </c>
      <c r="C821" s="4">
        <v>2007</v>
      </c>
      <c r="D821" s="5" t="s">
        <v>2231</v>
      </c>
      <c r="E821" s="3" t="s">
        <v>580</v>
      </c>
      <c r="F821" s="3" t="s">
        <v>81</v>
      </c>
      <c r="G821" t="s">
        <v>14</v>
      </c>
    </row>
    <row r="822" spans="1:7" ht="16">
      <c r="A822" s="4">
        <v>17519796</v>
      </c>
      <c r="B822" s="1" t="s">
        <v>859</v>
      </c>
      <c r="C822" s="4">
        <v>2007</v>
      </c>
      <c r="D822" s="5" t="s">
        <v>860</v>
      </c>
      <c r="E822" s="3" t="s">
        <v>580</v>
      </c>
      <c r="F822" s="3" t="s">
        <v>29</v>
      </c>
      <c r="G822">
        <v>0</v>
      </c>
    </row>
    <row r="823" spans="1:7" ht="16">
      <c r="A823" s="4">
        <v>17516391</v>
      </c>
      <c r="B823" s="1" t="s">
        <v>833</v>
      </c>
      <c r="C823" s="4">
        <v>2007</v>
      </c>
      <c r="D823" s="5" t="s">
        <v>834</v>
      </c>
      <c r="E823" s="3" t="s">
        <v>580</v>
      </c>
      <c r="F823" s="3" t="s">
        <v>29</v>
      </c>
      <c r="G823">
        <v>0</v>
      </c>
    </row>
    <row r="824" spans="1:7" ht="16">
      <c r="A824" s="4">
        <v>17432230</v>
      </c>
      <c r="B824" s="1" t="s">
        <v>612</v>
      </c>
      <c r="C824" s="4">
        <v>2006</v>
      </c>
      <c r="D824" s="5" t="s">
        <v>613</v>
      </c>
      <c r="E824" s="3" t="s">
        <v>580</v>
      </c>
      <c r="F824" s="3" t="s">
        <v>45</v>
      </c>
      <c r="G824">
        <v>0</v>
      </c>
    </row>
    <row r="825" spans="1:7" ht="16">
      <c r="A825" s="4">
        <v>17366067</v>
      </c>
      <c r="B825" s="1" t="s">
        <v>909</v>
      </c>
      <c r="C825" s="4">
        <v>2007</v>
      </c>
      <c r="D825" s="5" t="s">
        <v>910</v>
      </c>
      <c r="E825" s="3" t="s">
        <v>580</v>
      </c>
      <c r="F825" s="3" t="s">
        <v>29</v>
      </c>
      <c r="G825">
        <v>0</v>
      </c>
    </row>
    <row r="826" spans="1:7" ht="16">
      <c r="A826" s="4">
        <v>17299707</v>
      </c>
      <c r="B826" s="1" t="s">
        <v>2007</v>
      </c>
      <c r="C826" s="4">
        <v>2007</v>
      </c>
      <c r="D826" s="5" t="s">
        <v>2008</v>
      </c>
      <c r="E826" s="3" t="s">
        <v>580</v>
      </c>
      <c r="F826" s="3" t="s">
        <v>33</v>
      </c>
      <c r="G826">
        <v>0</v>
      </c>
    </row>
    <row r="827" spans="1:7" ht="16">
      <c r="A827" s="4">
        <v>17276376</v>
      </c>
      <c r="B827" s="1" t="s">
        <v>2360</v>
      </c>
      <c r="C827" s="4">
        <v>2006</v>
      </c>
      <c r="D827" s="5" t="s">
        <v>2361</v>
      </c>
      <c r="E827" s="3" t="s">
        <v>580</v>
      </c>
      <c r="F827" s="3" t="s">
        <v>38</v>
      </c>
      <c r="G827">
        <v>0</v>
      </c>
    </row>
    <row r="828" spans="1:7" ht="16">
      <c r="A828" s="4">
        <v>17276374</v>
      </c>
      <c r="B828" s="1" t="s">
        <v>1317</v>
      </c>
      <c r="C828" s="4">
        <v>2006</v>
      </c>
      <c r="D828" s="5" t="s">
        <v>1318</v>
      </c>
      <c r="E828" s="3" t="s">
        <v>580</v>
      </c>
      <c r="F828" s="3" t="s">
        <v>42</v>
      </c>
      <c r="G828">
        <v>0</v>
      </c>
    </row>
    <row r="829" spans="1:7" ht="16">
      <c r="A829" s="4">
        <v>17276371</v>
      </c>
      <c r="B829" s="1" t="s">
        <v>741</v>
      </c>
      <c r="C829" s="4">
        <v>2006</v>
      </c>
      <c r="D829" s="5" t="s">
        <v>742</v>
      </c>
      <c r="E829" s="3" t="s">
        <v>580</v>
      </c>
      <c r="F829" s="3" t="s">
        <v>29</v>
      </c>
      <c r="G829">
        <v>0</v>
      </c>
    </row>
    <row r="830" spans="1:7" ht="16">
      <c r="A830" s="4">
        <v>17276370</v>
      </c>
      <c r="B830" s="1" t="s">
        <v>2322</v>
      </c>
      <c r="C830" s="4">
        <v>2006</v>
      </c>
      <c r="D830" s="5" t="s">
        <v>2323</v>
      </c>
      <c r="E830" s="3" t="s">
        <v>580</v>
      </c>
      <c r="F830" s="3" t="s">
        <v>38</v>
      </c>
      <c r="G830">
        <v>0</v>
      </c>
    </row>
    <row r="831" spans="1:7" ht="16">
      <c r="A831" s="4">
        <v>17276364</v>
      </c>
      <c r="B831" s="1" t="s">
        <v>1875</v>
      </c>
      <c r="C831" s="4">
        <v>2006</v>
      </c>
      <c r="D831" s="5" t="s">
        <v>1876</v>
      </c>
      <c r="E831" s="3" t="s">
        <v>580</v>
      </c>
      <c r="F831" s="3" t="s">
        <v>33</v>
      </c>
      <c r="G831">
        <v>0</v>
      </c>
    </row>
    <row r="832" spans="1:7" ht="16">
      <c r="A832" s="4">
        <v>17254798</v>
      </c>
      <c r="B832" s="1" t="s">
        <v>1828</v>
      </c>
      <c r="C832" s="4">
        <v>2007</v>
      </c>
      <c r="D832" s="5" t="s">
        <v>1829</v>
      </c>
      <c r="E832" s="3" t="s">
        <v>580</v>
      </c>
      <c r="F832" s="3" t="s">
        <v>33</v>
      </c>
      <c r="G832">
        <v>0</v>
      </c>
    </row>
    <row r="833" spans="1:7" ht="16">
      <c r="A833" s="4">
        <v>17234516</v>
      </c>
      <c r="B833" s="1" t="s">
        <v>1343</v>
      </c>
      <c r="C833" s="4">
        <v>2007</v>
      </c>
      <c r="D833" s="5" t="s">
        <v>1344</v>
      </c>
      <c r="E833" s="3" t="s">
        <v>580</v>
      </c>
      <c r="F833" s="3" t="s">
        <v>42</v>
      </c>
      <c r="G833">
        <v>0</v>
      </c>
    </row>
    <row r="834" spans="1:7" ht="16">
      <c r="A834" s="4">
        <v>17204195</v>
      </c>
      <c r="B834" s="1" t="s">
        <v>267</v>
      </c>
      <c r="C834" s="4">
        <v>2006</v>
      </c>
      <c r="D834" s="5" t="s">
        <v>588</v>
      </c>
      <c r="E834" s="3" t="s">
        <v>580</v>
      </c>
      <c r="F834" s="3" t="s">
        <v>45</v>
      </c>
      <c r="G834">
        <v>0</v>
      </c>
    </row>
    <row r="835" spans="1:7" ht="16">
      <c r="A835" s="4">
        <v>21348118</v>
      </c>
      <c r="B835" s="1" t="s">
        <v>2503</v>
      </c>
      <c r="C835" s="4">
        <v>2007</v>
      </c>
      <c r="D835" s="5" t="s">
        <v>2504</v>
      </c>
      <c r="E835" s="3" t="s">
        <v>580</v>
      </c>
      <c r="F835" s="3" t="s">
        <v>38</v>
      </c>
      <c r="G835">
        <v>0</v>
      </c>
    </row>
    <row r="836" spans="1:7" ht="16">
      <c r="A836" s="4">
        <v>21348077</v>
      </c>
      <c r="B836" s="1" t="s">
        <v>2516</v>
      </c>
      <c r="C836" s="4">
        <v>2007</v>
      </c>
      <c r="D836" s="5" t="s">
        <v>2517</v>
      </c>
      <c r="E836" s="3" t="s">
        <v>580</v>
      </c>
      <c r="F836" s="3" t="s">
        <v>38</v>
      </c>
      <c r="G836">
        <v>0</v>
      </c>
    </row>
    <row r="837" spans="1:7" ht="16">
      <c r="A837" s="4">
        <v>21348064</v>
      </c>
      <c r="B837" s="1" t="s">
        <v>2493</v>
      </c>
      <c r="C837" s="4">
        <v>2007</v>
      </c>
      <c r="D837" s="5" t="s">
        <v>2494</v>
      </c>
      <c r="E837" s="3" t="s">
        <v>580</v>
      </c>
      <c r="F837" s="3" t="s">
        <v>38</v>
      </c>
      <c r="G837">
        <v>0</v>
      </c>
    </row>
    <row r="838" spans="1:7" ht="16">
      <c r="A838" s="4">
        <v>17173218</v>
      </c>
      <c r="B838" s="1" t="s">
        <v>2631</v>
      </c>
      <c r="C838" s="4">
        <v>2007</v>
      </c>
      <c r="D838" s="5" t="s">
        <v>2632</v>
      </c>
      <c r="E838" s="3" t="s">
        <v>580</v>
      </c>
      <c r="F838" s="3" t="s">
        <v>164</v>
      </c>
      <c r="G838">
        <v>0</v>
      </c>
    </row>
    <row r="839" spans="1:7" ht="16">
      <c r="A839" s="4">
        <v>17172120</v>
      </c>
      <c r="B839" s="1" t="s">
        <v>267</v>
      </c>
      <c r="C839" s="4">
        <v>2006</v>
      </c>
      <c r="D839" s="5" t="s">
        <v>593</v>
      </c>
      <c r="E839" s="3" t="s">
        <v>580</v>
      </c>
      <c r="F839" s="3" t="s">
        <v>45</v>
      </c>
      <c r="G839">
        <v>0</v>
      </c>
    </row>
    <row r="840" spans="1:7" ht="16">
      <c r="A840" s="4">
        <v>17151208</v>
      </c>
      <c r="B840" s="1" t="s">
        <v>2082</v>
      </c>
      <c r="C840" s="4">
        <v>2007</v>
      </c>
      <c r="D840" s="5" t="s">
        <v>2083</v>
      </c>
      <c r="E840" s="3" t="s">
        <v>580</v>
      </c>
      <c r="F840" s="3" t="s">
        <v>33</v>
      </c>
      <c r="G840">
        <v>0</v>
      </c>
    </row>
    <row r="841" spans="1:7" ht="16">
      <c r="A841" s="4">
        <v>17147913</v>
      </c>
      <c r="B841" s="1" t="s">
        <v>1531</v>
      </c>
      <c r="C841" s="4">
        <v>2006</v>
      </c>
      <c r="D841" s="5" t="s">
        <v>1532</v>
      </c>
      <c r="E841" s="3" t="s">
        <v>580</v>
      </c>
      <c r="F841" s="3" t="s">
        <v>143</v>
      </c>
      <c r="G841">
        <v>0</v>
      </c>
    </row>
    <row r="842" spans="1:7" ht="16">
      <c r="A842" s="4">
        <v>17116137</v>
      </c>
      <c r="B842" s="1" t="s">
        <v>923</v>
      </c>
      <c r="C842" s="4">
        <v>2006</v>
      </c>
      <c r="D842" s="5" t="s">
        <v>924</v>
      </c>
      <c r="E842" s="3" t="s">
        <v>580</v>
      </c>
      <c r="F842" s="3" t="s">
        <v>29</v>
      </c>
      <c r="G842">
        <v>0</v>
      </c>
    </row>
    <row r="843" spans="1:7" ht="16">
      <c r="A843" s="4">
        <v>17092696</v>
      </c>
      <c r="B843" s="1" t="s">
        <v>1099</v>
      </c>
      <c r="C843" s="4">
        <v>2006</v>
      </c>
      <c r="D843" s="5" t="s">
        <v>1100</v>
      </c>
      <c r="E843" s="3" t="s">
        <v>580</v>
      </c>
      <c r="F843" s="3" t="s">
        <v>29</v>
      </c>
      <c r="G843">
        <v>0</v>
      </c>
    </row>
    <row r="844" spans="1:7" ht="16">
      <c r="A844" s="4">
        <v>17038915</v>
      </c>
      <c r="B844" s="1" t="s">
        <v>1337</v>
      </c>
      <c r="C844" s="4">
        <v>2006</v>
      </c>
      <c r="D844" s="5" t="s">
        <v>1338</v>
      </c>
      <c r="E844" s="3" t="s">
        <v>580</v>
      </c>
      <c r="F844" s="3" t="s">
        <v>42</v>
      </c>
      <c r="G844">
        <v>0</v>
      </c>
    </row>
    <row r="845" spans="1:7" ht="16">
      <c r="A845" s="4">
        <v>17035801</v>
      </c>
      <c r="B845" s="1" t="s">
        <v>2381</v>
      </c>
      <c r="C845" s="4">
        <v>1999</v>
      </c>
      <c r="D845" s="5" t="s">
        <v>2544</v>
      </c>
      <c r="E845" s="3" t="s">
        <v>580</v>
      </c>
      <c r="F845" s="3" t="s">
        <v>38</v>
      </c>
      <c r="G845">
        <v>0</v>
      </c>
    </row>
    <row r="846" spans="1:7" ht="16">
      <c r="A846" s="4">
        <v>17035788</v>
      </c>
      <c r="B846" s="1" t="s">
        <v>2501</v>
      </c>
      <c r="C846" s="4">
        <v>1999</v>
      </c>
      <c r="D846" s="5" t="s">
        <v>2502</v>
      </c>
      <c r="E846" s="3" t="s">
        <v>580</v>
      </c>
      <c r="F846" s="3" t="s">
        <v>38</v>
      </c>
      <c r="G846">
        <v>0</v>
      </c>
    </row>
    <row r="847" spans="1:7" ht="16">
      <c r="A847" s="4">
        <v>17033403</v>
      </c>
      <c r="B847" s="1" t="s">
        <v>2381</v>
      </c>
      <c r="C847" s="4">
        <v>1998</v>
      </c>
      <c r="D847" s="5" t="s">
        <v>2556</v>
      </c>
      <c r="E847" s="3" t="s">
        <v>580</v>
      </c>
      <c r="F847" s="3" t="s">
        <v>38</v>
      </c>
      <c r="G847">
        <v>0</v>
      </c>
    </row>
    <row r="848" spans="1:7" ht="16">
      <c r="A848" s="4">
        <v>17032433</v>
      </c>
      <c r="B848" s="1" t="s">
        <v>2612</v>
      </c>
      <c r="C848" s="4">
        <v>2006</v>
      </c>
      <c r="D848" s="5" t="s">
        <v>2613</v>
      </c>
      <c r="E848" s="3" t="s">
        <v>580</v>
      </c>
      <c r="F848" s="3" t="s">
        <v>38</v>
      </c>
      <c r="G848">
        <v>0</v>
      </c>
    </row>
    <row r="849" spans="1:7" ht="16">
      <c r="A849" s="4">
        <v>17013421</v>
      </c>
      <c r="B849" s="1" t="s">
        <v>867</v>
      </c>
      <c r="C849" s="4">
        <v>2006</v>
      </c>
      <c r="D849" s="5" t="s">
        <v>868</v>
      </c>
      <c r="E849" s="3" t="s">
        <v>580</v>
      </c>
      <c r="F849" s="3" t="s">
        <v>29</v>
      </c>
      <c r="G849">
        <v>0</v>
      </c>
    </row>
    <row r="850" spans="1:7" ht="16">
      <c r="A850" s="4">
        <v>16984646</v>
      </c>
      <c r="B850" s="1" t="s">
        <v>1917</v>
      </c>
      <c r="C850" s="4">
        <v>2006</v>
      </c>
      <c r="D850" s="5" t="s">
        <v>1918</v>
      </c>
      <c r="E850" s="3" t="s">
        <v>580</v>
      </c>
      <c r="F850" s="3" t="s">
        <v>33</v>
      </c>
      <c r="G850">
        <v>0</v>
      </c>
    </row>
    <row r="851" spans="1:7" ht="16">
      <c r="A851" s="4">
        <v>16966219</v>
      </c>
      <c r="B851" s="1" t="s">
        <v>1850</v>
      </c>
      <c r="C851" s="4">
        <v>2006</v>
      </c>
      <c r="D851" s="5" t="s">
        <v>1851</v>
      </c>
      <c r="E851" s="3" t="s">
        <v>580</v>
      </c>
      <c r="F851" s="3" t="s">
        <v>33</v>
      </c>
      <c r="G851">
        <v>0</v>
      </c>
    </row>
    <row r="852" spans="1:7" ht="16">
      <c r="A852" s="4">
        <v>16960791</v>
      </c>
      <c r="B852" s="1" t="s">
        <v>1500</v>
      </c>
      <c r="C852" s="4">
        <v>2006</v>
      </c>
      <c r="D852" s="5" t="s">
        <v>1501</v>
      </c>
      <c r="E852" s="3" t="s">
        <v>580</v>
      </c>
      <c r="F852" s="3" t="s">
        <v>57</v>
      </c>
      <c r="G852">
        <v>0</v>
      </c>
    </row>
    <row r="853" spans="1:7" ht="16">
      <c r="A853" s="4">
        <v>16931140</v>
      </c>
      <c r="B853" s="1" t="s">
        <v>1451</v>
      </c>
      <c r="C853" s="4">
        <v>2006</v>
      </c>
      <c r="D853" s="5" t="s">
        <v>1452</v>
      </c>
      <c r="E853" s="3" t="s">
        <v>580</v>
      </c>
      <c r="F853" s="3" t="s">
        <v>42</v>
      </c>
      <c r="G853">
        <v>0</v>
      </c>
    </row>
    <row r="854" spans="1:7" ht="16">
      <c r="A854" s="4">
        <v>16918534</v>
      </c>
      <c r="B854" s="1" t="s">
        <v>1429</v>
      </c>
      <c r="C854" s="4">
        <v>2006</v>
      </c>
      <c r="D854" s="5" t="s">
        <v>1430</v>
      </c>
      <c r="E854" s="3" t="s">
        <v>580</v>
      </c>
      <c r="F854" s="3" t="s">
        <v>42</v>
      </c>
      <c r="G854">
        <v>0</v>
      </c>
    </row>
    <row r="855" spans="1:7" ht="16">
      <c r="A855" s="4">
        <v>16858271</v>
      </c>
      <c r="B855" s="1" t="s">
        <v>1417</v>
      </c>
      <c r="C855" s="4">
        <v>2006</v>
      </c>
      <c r="D855" s="5" t="s">
        <v>1418</v>
      </c>
      <c r="E855" s="3" t="s">
        <v>580</v>
      </c>
      <c r="F855" s="3" t="s">
        <v>42</v>
      </c>
      <c r="G855">
        <v>0</v>
      </c>
    </row>
    <row r="856" spans="1:7" ht="16">
      <c r="A856" s="4">
        <v>16792943</v>
      </c>
      <c r="B856" s="1" t="s">
        <v>2394</v>
      </c>
      <c r="C856" s="4">
        <v>2006</v>
      </c>
      <c r="D856" s="5" t="s">
        <v>2395</v>
      </c>
      <c r="E856" s="3" t="s">
        <v>580</v>
      </c>
      <c r="F856" s="3" t="s">
        <v>38</v>
      </c>
      <c r="G856">
        <v>0</v>
      </c>
    </row>
    <row r="857" spans="1:7" ht="16">
      <c r="A857" s="4">
        <v>16758753</v>
      </c>
      <c r="B857" s="1" t="s">
        <v>2417</v>
      </c>
      <c r="C857" s="4">
        <v>2006</v>
      </c>
      <c r="D857" s="5" t="s">
        <v>2418</v>
      </c>
      <c r="E857" s="3" t="s">
        <v>580</v>
      </c>
      <c r="F857" s="3" t="s">
        <v>38</v>
      </c>
      <c r="G857">
        <v>0</v>
      </c>
    </row>
    <row r="858" spans="1:7" ht="16">
      <c r="A858" s="4">
        <v>16732999</v>
      </c>
      <c r="B858" s="1" t="s">
        <v>2322</v>
      </c>
      <c r="C858" s="4">
        <v>2006</v>
      </c>
      <c r="D858" s="5" t="s">
        <v>2434</v>
      </c>
      <c r="E858" s="3" t="s">
        <v>580</v>
      </c>
      <c r="F858" s="3" t="s">
        <v>38</v>
      </c>
      <c r="G858">
        <v>0</v>
      </c>
    </row>
    <row r="859" spans="1:7" ht="16">
      <c r="A859" s="4">
        <v>16687586</v>
      </c>
      <c r="B859" s="1" t="s">
        <v>2084</v>
      </c>
      <c r="C859" s="4">
        <v>2006</v>
      </c>
      <c r="D859" s="5" t="s">
        <v>2085</v>
      </c>
      <c r="E859" s="3" t="s">
        <v>580</v>
      </c>
      <c r="F859" s="3" t="s">
        <v>33</v>
      </c>
      <c r="G859">
        <v>0</v>
      </c>
    </row>
    <row r="860" spans="1:7" ht="16">
      <c r="A860" s="4">
        <v>16679705</v>
      </c>
      <c r="B860" s="1" t="s">
        <v>1057</v>
      </c>
      <c r="C860" s="4">
        <v>2006</v>
      </c>
      <c r="D860" s="5" t="s">
        <v>1058</v>
      </c>
      <c r="E860" s="3" t="s">
        <v>580</v>
      </c>
      <c r="F860" s="3" t="s">
        <v>29</v>
      </c>
      <c r="G860">
        <v>0</v>
      </c>
    </row>
    <row r="861" spans="1:7" ht="16">
      <c r="A861" s="4">
        <v>16679694</v>
      </c>
      <c r="B861" s="1" t="s">
        <v>606</v>
      </c>
      <c r="C861" s="4">
        <v>2006</v>
      </c>
      <c r="D861" s="5" t="s">
        <v>1567</v>
      </c>
      <c r="E861" s="3" t="s">
        <v>580</v>
      </c>
      <c r="F861" s="3" t="s">
        <v>85</v>
      </c>
      <c r="G861">
        <v>0</v>
      </c>
    </row>
    <row r="862" spans="1:7" ht="16">
      <c r="A862" s="4">
        <v>16647570</v>
      </c>
      <c r="B862" s="1" t="s">
        <v>1959</v>
      </c>
      <c r="C862" s="4">
        <v>2006</v>
      </c>
      <c r="D862" s="5" t="s">
        <v>1960</v>
      </c>
      <c r="E862" s="3" t="s">
        <v>580</v>
      </c>
      <c r="F862" s="3" t="s">
        <v>33</v>
      </c>
      <c r="G862">
        <v>0</v>
      </c>
    </row>
    <row r="863" spans="1:7" ht="16">
      <c r="A863" s="4">
        <v>16628583</v>
      </c>
      <c r="B863" s="1" t="s">
        <v>1361</v>
      </c>
      <c r="C863" s="4">
        <v>2006</v>
      </c>
      <c r="D863" s="5" t="s">
        <v>1362</v>
      </c>
      <c r="E863" s="3" t="s">
        <v>580</v>
      </c>
      <c r="F863" s="3" t="s">
        <v>42</v>
      </c>
      <c r="G863">
        <v>0</v>
      </c>
    </row>
    <row r="864" spans="1:7" ht="16">
      <c r="A864" s="4">
        <v>16615520</v>
      </c>
      <c r="B864" s="1" t="s">
        <v>2465</v>
      </c>
      <c r="C864" s="4">
        <v>2006</v>
      </c>
      <c r="D864" s="5" t="s">
        <v>2466</v>
      </c>
      <c r="E864" s="3" t="s">
        <v>580</v>
      </c>
      <c r="F864" s="3" t="s">
        <v>38</v>
      </c>
      <c r="G864">
        <v>0</v>
      </c>
    </row>
    <row r="865" spans="1:7" ht="16">
      <c r="A865" s="4">
        <v>16615518</v>
      </c>
      <c r="B865" s="1" t="s">
        <v>2374</v>
      </c>
      <c r="C865" s="4">
        <v>2006</v>
      </c>
      <c r="D865" s="5" t="s">
        <v>2375</v>
      </c>
      <c r="E865" s="3" t="s">
        <v>580</v>
      </c>
      <c r="F865" s="3" t="s">
        <v>38</v>
      </c>
      <c r="G865">
        <v>0</v>
      </c>
    </row>
    <row r="866" spans="1:7" ht="16">
      <c r="A866" s="4">
        <v>16615443</v>
      </c>
      <c r="B866" s="1" t="s">
        <v>2467</v>
      </c>
      <c r="C866" s="4">
        <v>2006</v>
      </c>
      <c r="D866" s="5" t="s">
        <v>2468</v>
      </c>
      <c r="E866" s="3" t="s">
        <v>580</v>
      </c>
      <c r="F866" s="3" t="s">
        <v>38</v>
      </c>
      <c r="G866">
        <v>0</v>
      </c>
    </row>
    <row r="867" spans="1:7" ht="16">
      <c r="A867" s="4">
        <v>16612979</v>
      </c>
      <c r="B867" s="1" t="s">
        <v>1967</v>
      </c>
      <c r="C867" s="4">
        <v>2006</v>
      </c>
      <c r="D867" s="5" t="s">
        <v>1968</v>
      </c>
      <c r="E867" s="3" t="s">
        <v>580</v>
      </c>
      <c r="F867" s="3" t="s">
        <v>33</v>
      </c>
      <c r="G867">
        <v>0</v>
      </c>
    </row>
    <row r="868" spans="1:7" ht="16">
      <c r="A868" s="4">
        <v>16611785</v>
      </c>
      <c r="B868" s="1" t="s">
        <v>977</v>
      </c>
      <c r="C868" s="4">
        <v>2006</v>
      </c>
      <c r="D868" s="5" t="s">
        <v>978</v>
      </c>
      <c r="E868" s="3" t="s">
        <v>580</v>
      </c>
      <c r="F868" s="3" t="s">
        <v>29</v>
      </c>
      <c r="G868">
        <v>0</v>
      </c>
    </row>
    <row r="869" spans="1:7" ht="16">
      <c r="A869" s="4">
        <v>16528368</v>
      </c>
      <c r="B869" s="1" t="s">
        <v>2124</v>
      </c>
      <c r="C869" s="4">
        <v>2006</v>
      </c>
      <c r="D869" s="5" t="s">
        <v>2125</v>
      </c>
      <c r="E869" s="3" t="s">
        <v>580</v>
      </c>
      <c r="F869" s="3" t="s">
        <v>33</v>
      </c>
      <c r="G869">
        <v>0</v>
      </c>
    </row>
    <row r="870" spans="1:7" ht="16">
      <c r="A870" s="4">
        <v>16518751</v>
      </c>
      <c r="B870" s="1" t="s">
        <v>817</v>
      </c>
      <c r="C870" s="4">
        <v>2006</v>
      </c>
      <c r="D870" s="5" t="s">
        <v>818</v>
      </c>
      <c r="E870" s="3" t="s">
        <v>580</v>
      </c>
      <c r="F870" s="3" t="s">
        <v>29</v>
      </c>
      <c r="G870">
        <v>0</v>
      </c>
    </row>
    <row r="871" spans="1:7" ht="16">
      <c r="A871" s="4">
        <v>16504686</v>
      </c>
      <c r="B871" s="1" t="s">
        <v>1367</v>
      </c>
      <c r="C871" s="4">
        <v>2006</v>
      </c>
      <c r="D871" s="5" t="s">
        <v>1368</v>
      </c>
      <c r="E871" s="3" t="s">
        <v>580</v>
      </c>
      <c r="F871" s="3" t="s">
        <v>42</v>
      </c>
      <c r="G871">
        <v>0</v>
      </c>
    </row>
    <row r="872" spans="1:7" ht="16">
      <c r="A872" s="4">
        <v>16489840</v>
      </c>
      <c r="B872" s="1" t="s">
        <v>2615</v>
      </c>
      <c r="C872" s="4">
        <v>2006</v>
      </c>
      <c r="D872" s="5" t="s">
        <v>2616</v>
      </c>
      <c r="E872" s="3" t="s">
        <v>580</v>
      </c>
      <c r="F872" s="3" t="s">
        <v>38</v>
      </c>
      <c r="G872">
        <v>0</v>
      </c>
    </row>
    <row r="873" spans="1:7" ht="16">
      <c r="A873" s="4">
        <v>16477222</v>
      </c>
      <c r="B873" s="1" t="s">
        <v>1291</v>
      </c>
      <c r="C873" s="4">
        <v>2006</v>
      </c>
      <c r="D873" s="5" t="s">
        <v>1292</v>
      </c>
      <c r="E873" s="3" t="s">
        <v>580</v>
      </c>
      <c r="F873" s="3" t="s">
        <v>42</v>
      </c>
      <c r="G873">
        <v>0</v>
      </c>
    </row>
    <row r="874" spans="1:7" ht="16">
      <c r="A874" s="4">
        <v>16474928</v>
      </c>
      <c r="B874" s="1" t="s">
        <v>1985</v>
      </c>
      <c r="C874" s="4">
        <v>2006</v>
      </c>
      <c r="D874" s="5" t="s">
        <v>1986</v>
      </c>
      <c r="E874" s="3" t="s">
        <v>580</v>
      </c>
      <c r="F874" s="3" t="s">
        <v>33</v>
      </c>
      <c r="G874">
        <v>0</v>
      </c>
    </row>
    <row r="875" spans="1:7" ht="16">
      <c r="A875" s="4">
        <v>16401906</v>
      </c>
      <c r="B875" s="1" t="s">
        <v>921</v>
      </c>
      <c r="C875" s="4">
        <v>2005</v>
      </c>
      <c r="D875" s="5" t="s">
        <v>922</v>
      </c>
      <c r="E875" s="3" t="s">
        <v>580</v>
      </c>
      <c r="F875" s="3" t="s">
        <v>29</v>
      </c>
      <c r="G875">
        <v>0</v>
      </c>
    </row>
    <row r="876" spans="1:7" ht="16">
      <c r="A876" s="4">
        <v>16387127</v>
      </c>
      <c r="B876" s="1" t="s">
        <v>1181</v>
      </c>
      <c r="C876" s="4">
        <v>2005</v>
      </c>
      <c r="D876" s="5" t="s">
        <v>1182</v>
      </c>
      <c r="E876" s="3" t="s">
        <v>580</v>
      </c>
      <c r="F876" s="3" t="s">
        <v>29</v>
      </c>
      <c r="G876">
        <v>0</v>
      </c>
    </row>
    <row r="877" spans="1:7" ht="16">
      <c r="A877" s="4">
        <v>16386530</v>
      </c>
      <c r="B877" s="1" t="s">
        <v>1469</v>
      </c>
      <c r="C877" s="4">
        <v>2005</v>
      </c>
      <c r="D877" s="5" t="s">
        <v>1470</v>
      </c>
      <c r="E877" s="3" t="s">
        <v>580</v>
      </c>
      <c r="F877" s="3" t="s">
        <v>42</v>
      </c>
      <c r="G877">
        <v>0</v>
      </c>
    </row>
    <row r="878" spans="1:7" ht="16">
      <c r="A878" s="4">
        <v>16382451</v>
      </c>
      <c r="B878" s="1" t="s">
        <v>2534</v>
      </c>
      <c r="C878" s="4">
        <v>2006</v>
      </c>
      <c r="D878" s="5" t="s">
        <v>2535</v>
      </c>
      <c r="E878" s="3" t="s">
        <v>580</v>
      </c>
      <c r="F878" s="3" t="s">
        <v>38</v>
      </c>
      <c r="G878">
        <v>0</v>
      </c>
    </row>
    <row r="879" spans="1:7" ht="16">
      <c r="A879" s="4">
        <v>16363745</v>
      </c>
      <c r="B879" s="1" t="s">
        <v>975</v>
      </c>
      <c r="C879" s="4">
        <v>2005</v>
      </c>
      <c r="D879" s="5" t="s">
        <v>976</v>
      </c>
      <c r="E879" s="3" t="s">
        <v>580</v>
      </c>
      <c r="F879" s="3" t="s">
        <v>29</v>
      </c>
      <c r="G879">
        <v>0</v>
      </c>
    </row>
    <row r="880" spans="1:7" ht="16">
      <c r="A880" s="4">
        <v>16333831</v>
      </c>
      <c r="B880" s="1" t="s">
        <v>1824</v>
      </c>
      <c r="C880" s="4">
        <v>2006</v>
      </c>
      <c r="D880" s="5" t="s">
        <v>1825</v>
      </c>
      <c r="E880" s="3" t="s">
        <v>580</v>
      </c>
      <c r="F880" s="3" t="s">
        <v>33</v>
      </c>
      <c r="G880">
        <v>0</v>
      </c>
    </row>
    <row r="881" spans="1:7" ht="16">
      <c r="A881" s="4">
        <v>16313481</v>
      </c>
      <c r="B881" s="1" t="s">
        <v>1081</v>
      </c>
      <c r="C881" s="4">
        <v>2005</v>
      </c>
      <c r="D881" s="5" t="s">
        <v>1082</v>
      </c>
      <c r="E881" s="3" t="s">
        <v>580</v>
      </c>
      <c r="F881" s="3" t="s">
        <v>29</v>
      </c>
      <c r="G881">
        <v>0</v>
      </c>
    </row>
    <row r="882" spans="1:7" ht="16">
      <c r="A882" s="4">
        <v>16305617</v>
      </c>
      <c r="B882" s="1" t="s">
        <v>2482</v>
      </c>
      <c r="C882" s="4">
        <v>2005</v>
      </c>
      <c r="D882" s="5" t="s">
        <v>2483</v>
      </c>
      <c r="E882" s="3" t="s">
        <v>580</v>
      </c>
      <c r="F882" s="3" t="s">
        <v>38</v>
      </c>
      <c r="G882">
        <v>0</v>
      </c>
    </row>
    <row r="883" spans="1:7" ht="16">
      <c r="A883" s="4">
        <v>16303014</v>
      </c>
      <c r="B883" s="1" t="s">
        <v>1389</v>
      </c>
      <c r="C883" s="4">
        <v>2005</v>
      </c>
      <c r="D883" s="5" t="s">
        <v>1390</v>
      </c>
      <c r="E883" s="3" t="s">
        <v>580</v>
      </c>
      <c r="F883" s="3" t="s">
        <v>42</v>
      </c>
      <c r="G883">
        <v>0</v>
      </c>
    </row>
    <row r="884" spans="1:7" ht="16">
      <c r="A884" s="4">
        <v>16300835</v>
      </c>
      <c r="B884" s="1" t="s">
        <v>1909</v>
      </c>
      <c r="C884" s="4">
        <v>2006</v>
      </c>
      <c r="D884" s="5" t="s">
        <v>1910</v>
      </c>
      <c r="E884" s="3" t="s">
        <v>580</v>
      </c>
      <c r="F884" s="3" t="s">
        <v>33</v>
      </c>
      <c r="G884">
        <v>0</v>
      </c>
    </row>
    <row r="885" spans="1:7" ht="16">
      <c r="A885" s="4">
        <v>16218029</v>
      </c>
      <c r="B885" s="1" t="s">
        <v>1427</v>
      </c>
      <c r="C885" s="4">
        <v>2005</v>
      </c>
      <c r="D885" s="5" t="s">
        <v>1428</v>
      </c>
      <c r="E885" s="3" t="s">
        <v>580</v>
      </c>
      <c r="F885" s="3" t="s">
        <v>42</v>
      </c>
      <c r="G885">
        <v>0</v>
      </c>
    </row>
    <row r="886" spans="1:7" ht="16">
      <c r="A886" s="4">
        <v>16176416</v>
      </c>
      <c r="B886" s="1" t="s">
        <v>1373</v>
      </c>
      <c r="C886" s="4">
        <v>2005</v>
      </c>
      <c r="D886" s="5" t="s">
        <v>1374</v>
      </c>
      <c r="E886" s="3" t="s">
        <v>580</v>
      </c>
      <c r="F886" s="3" t="s">
        <v>42</v>
      </c>
      <c r="G886">
        <v>0</v>
      </c>
    </row>
    <row r="887" spans="1:7" ht="16">
      <c r="A887" s="4">
        <v>16170749</v>
      </c>
      <c r="B887" s="1" t="s">
        <v>1437</v>
      </c>
      <c r="C887" s="4">
        <v>2005</v>
      </c>
      <c r="D887" s="5" t="s">
        <v>1438</v>
      </c>
      <c r="E887" s="3" t="s">
        <v>580</v>
      </c>
      <c r="F887" s="3" t="s">
        <v>42</v>
      </c>
      <c r="G887">
        <v>0</v>
      </c>
    </row>
    <row r="888" spans="1:7" ht="16">
      <c r="A888" s="4">
        <v>16148562</v>
      </c>
      <c r="B888" s="1" t="s">
        <v>1035</v>
      </c>
      <c r="C888" s="4">
        <v>2005</v>
      </c>
      <c r="D888" s="5" t="s">
        <v>1036</v>
      </c>
      <c r="E888" s="3" t="s">
        <v>580</v>
      </c>
      <c r="F888" s="3" t="s">
        <v>29</v>
      </c>
      <c r="G888">
        <v>0</v>
      </c>
    </row>
    <row r="889" spans="1:7" ht="16">
      <c r="A889" s="4">
        <v>16123732</v>
      </c>
      <c r="B889" s="1" t="s">
        <v>1005</v>
      </c>
      <c r="C889" s="4">
        <v>2005</v>
      </c>
      <c r="D889" s="5" t="s">
        <v>1006</v>
      </c>
      <c r="E889" s="3" t="s">
        <v>580</v>
      </c>
      <c r="F889" s="3" t="s">
        <v>29</v>
      </c>
      <c r="G889">
        <v>0</v>
      </c>
    </row>
    <row r="890" spans="1:7" ht="16">
      <c r="A890" s="4">
        <v>16030042</v>
      </c>
      <c r="B890" s="1" t="s">
        <v>875</v>
      </c>
      <c r="C890" s="4">
        <v>2005</v>
      </c>
      <c r="D890" s="5" t="s">
        <v>876</v>
      </c>
      <c r="E890" s="3" t="s">
        <v>580</v>
      </c>
      <c r="F890" s="3" t="s">
        <v>29</v>
      </c>
      <c r="G890">
        <v>0</v>
      </c>
    </row>
    <row r="891" spans="1:7" ht="16">
      <c r="A891" s="4">
        <v>16019484</v>
      </c>
      <c r="B891" s="1" t="s">
        <v>1055</v>
      </c>
      <c r="C891" s="4">
        <v>2005</v>
      </c>
      <c r="D891" s="5" t="s">
        <v>1056</v>
      </c>
      <c r="E891" s="3" t="s">
        <v>580</v>
      </c>
      <c r="F891" s="3" t="s">
        <v>29</v>
      </c>
      <c r="G891">
        <v>0</v>
      </c>
    </row>
    <row r="892" spans="1:7" ht="16">
      <c r="A892" s="4">
        <v>16008754</v>
      </c>
      <c r="B892" s="1" t="s">
        <v>1679</v>
      </c>
      <c r="C892" s="4">
        <v>2005</v>
      </c>
      <c r="D892" s="5" t="s">
        <v>1680</v>
      </c>
      <c r="E892" s="3" t="s">
        <v>580</v>
      </c>
      <c r="F892" s="3" t="s">
        <v>49</v>
      </c>
      <c r="G892">
        <v>0</v>
      </c>
    </row>
    <row r="893" spans="1:7" ht="16">
      <c r="A893" s="4">
        <v>15964357</v>
      </c>
      <c r="B893" s="1" t="s">
        <v>1341</v>
      </c>
      <c r="C893" s="4">
        <v>2005</v>
      </c>
      <c r="D893" s="5" t="s">
        <v>1342</v>
      </c>
      <c r="E893" s="3" t="s">
        <v>580</v>
      </c>
      <c r="F893" s="3" t="s">
        <v>42</v>
      </c>
      <c r="G893">
        <v>0</v>
      </c>
    </row>
    <row r="894" spans="1:7" ht="16">
      <c r="A894" s="4">
        <v>15914369</v>
      </c>
      <c r="B894" s="1" t="s">
        <v>749</v>
      </c>
      <c r="C894" s="4">
        <v>2005</v>
      </c>
      <c r="D894" s="5" t="s">
        <v>750</v>
      </c>
      <c r="E894" s="3" t="s">
        <v>580</v>
      </c>
      <c r="F894" s="3" t="s">
        <v>29</v>
      </c>
      <c r="G894">
        <v>0</v>
      </c>
    </row>
    <row r="895" spans="1:7" ht="16">
      <c r="A895" s="4">
        <v>15899185</v>
      </c>
      <c r="B895" s="1" t="s">
        <v>1003</v>
      </c>
      <c r="C895" s="4">
        <v>2005</v>
      </c>
      <c r="D895" s="5" t="s">
        <v>1004</v>
      </c>
      <c r="E895" s="3" t="s">
        <v>580</v>
      </c>
      <c r="F895" s="3" t="s">
        <v>29</v>
      </c>
      <c r="G895">
        <v>0</v>
      </c>
    </row>
    <row r="896" spans="1:7" ht="16">
      <c r="A896" s="4">
        <v>15864103</v>
      </c>
      <c r="B896" s="1" t="s">
        <v>2293</v>
      </c>
      <c r="C896" s="4">
        <v>2005</v>
      </c>
      <c r="D896" s="5" t="s">
        <v>2329</v>
      </c>
      <c r="E896" s="3" t="s">
        <v>580</v>
      </c>
      <c r="F896" s="3" t="s">
        <v>38</v>
      </c>
      <c r="G896">
        <v>0</v>
      </c>
    </row>
    <row r="897" spans="1:7" ht="16">
      <c r="A897" s="4">
        <v>15848678</v>
      </c>
      <c r="B897" s="1" t="s">
        <v>1339</v>
      </c>
      <c r="C897" s="4">
        <v>2005</v>
      </c>
      <c r="D897" s="5" t="s">
        <v>1340</v>
      </c>
      <c r="E897" s="3" t="s">
        <v>580</v>
      </c>
      <c r="F897" s="3" t="s">
        <v>42</v>
      </c>
      <c r="G897">
        <v>0</v>
      </c>
    </row>
    <row r="898" spans="1:7" ht="16">
      <c r="A898" s="4">
        <v>15815044</v>
      </c>
      <c r="B898" s="1" t="s">
        <v>853</v>
      </c>
      <c r="C898" s="4">
        <v>2005</v>
      </c>
      <c r="D898" s="5" t="s">
        <v>854</v>
      </c>
      <c r="E898" s="3" t="s">
        <v>580</v>
      </c>
      <c r="F898" s="3" t="s">
        <v>29</v>
      </c>
      <c r="G898">
        <v>0</v>
      </c>
    </row>
    <row r="899" spans="1:7" ht="16">
      <c r="A899" s="4">
        <v>15721266</v>
      </c>
      <c r="B899" s="1" t="s">
        <v>1834</v>
      </c>
      <c r="C899" s="4">
        <v>2005</v>
      </c>
      <c r="D899" s="5" t="s">
        <v>1835</v>
      </c>
      <c r="E899" s="3" t="s">
        <v>580</v>
      </c>
      <c r="F899" s="3" t="s">
        <v>33</v>
      </c>
      <c r="G899">
        <v>0</v>
      </c>
    </row>
    <row r="900" spans="1:7" ht="16">
      <c r="A900" s="4">
        <v>15667619</v>
      </c>
      <c r="B900" s="1" t="s">
        <v>939</v>
      </c>
      <c r="C900" s="4">
        <v>2005</v>
      </c>
      <c r="D900" s="5" t="s">
        <v>940</v>
      </c>
      <c r="E900" s="3" t="s">
        <v>580</v>
      </c>
      <c r="F900" s="3" t="s">
        <v>29</v>
      </c>
      <c r="G900">
        <v>0</v>
      </c>
    </row>
    <row r="901" spans="1:7" ht="16">
      <c r="A901" s="4">
        <v>15660876</v>
      </c>
      <c r="B901" s="1" t="s">
        <v>965</v>
      </c>
      <c r="C901" s="4">
        <v>2004</v>
      </c>
      <c r="D901" s="5" t="s">
        <v>966</v>
      </c>
      <c r="E901" s="3" t="s">
        <v>580</v>
      </c>
      <c r="F901" s="3" t="s">
        <v>29</v>
      </c>
      <c r="G901">
        <v>0</v>
      </c>
    </row>
    <row r="902" spans="1:7" ht="16">
      <c r="A902" s="4">
        <v>15653828</v>
      </c>
      <c r="B902" s="1" t="s">
        <v>2309</v>
      </c>
      <c r="C902" s="4">
        <v>2005</v>
      </c>
      <c r="D902" s="5" t="s">
        <v>2310</v>
      </c>
      <c r="E902" s="3" t="s">
        <v>580</v>
      </c>
      <c r="F902" s="3" t="s">
        <v>38</v>
      </c>
      <c r="G902">
        <v>0</v>
      </c>
    </row>
    <row r="903" spans="1:7" ht="16">
      <c r="A903" s="4">
        <v>15621108</v>
      </c>
      <c r="B903" s="1" t="s">
        <v>1473</v>
      </c>
      <c r="C903" s="4">
        <v>2004</v>
      </c>
      <c r="D903" s="5" t="s">
        <v>1474</v>
      </c>
      <c r="E903" s="3" t="s">
        <v>580</v>
      </c>
      <c r="F903" s="3" t="s">
        <v>42</v>
      </c>
      <c r="G903">
        <v>0</v>
      </c>
    </row>
    <row r="904" spans="1:7" ht="16">
      <c r="A904" s="4">
        <v>15608657</v>
      </c>
      <c r="B904" s="1" t="s">
        <v>983</v>
      </c>
      <c r="C904" s="4">
        <v>2005</v>
      </c>
      <c r="D904" s="5" t="s">
        <v>984</v>
      </c>
      <c r="E904" s="3" t="s">
        <v>580</v>
      </c>
      <c r="F904" s="3" t="s">
        <v>29</v>
      </c>
      <c r="G904">
        <v>0</v>
      </c>
    </row>
    <row r="905" spans="1:7" ht="16">
      <c r="A905" s="4">
        <v>15561688</v>
      </c>
      <c r="B905" s="1" t="s">
        <v>2598</v>
      </c>
      <c r="C905" s="4">
        <v>2004</v>
      </c>
      <c r="D905" s="5" t="s">
        <v>2599</v>
      </c>
      <c r="E905" s="3" t="s">
        <v>580</v>
      </c>
      <c r="F905" s="3" t="s">
        <v>38</v>
      </c>
      <c r="G905">
        <v>0</v>
      </c>
    </row>
    <row r="906" spans="1:7" ht="16">
      <c r="A906" s="4">
        <v>15543584</v>
      </c>
      <c r="B906" s="1" t="s">
        <v>1855</v>
      </c>
      <c r="C906" s="4">
        <v>2005</v>
      </c>
      <c r="D906" s="5" t="s">
        <v>1856</v>
      </c>
      <c r="E906" s="3" t="s">
        <v>580</v>
      </c>
      <c r="F906" s="3" t="s">
        <v>33</v>
      </c>
      <c r="G906">
        <v>0</v>
      </c>
    </row>
    <row r="907" spans="1:7" ht="16">
      <c r="A907" s="4">
        <v>15543572</v>
      </c>
      <c r="B907" s="1" t="s">
        <v>1861</v>
      </c>
      <c r="C907" s="4">
        <v>2005</v>
      </c>
      <c r="D907" s="5" t="s">
        <v>1862</v>
      </c>
      <c r="E907" s="3" t="s">
        <v>580</v>
      </c>
      <c r="F907" s="3" t="s">
        <v>33</v>
      </c>
      <c r="G907" s="3">
        <v>0</v>
      </c>
    </row>
    <row r="908" spans="1:7" ht="16">
      <c r="A908" s="4">
        <v>15504215</v>
      </c>
      <c r="B908" s="1">
        <v>0</v>
      </c>
      <c r="C908" s="4">
        <v>2004</v>
      </c>
      <c r="D908" s="5" t="s">
        <v>2490</v>
      </c>
      <c r="E908" s="3" t="s">
        <v>580</v>
      </c>
      <c r="F908" s="3" t="s">
        <v>38</v>
      </c>
      <c r="G908" s="3">
        <v>0</v>
      </c>
    </row>
    <row r="909" spans="1:7" ht="16">
      <c r="A909" s="4">
        <v>15480369</v>
      </c>
      <c r="B909" s="1" t="s">
        <v>1758</v>
      </c>
      <c r="C909" s="4">
        <v>2004</v>
      </c>
      <c r="D909" s="5" t="s">
        <v>1759</v>
      </c>
      <c r="E909" s="3" t="s">
        <v>580</v>
      </c>
      <c r="F909" s="3" t="s">
        <v>33</v>
      </c>
      <c r="G909" s="3">
        <v>0</v>
      </c>
    </row>
    <row r="910" spans="1:7" ht="16">
      <c r="A910" s="4">
        <v>15287524</v>
      </c>
      <c r="B910" s="1" t="s">
        <v>1043</v>
      </c>
      <c r="C910" s="4">
        <v>2004</v>
      </c>
      <c r="D910" s="5" t="s">
        <v>1044</v>
      </c>
      <c r="E910" s="3" t="s">
        <v>580</v>
      </c>
      <c r="F910" s="3" t="s">
        <v>29</v>
      </c>
      <c r="G910" s="3">
        <v>0</v>
      </c>
    </row>
    <row r="911" spans="1:7" ht="16">
      <c r="A911" s="4">
        <v>15223915</v>
      </c>
      <c r="B911" s="1" t="s">
        <v>1506</v>
      </c>
      <c r="C911" s="4">
        <v>2004</v>
      </c>
      <c r="D911" s="5" t="s">
        <v>1507</v>
      </c>
      <c r="E911" s="3" t="s">
        <v>580</v>
      </c>
      <c r="F911" s="3" t="s">
        <v>57</v>
      </c>
      <c r="G911" s="3">
        <v>0</v>
      </c>
    </row>
    <row r="912" spans="1:7" ht="16">
      <c r="A912" s="4">
        <v>15196083</v>
      </c>
      <c r="B912" s="1" t="s">
        <v>777</v>
      </c>
      <c r="C912" s="4">
        <v>2004</v>
      </c>
      <c r="D912" s="5" t="s">
        <v>778</v>
      </c>
      <c r="E912" s="3" t="s">
        <v>580</v>
      </c>
      <c r="F912" s="3" t="s">
        <v>29</v>
      </c>
      <c r="G912" s="3">
        <v>0</v>
      </c>
    </row>
    <row r="913" spans="1:7" ht="16">
      <c r="A913" s="4">
        <v>15196082</v>
      </c>
      <c r="B913" s="1" t="s">
        <v>893</v>
      </c>
      <c r="C913" s="4">
        <v>2004</v>
      </c>
      <c r="D913" s="5" t="s">
        <v>894</v>
      </c>
      <c r="E913" s="3" t="s">
        <v>580</v>
      </c>
      <c r="F913" s="3" t="s">
        <v>29</v>
      </c>
      <c r="G913" s="3">
        <v>0</v>
      </c>
    </row>
    <row r="914" spans="1:7" ht="16">
      <c r="A914" s="4">
        <v>15186736</v>
      </c>
      <c r="B914" s="1" t="s">
        <v>1814</v>
      </c>
      <c r="C914" s="4">
        <v>2004</v>
      </c>
      <c r="D914" s="5" t="s">
        <v>1815</v>
      </c>
      <c r="E914" s="3" t="s">
        <v>580</v>
      </c>
      <c r="F914" s="3" t="s">
        <v>33</v>
      </c>
      <c r="G914" s="3">
        <v>0</v>
      </c>
    </row>
    <row r="915" spans="1:7" ht="16">
      <c r="A915" s="4">
        <v>15164383</v>
      </c>
      <c r="B915" s="1" t="s">
        <v>839</v>
      </c>
      <c r="C915" s="4">
        <v>2004</v>
      </c>
      <c r="D915" s="5" t="s">
        <v>840</v>
      </c>
      <c r="E915" s="3" t="s">
        <v>580</v>
      </c>
      <c r="F915" s="3" t="s">
        <v>29</v>
      </c>
      <c r="G915" s="3">
        <v>0</v>
      </c>
    </row>
    <row r="916" spans="1:7" ht="16">
      <c r="A916" s="4">
        <v>15152048</v>
      </c>
      <c r="B916" s="1" t="s">
        <v>1802</v>
      </c>
      <c r="C916" s="4">
        <v>2004</v>
      </c>
      <c r="D916" s="5" t="s">
        <v>1803</v>
      </c>
      <c r="E916" s="3" t="s">
        <v>580</v>
      </c>
      <c r="F916" s="3" t="s">
        <v>33</v>
      </c>
      <c r="G916" s="3">
        <v>0</v>
      </c>
    </row>
    <row r="917" spans="1:7" ht="16">
      <c r="A917" s="4">
        <v>15151761</v>
      </c>
      <c r="B917" s="1" t="s">
        <v>616</v>
      </c>
      <c r="C917" s="4">
        <v>2003</v>
      </c>
      <c r="D917" s="5" t="s">
        <v>617</v>
      </c>
      <c r="E917" s="3" t="s">
        <v>580</v>
      </c>
      <c r="F917" s="3" t="s">
        <v>45</v>
      </c>
      <c r="G917" s="3">
        <v>0</v>
      </c>
    </row>
    <row r="918" spans="1:7" ht="16">
      <c r="A918" s="4">
        <v>15078955</v>
      </c>
      <c r="B918" s="1" t="s">
        <v>1987</v>
      </c>
      <c r="C918" s="4">
        <v>2004</v>
      </c>
      <c r="D918" s="5" t="s">
        <v>1988</v>
      </c>
      <c r="E918" s="3" t="s">
        <v>580</v>
      </c>
      <c r="F918" s="3" t="s">
        <v>33</v>
      </c>
      <c r="G918" s="3">
        <v>0</v>
      </c>
    </row>
    <row r="919" spans="1:7" ht="16">
      <c r="A919" s="4">
        <v>15077022</v>
      </c>
      <c r="B919" s="1" t="s">
        <v>1083</v>
      </c>
      <c r="C919" s="4">
        <v>2004</v>
      </c>
      <c r="D919" s="5" t="s">
        <v>1084</v>
      </c>
      <c r="E919" s="3" t="s">
        <v>580</v>
      </c>
      <c r="F919" s="3" t="s">
        <v>29</v>
      </c>
      <c r="G919" s="3">
        <v>0</v>
      </c>
    </row>
    <row r="920" spans="1:7" ht="16">
      <c r="A920" s="4">
        <v>15050166</v>
      </c>
      <c r="B920" s="1" t="s">
        <v>1413</v>
      </c>
      <c r="C920" s="4">
        <v>2004</v>
      </c>
      <c r="D920" s="5" t="s">
        <v>1414</v>
      </c>
      <c r="E920" s="3" t="s">
        <v>580</v>
      </c>
      <c r="F920" s="3" t="s">
        <v>42</v>
      </c>
      <c r="G920" s="3">
        <v>0</v>
      </c>
    </row>
    <row r="921" spans="1:7" ht="16">
      <c r="A921" s="4">
        <v>15041393</v>
      </c>
      <c r="B921" s="1" t="s">
        <v>1401</v>
      </c>
      <c r="C921" s="4">
        <v>2004</v>
      </c>
      <c r="D921" s="5" t="s">
        <v>1402</v>
      </c>
      <c r="E921" s="3" t="s">
        <v>580</v>
      </c>
      <c r="F921" s="3" t="s">
        <v>42</v>
      </c>
      <c r="G921" s="3">
        <v>0</v>
      </c>
    </row>
    <row r="922" spans="1:7" ht="16">
      <c r="A922" s="4">
        <v>15010521</v>
      </c>
      <c r="B922" s="1" t="s">
        <v>1105</v>
      </c>
      <c r="C922" s="4">
        <v>2004</v>
      </c>
      <c r="D922" s="5" t="s">
        <v>1106</v>
      </c>
      <c r="E922" s="3" t="s">
        <v>580</v>
      </c>
      <c r="F922" s="3" t="s">
        <v>29</v>
      </c>
      <c r="G922" s="3">
        <v>0</v>
      </c>
    </row>
    <row r="923" spans="1:7" ht="16">
      <c r="A923" s="4">
        <v>14987992</v>
      </c>
      <c r="B923" s="1" t="s">
        <v>2076</v>
      </c>
      <c r="C923" s="4">
        <v>2004</v>
      </c>
      <c r="D923" s="5" t="s">
        <v>2077</v>
      </c>
      <c r="E923" s="3" t="s">
        <v>580</v>
      </c>
      <c r="F923" s="3" t="s">
        <v>33</v>
      </c>
      <c r="G923" s="3">
        <v>0</v>
      </c>
    </row>
    <row r="924" spans="1:7" ht="16">
      <c r="A924" s="4">
        <v>14984492</v>
      </c>
      <c r="B924" s="1" t="s">
        <v>606</v>
      </c>
      <c r="C924" s="4">
        <v>2004</v>
      </c>
      <c r="D924" s="5" t="s">
        <v>2414</v>
      </c>
      <c r="E924" s="3" t="s">
        <v>580</v>
      </c>
      <c r="F924" s="3" t="s">
        <v>38</v>
      </c>
      <c r="G924" s="3">
        <v>0</v>
      </c>
    </row>
    <row r="925" spans="1:7" ht="16">
      <c r="A925" s="4">
        <v>14966435</v>
      </c>
      <c r="B925" s="1" t="s">
        <v>1013</v>
      </c>
      <c r="C925" s="4">
        <v>2004</v>
      </c>
      <c r="D925" s="5" t="s">
        <v>1014</v>
      </c>
      <c r="E925" s="3" t="s">
        <v>580</v>
      </c>
      <c r="F925" s="3" t="s">
        <v>29</v>
      </c>
      <c r="G925" s="3">
        <v>0</v>
      </c>
    </row>
    <row r="926" spans="1:7" ht="16">
      <c r="A926" s="4">
        <v>14870894</v>
      </c>
      <c r="B926" s="1" t="s">
        <v>1353</v>
      </c>
      <c r="C926" s="4">
        <v>2003</v>
      </c>
      <c r="D926" s="5" t="s">
        <v>1354</v>
      </c>
      <c r="E926" s="3" t="s">
        <v>580</v>
      </c>
      <c r="F926" s="3" t="s">
        <v>42</v>
      </c>
      <c r="G926" s="3">
        <v>0</v>
      </c>
    </row>
    <row r="927" spans="1:7" ht="16">
      <c r="A927" s="4">
        <v>14742988</v>
      </c>
      <c r="B927" s="1" t="s">
        <v>2511</v>
      </c>
      <c r="C927" s="4">
        <v>2004</v>
      </c>
      <c r="D927" s="5" t="s">
        <v>2512</v>
      </c>
      <c r="E927" s="3" t="s">
        <v>580</v>
      </c>
      <c r="F927" s="3" t="s">
        <v>38</v>
      </c>
      <c r="G927">
        <v>0</v>
      </c>
    </row>
    <row r="928" spans="1:7" ht="16">
      <c r="A928" s="4">
        <v>14625584</v>
      </c>
      <c r="B928" s="1" t="s">
        <v>1031</v>
      </c>
      <c r="C928" s="4">
        <v>2003</v>
      </c>
      <c r="D928" s="5" t="s">
        <v>1032</v>
      </c>
      <c r="E928" s="3" t="s">
        <v>580</v>
      </c>
      <c r="F928" s="3" t="s">
        <v>29</v>
      </c>
      <c r="G928">
        <v>0</v>
      </c>
    </row>
    <row r="929" spans="1:7" ht="16">
      <c r="A929" s="4">
        <v>14624112</v>
      </c>
      <c r="B929" s="1" t="s">
        <v>606</v>
      </c>
      <c r="C929" s="4">
        <v>2003</v>
      </c>
      <c r="D929" s="5" t="s">
        <v>2455</v>
      </c>
      <c r="E929" s="3" t="s">
        <v>580</v>
      </c>
      <c r="F929" s="3" t="s">
        <v>38</v>
      </c>
      <c r="G929">
        <v>0</v>
      </c>
    </row>
    <row r="930" spans="1:7" ht="16">
      <c r="A930" s="4">
        <v>14593901</v>
      </c>
      <c r="B930" s="1" t="s">
        <v>586</v>
      </c>
      <c r="C930" s="4">
        <v>2003</v>
      </c>
      <c r="D930" s="5" t="s">
        <v>587</v>
      </c>
      <c r="E930" s="3" t="s">
        <v>580</v>
      </c>
      <c r="F930" s="3" t="s">
        <v>45</v>
      </c>
      <c r="G930">
        <v>0</v>
      </c>
    </row>
    <row r="931" spans="1:7" ht="16">
      <c r="A931" s="4">
        <v>14556272</v>
      </c>
      <c r="B931" s="1" t="s">
        <v>1790</v>
      </c>
      <c r="C931" s="4">
        <v>2003</v>
      </c>
      <c r="D931" s="5" t="s">
        <v>1791</v>
      </c>
      <c r="E931" s="3" t="s">
        <v>580</v>
      </c>
      <c r="F931" s="3" t="s">
        <v>33</v>
      </c>
      <c r="G931" s="3">
        <v>0</v>
      </c>
    </row>
    <row r="932" spans="1:7" ht="16">
      <c r="A932" s="4">
        <v>14529887</v>
      </c>
      <c r="B932" s="1" t="s">
        <v>1411</v>
      </c>
      <c r="C932" s="4">
        <v>2003</v>
      </c>
      <c r="D932" s="5" t="s">
        <v>1412</v>
      </c>
      <c r="E932" s="3" t="s">
        <v>580</v>
      </c>
      <c r="F932" s="3" t="s">
        <v>42</v>
      </c>
      <c r="G932">
        <v>0</v>
      </c>
    </row>
    <row r="933" spans="1:7" ht="16">
      <c r="A933" s="4">
        <v>14525708</v>
      </c>
      <c r="B933" s="1" t="s">
        <v>2352</v>
      </c>
      <c r="C933" s="4">
        <v>2003</v>
      </c>
      <c r="D933" s="5" t="s">
        <v>2353</v>
      </c>
      <c r="E933" s="3" t="s">
        <v>580</v>
      </c>
      <c r="F933" s="3" t="s">
        <v>38</v>
      </c>
      <c r="G933">
        <v>0</v>
      </c>
    </row>
    <row r="934" spans="1:7" ht="16">
      <c r="A934" s="4">
        <v>12966551</v>
      </c>
      <c r="B934" s="1" t="s">
        <v>1863</v>
      </c>
      <c r="C934" s="4">
        <v>2003</v>
      </c>
      <c r="D934" s="5" t="s">
        <v>1864</v>
      </c>
      <c r="E934" s="3" t="s">
        <v>580</v>
      </c>
      <c r="F934" s="3" t="s">
        <v>33</v>
      </c>
      <c r="G934">
        <v>0</v>
      </c>
    </row>
    <row r="935" spans="1:7" ht="16">
      <c r="A935" s="4">
        <v>12951217</v>
      </c>
      <c r="B935" s="1" t="s">
        <v>1786</v>
      </c>
      <c r="C935" s="4">
        <v>2003</v>
      </c>
      <c r="D935" s="5" t="s">
        <v>1787</v>
      </c>
      <c r="E935" s="3" t="s">
        <v>580</v>
      </c>
      <c r="F935" s="3" t="s">
        <v>33</v>
      </c>
      <c r="G935">
        <v>0</v>
      </c>
    </row>
    <row r="936" spans="1:7" ht="16">
      <c r="A936" s="4">
        <v>12925104</v>
      </c>
      <c r="B936" s="1" t="s">
        <v>1997</v>
      </c>
      <c r="C936" s="4">
        <v>2003</v>
      </c>
      <c r="D936" s="5" t="s">
        <v>1998</v>
      </c>
      <c r="E936" s="3" t="s">
        <v>580</v>
      </c>
      <c r="F936" s="3" t="s">
        <v>33</v>
      </c>
      <c r="G936">
        <v>0</v>
      </c>
    </row>
    <row r="937" spans="1:7" ht="16">
      <c r="A937" s="4">
        <v>12923440</v>
      </c>
      <c r="B937" s="1" t="s">
        <v>1226</v>
      </c>
      <c r="C937" s="4">
        <v>2003</v>
      </c>
      <c r="D937" s="5" t="s">
        <v>1250</v>
      </c>
      <c r="E937" s="3" t="s">
        <v>580</v>
      </c>
      <c r="F937" s="3" t="s">
        <v>42</v>
      </c>
      <c r="G937">
        <v>0</v>
      </c>
    </row>
    <row r="938" spans="1:7" ht="16">
      <c r="A938" s="4">
        <v>12910597</v>
      </c>
      <c r="B938" s="1" t="s">
        <v>641</v>
      </c>
      <c r="C938" s="4">
        <v>2003</v>
      </c>
      <c r="D938" s="5" t="s">
        <v>642</v>
      </c>
      <c r="E938" s="3" t="s">
        <v>580</v>
      </c>
      <c r="F938" s="3" t="s">
        <v>45</v>
      </c>
      <c r="G938">
        <v>0</v>
      </c>
    </row>
    <row r="939" spans="1:7" ht="16">
      <c r="A939" s="4">
        <v>12868990</v>
      </c>
      <c r="B939" s="1" t="s">
        <v>1165</v>
      </c>
      <c r="C939" s="4">
        <v>2003</v>
      </c>
      <c r="D939" s="5" t="s">
        <v>1166</v>
      </c>
      <c r="E939" s="3" t="s">
        <v>580</v>
      </c>
      <c r="F939" s="3" t="s">
        <v>29</v>
      </c>
      <c r="G939">
        <v>0</v>
      </c>
    </row>
    <row r="940" spans="1:7" ht="16">
      <c r="A940" s="4">
        <v>12858410</v>
      </c>
      <c r="B940" s="1" t="s">
        <v>1840</v>
      </c>
      <c r="C940" s="4">
        <v>2003</v>
      </c>
      <c r="D940" s="5" t="s">
        <v>1841</v>
      </c>
      <c r="E940" s="3" t="s">
        <v>580</v>
      </c>
      <c r="F940" s="3" t="s">
        <v>33</v>
      </c>
      <c r="G940">
        <v>0</v>
      </c>
    </row>
    <row r="941" spans="1:7" ht="16">
      <c r="A941" s="4">
        <v>12833890</v>
      </c>
      <c r="B941" s="1" t="s">
        <v>997</v>
      </c>
      <c r="C941" s="4">
        <v>2003</v>
      </c>
      <c r="D941" s="5" t="s">
        <v>998</v>
      </c>
      <c r="E941" s="3" t="s">
        <v>580</v>
      </c>
      <c r="F941" s="3" t="s">
        <v>29</v>
      </c>
      <c r="G941">
        <v>0</v>
      </c>
    </row>
    <row r="942" spans="1:7" ht="16">
      <c r="A942" s="4">
        <v>12829900</v>
      </c>
      <c r="B942" s="1" t="s">
        <v>1383</v>
      </c>
      <c r="C942" s="4">
        <v>2003</v>
      </c>
      <c r="D942" s="5" t="s">
        <v>1384</v>
      </c>
      <c r="E942" s="3" t="s">
        <v>580</v>
      </c>
      <c r="F942" s="3" t="s">
        <v>42</v>
      </c>
      <c r="G942">
        <v>0</v>
      </c>
    </row>
    <row r="943" spans="1:7" ht="16">
      <c r="A943" s="4">
        <v>12828339</v>
      </c>
      <c r="B943" s="1" t="s">
        <v>1901</v>
      </c>
      <c r="C943" s="4">
        <v>2003</v>
      </c>
      <c r="D943" s="5" t="s">
        <v>1902</v>
      </c>
      <c r="E943" s="3" t="s">
        <v>580</v>
      </c>
      <c r="F943" s="3" t="s">
        <v>33</v>
      </c>
      <c r="G943">
        <v>0</v>
      </c>
    </row>
    <row r="944" spans="1:7" ht="16">
      <c r="A944" s="4">
        <v>12794728</v>
      </c>
      <c r="B944" s="1" t="s">
        <v>787</v>
      </c>
      <c r="C944" s="4">
        <v>2003</v>
      </c>
      <c r="D944" s="5" t="s">
        <v>788</v>
      </c>
      <c r="E944" s="3" t="s">
        <v>580</v>
      </c>
      <c r="F944" s="3" t="s">
        <v>29</v>
      </c>
      <c r="G944">
        <v>0</v>
      </c>
    </row>
    <row r="945" spans="1:7" ht="16">
      <c r="A945" s="4">
        <v>12767009</v>
      </c>
      <c r="B945" s="1" t="s">
        <v>1764</v>
      </c>
      <c r="C945" s="4">
        <v>2003</v>
      </c>
      <c r="D945" s="5" t="s">
        <v>1765</v>
      </c>
      <c r="E945" s="3" t="s">
        <v>580</v>
      </c>
      <c r="F945" s="3" t="s">
        <v>33</v>
      </c>
      <c r="G945">
        <v>0</v>
      </c>
    </row>
    <row r="946" spans="1:7" ht="16">
      <c r="A946" s="4">
        <v>12767008</v>
      </c>
      <c r="B946" s="1" t="s">
        <v>1198</v>
      </c>
      <c r="C946" s="4">
        <v>2003</v>
      </c>
      <c r="D946" s="5" t="s">
        <v>1199</v>
      </c>
      <c r="E946" s="3" t="s">
        <v>580</v>
      </c>
      <c r="F946" s="3" t="s">
        <v>29</v>
      </c>
      <c r="G946">
        <v>0</v>
      </c>
    </row>
    <row r="947" spans="1:7" ht="16">
      <c r="A947" s="4">
        <v>12765120</v>
      </c>
      <c r="B947" s="1" t="s">
        <v>2578</v>
      </c>
      <c r="C947" s="4">
        <v>2003</v>
      </c>
      <c r="D947" s="5" t="s">
        <v>2579</v>
      </c>
      <c r="E947" s="3" t="s">
        <v>580</v>
      </c>
      <c r="F947" s="3" t="s">
        <v>38</v>
      </c>
      <c r="G947">
        <v>0</v>
      </c>
    </row>
    <row r="948" spans="1:7" ht="16">
      <c r="A948" s="4">
        <v>12728905</v>
      </c>
      <c r="B948" s="1" t="s">
        <v>2415</v>
      </c>
      <c r="C948" s="4">
        <v>1999</v>
      </c>
      <c r="D948" s="5" t="s">
        <v>2416</v>
      </c>
      <c r="E948" s="3" t="s">
        <v>580</v>
      </c>
      <c r="F948" s="3" t="s">
        <v>38</v>
      </c>
      <c r="G948">
        <v>0</v>
      </c>
    </row>
    <row r="949" spans="1:7" ht="16">
      <c r="A949" s="4">
        <v>12704592</v>
      </c>
      <c r="B949" s="1" t="s">
        <v>2404</v>
      </c>
      <c r="C949" s="4">
        <v>2003</v>
      </c>
      <c r="D949" s="5" t="s">
        <v>2405</v>
      </c>
      <c r="E949" s="3" t="s">
        <v>580</v>
      </c>
      <c r="F949" s="3" t="s">
        <v>38</v>
      </c>
      <c r="G949" s="3">
        <v>0</v>
      </c>
    </row>
    <row r="950" spans="1:7" ht="16">
      <c r="A950" s="4">
        <v>12654053</v>
      </c>
      <c r="B950" s="1" t="s">
        <v>1405</v>
      </c>
      <c r="C950" s="4">
        <v>2003</v>
      </c>
      <c r="D950" s="5" t="s">
        <v>1406</v>
      </c>
      <c r="E950" s="3" t="s">
        <v>580</v>
      </c>
      <c r="F950" s="3" t="s">
        <v>42</v>
      </c>
      <c r="G950">
        <v>0</v>
      </c>
    </row>
    <row r="951" spans="1:7" ht="16">
      <c r="A951" s="4">
        <v>12628547</v>
      </c>
      <c r="B951" s="1" t="s">
        <v>1349</v>
      </c>
      <c r="C951" s="4">
        <v>2003</v>
      </c>
      <c r="D951" s="5" t="s">
        <v>1350</v>
      </c>
      <c r="E951" s="3" t="s">
        <v>580</v>
      </c>
      <c r="F951" s="3" t="s">
        <v>42</v>
      </c>
      <c r="G951" s="3">
        <v>0</v>
      </c>
    </row>
    <row r="952" spans="1:7" ht="16">
      <c r="A952" s="4">
        <v>12627369</v>
      </c>
      <c r="B952" s="1" t="s">
        <v>1449</v>
      </c>
      <c r="C952" s="4">
        <v>2003</v>
      </c>
      <c r="D952" s="5" t="s">
        <v>1450</v>
      </c>
      <c r="E952" s="3" t="s">
        <v>580</v>
      </c>
      <c r="F952" s="3" t="s">
        <v>42</v>
      </c>
      <c r="G952" s="3">
        <v>0</v>
      </c>
    </row>
    <row r="953" spans="1:7" ht="16">
      <c r="A953" s="4">
        <v>12581322</v>
      </c>
      <c r="B953" s="1" t="s">
        <v>606</v>
      </c>
      <c r="C953" s="4">
        <v>2003</v>
      </c>
      <c r="D953" s="5" t="s">
        <v>2435</v>
      </c>
      <c r="E953" s="3" t="s">
        <v>580</v>
      </c>
      <c r="F953" s="3" t="s">
        <v>38</v>
      </c>
      <c r="G953" s="3">
        <v>0</v>
      </c>
    </row>
    <row r="954" spans="1:7" ht="16">
      <c r="A954" s="4">
        <v>12581135</v>
      </c>
      <c r="B954" s="1" t="s">
        <v>1734</v>
      </c>
      <c r="C954" s="4">
        <v>2003</v>
      </c>
      <c r="D954" s="5" t="s">
        <v>1735</v>
      </c>
      <c r="E954" s="3" t="s">
        <v>580</v>
      </c>
      <c r="F954" s="3" t="s">
        <v>69</v>
      </c>
      <c r="G954" s="3">
        <v>0</v>
      </c>
    </row>
    <row r="955" spans="1:7" ht="16">
      <c r="A955" s="4">
        <v>12580952</v>
      </c>
      <c r="B955" s="1" t="s">
        <v>2368</v>
      </c>
      <c r="C955" s="4">
        <v>2003</v>
      </c>
      <c r="D955" s="5" t="s">
        <v>2369</v>
      </c>
      <c r="E955" s="3" t="s">
        <v>580</v>
      </c>
      <c r="F955" s="3" t="s">
        <v>38</v>
      </c>
      <c r="G955" s="3">
        <v>0</v>
      </c>
    </row>
    <row r="956" spans="1:7" ht="16">
      <c r="A956" s="4">
        <v>12552979</v>
      </c>
      <c r="B956" s="1" t="s">
        <v>1744</v>
      </c>
      <c r="C956" s="4">
        <v>2002</v>
      </c>
      <c r="D956" s="5" t="s">
        <v>1745</v>
      </c>
      <c r="E956" s="3" t="s">
        <v>580</v>
      </c>
      <c r="F956" s="3" t="s">
        <v>69</v>
      </c>
      <c r="G956" s="3">
        <v>0</v>
      </c>
    </row>
    <row r="957" spans="1:7" ht="16">
      <c r="A957" s="4">
        <v>12551983</v>
      </c>
      <c r="B957" s="1" t="s">
        <v>1946</v>
      </c>
      <c r="C957" s="4">
        <v>2003</v>
      </c>
      <c r="D957" s="5" t="s">
        <v>1947</v>
      </c>
      <c r="E957" s="3" t="s">
        <v>580</v>
      </c>
      <c r="F957" s="3" t="s">
        <v>33</v>
      </c>
      <c r="G957" s="3">
        <v>0</v>
      </c>
    </row>
    <row r="958" spans="1:7" ht="16">
      <c r="A958" s="4">
        <v>12537769</v>
      </c>
      <c r="B958" s="1" t="s">
        <v>1196</v>
      </c>
      <c r="C958" s="4">
        <v>2002</v>
      </c>
      <c r="D958" s="5" t="s">
        <v>1197</v>
      </c>
      <c r="E958" s="3" t="s">
        <v>580</v>
      </c>
      <c r="F958" s="3" t="s">
        <v>29</v>
      </c>
      <c r="G958" s="3">
        <v>0</v>
      </c>
    </row>
    <row r="959" spans="1:7" ht="16">
      <c r="A959" s="4">
        <v>12525662</v>
      </c>
      <c r="B959" s="1" t="s">
        <v>1951</v>
      </c>
      <c r="C959" s="4">
        <v>2003</v>
      </c>
      <c r="D959" s="5" t="s">
        <v>1952</v>
      </c>
      <c r="E959" s="3" t="s">
        <v>580</v>
      </c>
      <c r="F959" s="3" t="s">
        <v>33</v>
      </c>
      <c r="G959" s="3">
        <v>0</v>
      </c>
    </row>
    <row r="960" spans="1:7" ht="16">
      <c r="A960" s="4">
        <v>12520651</v>
      </c>
      <c r="B960" s="1" t="s">
        <v>2474</v>
      </c>
      <c r="C960" s="4">
        <v>2002</v>
      </c>
      <c r="D960" s="5" t="s">
        <v>2475</v>
      </c>
      <c r="E960" s="3" t="s">
        <v>580</v>
      </c>
      <c r="F960" s="3" t="s">
        <v>38</v>
      </c>
      <c r="G960" s="3">
        <v>0</v>
      </c>
    </row>
    <row r="961" spans="1:7" ht="16">
      <c r="A961" s="4">
        <v>12515195</v>
      </c>
      <c r="B961" s="1" t="s">
        <v>622</v>
      </c>
      <c r="C961" s="4">
        <v>1998</v>
      </c>
      <c r="D961" s="5" t="s">
        <v>623</v>
      </c>
      <c r="E961" s="3" t="s">
        <v>580</v>
      </c>
      <c r="F961" s="3" t="s">
        <v>45</v>
      </c>
      <c r="G961" s="3">
        <v>0</v>
      </c>
    </row>
    <row r="962" spans="1:7" ht="16">
      <c r="A962" s="4">
        <v>12491213</v>
      </c>
      <c r="B962" s="1" t="s">
        <v>773</v>
      </c>
      <c r="C962" s="4">
        <v>2003</v>
      </c>
      <c r="D962" s="5" t="s">
        <v>774</v>
      </c>
      <c r="E962" s="3" t="s">
        <v>580</v>
      </c>
      <c r="F962" s="3" t="s">
        <v>29</v>
      </c>
      <c r="G962" s="3">
        <v>0</v>
      </c>
    </row>
    <row r="963" spans="1:7" ht="16">
      <c r="A963" s="4">
        <v>12488560</v>
      </c>
      <c r="B963" s="1" t="s">
        <v>2303</v>
      </c>
      <c r="C963" s="4">
        <v>2003</v>
      </c>
      <c r="D963" s="5" t="s">
        <v>2304</v>
      </c>
      <c r="E963" s="3" t="s">
        <v>580</v>
      </c>
      <c r="F963" s="3" t="s">
        <v>38</v>
      </c>
      <c r="G963" s="3">
        <v>0</v>
      </c>
    </row>
    <row r="964" spans="1:7" ht="16">
      <c r="A964" s="4">
        <v>12476296</v>
      </c>
      <c r="B964" s="1" t="s">
        <v>1194</v>
      </c>
      <c r="C964" s="4">
        <v>2002</v>
      </c>
      <c r="D964" s="5" t="s">
        <v>1195</v>
      </c>
      <c r="E964" s="3" t="s">
        <v>580</v>
      </c>
      <c r="F964" s="3" t="s">
        <v>29</v>
      </c>
      <c r="G964" s="3">
        <v>0</v>
      </c>
    </row>
    <row r="965" spans="1:7" ht="16">
      <c r="A965" s="4">
        <v>12430932</v>
      </c>
      <c r="B965" s="1" t="s">
        <v>2279</v>
      </c>
      <c r="C965" s="4">
        <v>2002</v>
      </c>
      <c r="D965" s="5" t="s">
        <v>2328</v>
      </c>
      <c r="E965" s="3" t="s">
        <v>580</v>
      </c>
      <c r="F965" s="3" t="s">
        <v>38</v>
      </c>
      <c r="G965" s="3">
        <v>0</v>
      </c>
    </row>
    <row r="966" spans="1:7" ht="16">
      <c r="A966" s="4">
        <v>12422078</v>
      </c>
      <c r="B966" s="1" t="s">
        <v>1103</v>
      </c>
      <c r="C966" s="4">
        <v>2002</v>
      </c>
      <c r="D966" s="5" t="s">
        <v>1104</v>
      </c>
      <c r="E966" s="3" t="s">
        <v>580</v>
      </c>
      <c r="F966" s="3" t="s">
        <v>29</v>
      </c>
      <c r="G966" s="3">
        <v>0</v>
      </c>
    </row>
    <row r="967" spans="1:7" ht="16">
      <c r="A967" s="4">
        <v>12399238</v>
      </c>
      <c r="B967" s="1" t="s">
        <v>2410</v>
      </c>
      <c r="C967" s="4">
        <v>2002</v>
      </c>
      <c r="D967" s="5" t="s">
        <v>2411</v>
      </c>
      <c r="E967" s="3" t="s">
        <v>580</v>
      </c>
      <c r="F967" s="3" t="s">
        <v>38</v>
      </c>
      <c r="G967" s="3">
        <v>0</v>
      </c>
    </row>
    <row r="968" spans="1:7" ht="16">
      <c r="A968" s="4">
        <v>12399232</v>
      </c>
      <c r="B968" s="1" t="s">
        <v>1425</v>
      </c>
      <c r="C968" s="4">
        <v>2002</v>
      </c>
      <c r="D968" s="5" t="s">
        <v>1426</v>
      </c>
      <c r="E968" s="3" t="s">
        <v>580</v>
      </c>
      <c r="F968" s="3" t="s">
        <v>42</v>
      </c>
      <c r="G968" s="3">
        <v>0</v>
      </c>
    </row>
    <row r="969" spans="1:7" ht="16">
      <c r="A969" s="4">
        <v>12367753</v>
      </c>
      <c r="B969" s="1" t="s">
        <v>1887</v>
      </c>
      <c r="C969" s="4">
        <v>2002</v>
      </c>
      <c r="D969" s="5" t="s">
        <v>1888</v>
      </c>
      <c r="E969" s="3" t="s">
        <v>580</v>
      </c>
      <c r="F969" s="3" t="s">
        <v>33</v>
      </c>
      <c r="G969" s="3">
        <v>0</v>
      </c>
    </row>
    <row r="970" spans="1:7" ht="16">
      <c r="A970" s="4">
        <v>12361757</v>
      </c>
      <c r="B970" s="1" t="s">
        <v>1363</v>
      </c>
      <c r="C970" s="4">
        <v>2002</v>
      </c>
      <c r="D970" s="5" t="s">
        <v>1364</v>
      </c>
      <c r="E970" s="3" t="s">
        <v>580</v>
      </c>
      <c r="F970" s="3" t="s">
        <v>42</v>
      </c>
      <c r="G970" s="3">
        <v>0</v>
      </c>
    </row>
    <row r="971" spans="1:7" ht="16">
      <c r="A971" s="4">
        <v>12360701</v>
      </c>
      <c r="B971" s="1" t="s">
        <v>2459</v>
      </c>
      <c r="C971" s="4">
        <v>2002</v>
      </c>
      <c r="D971" s="5" t="s">
        <v>2460</v>
      </c>
      <c r="E971" s="3" t="s">
        <v>580</v>
      </c>
      <c r="F971" s="3" t="s">
        <v>38</v>
      </c>
      <c r="G971" s="3">
        <v>0</v>
      </c>
    </row>
    <row r="972" spans="1:7" ht="16">
      <c r="A972" s="4">
        <v>12355385</v>
      </c>
      <c r="B972" s="1" t="s">
        <v>1445</v>
      </c>
      <c r="C972" s="4">
        <v>2002</v>
      </c>
      <c r="D972" s="5" t="s">
        <v>1446</v>
      </c>
      <c r="E972" s="3" t="s">
        <v>580</v>
      </c>
      <c r="F972" s="3" t="s">
        <v>42</v>
      </c>
      <c r="G972" s="3">
        <v>0</v>
      </c>
    </row>
    <row r="973" spans="1:7" ht="16">
      <c r="A973" s="4">
        <v>12353198</v>
      </c>
      <c r="B973" s="1" t="s">
        <v>2588</v>
      </c>
      <c r="C973" s="4">
        <v>2002</v>
      </c>
      <c r="D973" s="5" t="s">
        <v>2589</v>
      </c>
      <c r="E973" s="3" t="s">
        <v>580</v>
      </c>
      <c r="F973" s="3" t="s">
        <v>38</v>
      </c>
      <c r="G973" s="3">
        <v>0</v>
      </c>
    </row>
    <row r="974" spans="1:7" ht="16">
      <c r="A974" s="4">
        <v>12353194</v>
      </c>
      <c r="B974" s="1" t="s">
        <v>1508</v>
      </c>
      <c r="C974" s="4">
        <v>2002</v>
      </c>
      <c r="D974" s="5" t="s">
        <v>2473</v>
      </c>
      <c r="E974" s="3" t="s">
        <v>580</v>
      </c>
      <c r="F974" s="3" t="s">
        <v>38</v>
      </c>
      <c r="G974" s="3">
        <v>0</v>
      </c>
    </row>
    <row r="975" spans="1:7" ht="16">
      <c r="A975" s="4">
        <v>12352923</v>
      </c>
      <c r="B975" s="1" t="s">
        <v>1303</v>
      </c>
      <c r="C975" s="4">
        <v>2002</v>
      </c>
      <c r="D975" s="5" t="s">
        <v>1304</v>
      </c>
      <c r="E975" s="3" t="s">
        <v>580</v>
      </c>
      <c r="F975" s="3" t="s">
        <v>42</v>
      </c>
      <c r="G975" s="3">
        <v>0</v>
      </c>
    </row>
    <row r="976" spans="1:7" ht="16">
      <c r="A976" s="4">
        <v>12270665</v>
      </c>
      <c r="B976" s="1" t="s">
        <v>1893</v>
      </c>
      <c r="C976" s="4">
        <v>2002</v>
      </c>
      <c r="D976" s="5" t="s">
        <v>1894</v>
      </c>
      <c r="E976" s="3" t="s">
        <v>580</v>
      </c>
      <c r="F976" s="3" t="s">
        <v>33</v>
      </c>
      <c r="G976" s="3">
        <v>0</v>
      </c>
    </row>
    <row r="977" spans="1:7" ht="16">
      <c r="A977" s="4">
        <v>12220240</v>
      </c>
      <c r="B977" s="1" t="s">
        <v>1355</v>
      </c>
      <c r="C977" s="4">
        <v>2002</v>
      </c>
      <c r="D977" s="5" t="s">
        <v>1356</v>
      </c>
      <c r="E977" s="3" t="s">
        <v>580</v>
      </c>
      <c r="F977" s="3" t="s">
        <v>42</v>
      </c>
      <c r="G977">
        <v>0</v>
      </c>
    </row>
    <row r="978" spans="1:7" ht="16">
      <c r="A978" s="4">
        <v>12206970</v>
      </c>
      <c r="B978" s="1" t="s">
        <v>2545</v>
      </c>
      <c r="C978" s="4">
        <v>2002</v>
      </c>
      <c r="D978" s="5" t="s">
        <v>2546</v>
      </c>
      <c r="E978" s="3" t="s">
        <v>580</v>
      </c>
      <c r="F978" s="3" t="s">
        <v>38</v>
      </c>
      <c r="G978">
        <v>0</v>
      </c>
    </row>
    <row r="979" spans="1:7" ht="16">
      <c r="A979" s="4">
        <v>12195400</v>
      </c>
      <c r="B979" s="1" t="s">
        <v>2608</v>
      </c>
      <c r="C979" s="4">
        <v>2002</v>
      </c>
      <c r="D979" s="5" t="s">
        <v>2609</v>
      </c>
      <c r="E979" s="3" t="s">
        <v>580</v>
      </c>
      <c r="F979" s="3" t="s">
        <v>38</v>
      </c>
      <c r="G979">
        <v>0</v>
      </c>
    </row>
    <row r="980" spans="1:7" ht="16">
      <c r="A980" s="4">
        <v>12182687</v>
      </c>
      <c r="B980" s="1" t="s">
        <v>2621</v>
      </c>
      <c r="C980" s="4">
        <v>2002</v>
      </c>
      <c r="D980" s="5" t="s">
        <v>2622</v>
      </c>
      <c r="E980" s="3" t="s">
        <v>580</v>
      </c>
      <c r="F980" s="3" t="s">
        <v>38</v>
      </c>
      <c r="G980">
        <v>0</v>
      </c>
    </row>
    <row r="981" spans="1:7" ht="16">
      <c r="A981" s="4">
        <v>12182383</v>
      </c>
      <c r="B981" s="1" t="s">
        <v>2358</v>
      </c>
      <c r="C981" s="4">
        <v>2002</v>
      </c>
      <c r="D981" s="5" t="s">
        <v>2359</v>
      </c>
      <c r="E981" s="3" t="s">
        <v>580</v>
      </c>
      <c r="F981" s="3" t="s">
        <v>38</v>
      </c>
      <c r="G981">
        <v>0</v>
      </c>
    </row>
    <row r="982" spans="1:7" ht="16">
      <c r="A982" s="4">
        <v>12173776</v>
      </c>
      <c r="B982" s="1" t="s">
        <v>2017</v>
      </c>
      <c r="C982" s="4">
        <v>2002</v>
      </c>
      <c r="D982" s="5" t="s">
        <v>2018</v>
      </c>
      <c r="E982" s="3" t="s">
        <v>580</v>
      </c>
      <c r="F982" s="3" t="s">
        <v>33</v>
      </c>
      <c r="G982">
        <v>0</v>
      </c>
    </row>
    <row r="983" spans="1:7" ht="16">
      <c r="A983" s="4">
        <v>12153190</v>
      </c>
      <c r="B983" s="1" t="s">
        <v>949</v>
      </c>
      <c r="C983" s="4">
        <v>2002</v>
      </c>
      <c r="D983" s="5" t="s">
        <v>950</v>
      </c>
      <c r="E983" s="3" t="s">
        <v>580</v>
      </c>
      <c r="F983" s="3" t="s">
        <v>29</v>
      </c>
      <c r="G983">
        <v>0</v>
      </c>
    </row>
    <row r="984" spans="1:7" ht="16">
      <c r="A984" s="4">
        <v>12149755</v>
      </c>
      <c r="B984" s="1" t="s">
        <v>2428</v>
      </c>
      <c r="C984" s="4">
        <v>2002</v>
      </c>
      <c r="D984" s="5" t="s">
        <v>2429</v>
      </c>
      <c r="E984" s="3" t="s">
        <v>580</v>
      </c>
      <c r="F984" s="3" t="s">
        <v>38</v>
      </c>
      <c r="G984">
        <v>0</v>
      </c>
    </row>
    <row r="985" spans="1:7" ht="16">
      <c r="A985" s="4">
        <v>12134252</v>
      </c>
      <c r="B985" s="1" t="s">
        <v>1281</v>
      </c>
      <c r="C985" s="4">
        <v>2002</v>
      </c>
      <c r="D985" s="5" t="s">
        <v>1282</v>
      </c>
      <c r="E985" s="3" t="s">
        <v>580</v>
      </c>
      <c r="F985" s="3" t="s">
        <v>42</v>
      </c>
      <c r="G985">
        <v>0</v>
      </c>
    </row>
    <row r="986" spans="1:7" ht="16">
      <c r="A986" s="4">
        <v>12123213</v>
      </c>
      <c r="B986" s="1" t="s">
        <v>1415</v>
      </c>
      <c r="C986" s="4">
        <v>2002</v>
      </c>
      <c r="D986" s="5" t="s">
        <v>1416</v>
      </c>
      <c r="E986" s="3" t="s">
        <v>580</v>
      </c>
      <c r="F986" s="3" t="s">
        <v>42</v>
      </c>
      <c r="G986">
        <v>0</v>
      </c>
    </row>
    <row r="987" spans="1:7" ht="16">
      <c r="A987" s="4">
        <v>12116029</v>
      </c>
      <c r="B987" s="1" t="s">
        <v>1857</v>
      </c>
      <c r="C987" s="4">
        <v>2002</v>
      </c>
      <c r="D987" s="5" t="s">
        <v>1858</v>
      </c>
      <c r="E987" s="3" t="s">
        <v>580</v>
      </c>
      <c r="F987" s="3" t="s">
        <v>33</v>
      </c>
      <c r="G987">
        <v>0</v>
      </c>
    </row>
    <row r="988" spans="1:7" ht="16">
      <c r="A988" s="4">
        <v>12116027</v>
      </c>
      <c r="B988" s="1" t="s">
        <v>2031</v>
      </c>
      <c r="C988" s="4">
        <v>2002</v>
      </c>
      <c r="D988" s="5" t="s">
        <v>2032</v>
      </c>
      <c r="E988" s="3" t="s">
        <v>580</v>
      </c>
      <c r="F988" s="3" t="s">
        <v>33</v>
      </c>
      <c r="G988">
        <v>0</v>
      </c>
    </row>
    <row r="989" spans="1:7" ht="16">
      <c r="A989" s="4">
        <v>12100127</v>
      </c>
      <c r="B989" s="1" t="s">
        <v>1508</v>
      </c>
      <c r="C989" s="4">
        <v>2002</v>
      </c>
      <c r="D989" s="5" t="s">
        <v>2492</v>
      </c>
      <c r="E989" s="3" t="s">
        <v>580</v>
      </c>
      <c r="F989" s="3" t="s">
        <v>38</v>
      </c>
      <c r="G989">
        <v>0</v>
      </c>
    </row>
    <row r="990" spans="1:7" ht="16">
      <c r="A990" s="4">
        <v>12098068</v>
      </c>
      <c r="B990" s="1" t="s">
        <v>1051</v>
      </c>
      <c r="C990" s="4">
        <v>2002</v>
      </c>
      <c r="D990" s="5" t="s">
        <v>1052</v>
      </c>
      <c r="E990" s="3" t="s">
        <v>580</v>
      </c>
      <c r="F990" s="3" t="s">
        <v>29</v>
      </c>
      <c r="G990">
        <v>0</v>
      </c>
    </row>
    <row r="991" spans="1:7" ht="16">
      <c r="A991" s="4">
        <v>12073575</v>
      </c>
      <c r="B991" s="1" t="s">
        <v>1041</v>
      </c>
      <c r="C991" s="4">
        <v>2002</v>
      </c>
      <c r="D991" s="5" t="s">
        <v>1042</v>
      </c>
      <c r="E991" s="3" t="s">
        <v>580</v>
      </c>
      <c r="F991" s="3" t="s">
        <v>29</v>
      </c>
      <c r="G991">
        <v>0</v>
      </c>
    </row>
    <row r="992" spans="1:7" ht="16">
      <c r="A992" s="4">
        <v>12070831</v>
      </c>
      <c r="B992" s="1" t="s">
        <v>2586</v>
      </c>
      <c r="C992" s="4">
        <v>2002</v>
      </c>
      <c r="D992" s="5" t="s">
        <v>2587</v>
      </c>
      <c r="E992" s="3" t="s">
        <v>580</v>
      </c>
      <c r="F992" s="3" t="s">
        <v>38</v>
      </c>
      <c r="G992">
        <v>0</v>
      </c>
    </row>
    <row r="993" spans="1:7" ht="16">
      <c r="A993" s="4">
        <v>12068008</v>
      </c>
      <c r="B993" s="1" t="s">
        <v>1921</v>
      </c>
      <c r="C993" s="4">
        <v>2002</v>
      </c>
      <c r="D993" s="5" t="s">
        <v>1922</v>
      </c>
      <c r="E993" s="3" t="s">
        <v>580</v>
      </c>
      <c r="F993" s="3" t="s">
        <v>33</v>
      </c>
      <c r="G993">
        <v>0</v>
      </c>
    </row>
    <row r="994" spans="1:7" ht="16">
      <c r="A994" s="4">
        <v>12041676</v>
      </c>
      <c r="B994" s="1" t="s">
        <v>2476</v>
      </c>
      <c r="C994" s="4">
        <v>2002</v>
      </c>
      <c r="D994" s="5" t="s">
        <v>2477</v>
      </c>
      <c r="E994" s="3" t="s">
        <v>580</v>
      </c>
      <c r="F994" s="3" t="s">
        <v>38</v>
      </c>
      <c r="G994">
        <v>0</v>
      </c>
    </row>
    <row r="995" spans="1:7" ht="16">
      <c r="A995" s="4">
        <v>12009660</v>
      </c>
      <c r="B995" s="1" t="s">
        <v>1419</v>
      </c>
      <c r="C995" s="4">
        <v>2002</v>
      </c>
      <c r="D995" s="5" t="s">
        <v>1420</v>
      </c>
      <c r="E995" s="3" t="s">
        <v>580</v>
      </c>
      <c r="F995" s="3" t="s">
        <v>42</v>
      </c>
      <c r="G995">
        <v>0</v>
      </c>
    </row>
    <row r="996" spans="1:7" ht="16">
      <c r="A996" s="4">
        <v>11996753</v>
      </c>
      <c r="B996" s="1" t="s">
        <v>634</v>
      </c>
      <c r="C996" s="4">
        <v>2002</v>
      </c>
      <c r="D996" s="5" t="s">
        <v>635</v>
      </c>
      <c r="E996" s="3" t="s">
        <v>580</v>
      </c>
      <c r="F996" s="3" t="s">
        <v>45</v>
      </c>
      <c r="G996">
        <v>0</v>
      </c>
    </row>
    <row r="997" spans="1:7" ht="16">
      <c r="A997" s="4">
        <v>11990701</v>
      </c>
      <c r="B997" s="1" t="s">
        <v>797</v>
      </c>
      <c r="C997" s="4">
        <v>2002</v>
      </c>
      <c r="D997" s="5" t="s">
        <v>798</v>
      </c>
      <c r="E997" s="3" t="s">
        <v>580</v>
      </c>
      <c r="F997" s="3" t="s">
        <v>29</v>
      </c>
      <c r="G997">
        <v>0</v>
      </c>
    </row>
    <row r="998" spans="1:7" ht="16">
      <c r="A998" s="4">
        <v>11990308</v>
      </c>
      <c r="B998" s="1" t="s">
        <v>2059</v>
      </c>
      <c r="C998" s="4">
        <v>2002</v>
      </c>
      <c r="D998" s="5" t="s">
        <v>2060</v>
      </c>
      <c r="E998" s="3" t="s">
        <v>580</v>
      </c>
      <c r="F998" s="3" t="s">
        <v>33</v>
      </c>
      <c r="G998">
        <v>0</v>
      </c>
    </row>
    <row r="999" spans="1:7" ht="16">
      <c r="A999" s="4">
        <v>11986964</v>
      </c>
      <c r="B999" s="1" t="s">
        <v>1025</v>
      </c>
      <c r="C999" s="4">
        <v>2002</v>
      </c>
      <c r="D999" s="5" t="s">
        <v>1026</v>
      </c>
      <c r="E999" s="3" t="s">
        <v>580</v>
      </c>
      <c r="F999" s="3" t="s">
        <v>29</v>
      </c>
      <c r="G999">
        <v>0</v>
      </c>
    </row>
    <row r="1000" spans="1:7" ht="16">
      <c r="A1000" s="4">
        <v>11972099</v>
      </c>
      <c r="B1000" s="1" t="s">
        <v>1927</v>
      </c>
      <c r="C1000" s="4">
        <v>2002</v>
      </c>
      <c r="D1000" s="5" t="s">
        <v>1928</v>
      </c>
      <c r="E1000" s="3" t="s">
        <v>580</v>
      </c>
      <c r="F1000" s="3" t="s">
        <v>33</v>
      </c>
      <c r="G1000">
        <v>0</v>
      </c>
    </row>
    <row r="1001" spans="1:7" ht="16">
      <c r="A1001" s="4">
        <v>11966777</v>
      </c>
      <c r="B1001" s="1" t="s">
        <v>1321</v>
      </c>
      <c r="C1001" s="4">
        <v>2002</v>
      </c>
      <c r="D1001" s="5" t="s">
        <v>1322</v>
      </c>
      <c r="E1001" s="3" t="s">
        <v>580</v>
      </c>
      <c r="F1001" s="3" t="s">
        <v>42</v>
      </c>
      <c r="G1001">
        <v>0</v>
      </c>
    </row>
    <row r="1002" spans="1:7" ht="16">
      <c r="A1002" s="4">
        <v>11965036</v>
      </c>
      <c r="B1002" s="1" t="s">
        <v>1015</v>
      </c>
      <c r="C1002" s="4">
        <v>2002</v>
      </c>
      <c r="D1002" s="5" t="s">
        <v>1016</v>
      </c>
      <c r="E1002" s="3" t="s">
        <v>580</v>
      </c>
      <c r="F1002" s="3" t="s">
        <v>29</v>
      </c>
      <c r="G1002">
        <v>0</v>
      </c>
    </row>
    <row r="1003" spans="1:7" ht="16">
      <c r="A1003" s="4">
        <v>11964854</v>
      </c>
      <c r="B1003" s="1" t="s">
        <v>2324</v>
      </c>
      <c r="C1003" s="4">
        <v>2001</v>
      </c>
      <c r="D1003" s="5" t="s">
        <v>2325</v>
      </c>
      <c r="E1003" s="3" t="s">
        <v>580</v>
      </c>
      <c r="F1003" s="3" t="s">
        <v>38</v>
      </c>
      <c r="G1003">
        <v>0</v>
      </c>
    </row>
    <row r="1004" spans="1:7" ht="16">
      <c r="A1004" s="4">
        <v>11964800</v>
      </c>
      <c r="B1004" s="1" t="s">
        <v>2381</v>
      </c>
      <c r="C1004" s="4">
        <v>2000</v>
      </c>
      <c r="D1004" s="5" t="s">
        <v>2525</v>
      </c>
      <c r="E1004" s="3" t="s">
        <v>580</v>
      </c>
      <c r="F1004" s="3" t="s">
        <v>38</v>
      </c>
      <c r="G1004">
        <v>0</v>
      </c>
    </row>
    <row r="1005" spans="1:7" ht="16">
      <c r="A1005" s="4">
        <v>11959211</v>
      </c>
      <c r="B1005" s="1" t="s">
        <v>1069</v>
      </c>
      <c r="C1005" s="4">
        <v>2002</v>
      </c>
      <c r="D1005" s="5" t="s">
        <v>1070</v>
      </c>
      <c r="E1005" s="3" t="s">
        <v>580</v>
      </c>
      <c r="F1005" s="3" t="s">
        <v>29</v>
      </c>
      <c r="G1005">
        <v>0</v>
      </c>
    </row>
    <row r="1006" spans="1:7" ht="16">
      <c r="A1006" s="4">
        <v>11959192</v>
      </c>
      <c r="B1006" s="1" t="s">
        <v>1711</v>
      </c>
      <c r="C1006" s="4">
        <v>2002</v>
      </c>
      <c r="D1006" s="5" t="s">
        <v>1712</v>
      </c>
      <c r="E1006" s="3" t="s">
        <v>580</v>
      </c>
      <c r="F1006" s="3" t="s">
        <v>49</v>
      </c>
      <c r="G1006">
        <v>0</v>
      </c>
    </row>
    <row r="1007" spans="1:7" ht="16">
      <c r="A1007" s="4">
        <v>11938792</v>
      </c>
      <c r="B1007" s="1" t="s">
        <v>618</v>
      </c>
      <c r="C1007" s="4">
        <v>1999</v>
      </c>
      <c r="D1007" s="5" t="s">
        <v>619</v>
      </c>
      <c r="E1007" s="3" t="s">
        <v>580</v>
      </c>
      <c r="F1007" s="3" t="s">
        <v>45</v>
      </c>
      <c r="G1007">
        <v>0</v>
      </c>
    </row>
    <row r="1008" spans="1:7" ht="16">
      <c r="A1008" s="4">
        <v>11938764</v>
      </c>
      <c r="B1008" s="1" t="s">
        <v>608</v>
      </c>
      <c r="C1008" s="4">
        <v>1999</v>
      </c>
      <c r="D1008" s="5" t="s">
        <v>609</v>
      </c>
      <c r="E1008" s="3" t="s">
        <v>580</v>
      </c>
      <c r="F1008" s="3" t="s">
        <v>45</v>
      </c>
      <c r="G1008">
        <v>0</v>
      </c>
    </row>
    <row r="1009" spans="1:7" ht="16">
      <c r="A1009" s="4">
        <v>11926744</v>
      </c>
      <c r="B1009" s="1" t="s">
        <v>2449</v>
      </c>
      <c r="C1009" s="4">
        <v>2001</v>
      </c>
      <c r="D1009" s="5" t="s">
        <v>2450</v>
      </c>
      <c r="E1009" s="3" t="s">
        <v>580</v>
      </c>
      <c r="F1009" s="3" t="s">
        <v>38</v>
      </c>
      <c r="G1009">
        <v>0</v>
      </c>
    </row>
    <row r="1010" spans="1:7" ht="16">
      <c r="A1010" s="4">
        <v>11902311</v>
      </c>
      <c r="B1010" s="1" t="s">
        <v>809</v>
      </c>
      <c r="C1010" s="4">
        <v>2001</v>
      </c>
      <c r="D1010" s="5" t="s">
        <v>810</v>
      </c>
      <c r="E1010" s="3" t="s">
        <v>580</v>
      </c>
      <c r="F1010" s="3" t="s">
        <v>29</v>
      </c>
      <c r="G1010">
        <v>0</v>
      </c>
    </row>
    <row r="1011" spans="1:7" ht="16">
      <c r="A1011" s="4">
        <v>11889438</v>
      </c>
      <c r="B1011" s="1" t="s">
        <v>1244</v>
      </c>
      <c r="C1011" s="4">
        <v>2002</v>
      </c>
      <c r="D1011" s="5" t="s">
        <v>1245</v>
      </c>
      <c r="E1011" s="3" t="s">
        <v>580</v>
      </c>
      <c r="F1011" s="3" t="s">
        <v>42</v>
      </c>
      <c r="G1011">
        <v>0</v>
      </c>
    </row>
    <row r="1012" spans="1:7" ht="16">
      <c r="A1012" s="4">
        <v>11876972</v>
      </c>
      <c r="B1012" s="1" t="s">
        <v>584</v>
      </c>
      <c r="C1012" s="4">
        <v>2000</v>
      </c>
      <c r="D1012" s="5" t="s">
        <v>585</v>
      </c>
      <c r="E1012" s="3" t="s">
        <v>580</v>
      </c>
      <c r="F1012" s="3" t="s">
        <v>45</v>
      </c>
      <c r="G1012">
        <v>0</v>
      </c>
    </row>
    <row r="1013" spans="1:7" ht="16">
      <c r="A1013" s="4">
        <v>11874884</v>
      </c>
      <c r="B1013" s="1" t="s">
        <v>2074</v>
      </c>
      <c r="C1013" s="4">
        <v>2002</v>
      </c>
      <c r="D1013" s="5" t="s">
        <v>2075</v>
      </c>
      <c r="E1013" s="3" t="s">
        <v>580</v>
      </c>
      <c r="F1013" s="3" t="s">
        <v>33</v>
      </c>
      <c r="G1013">
        <v>0</v>
      </c>
    </row>
    <row r="1014" spans="1:7" ht="16">
      <c r="A1014" s="4">
        <v>11867006</v>
      </c>
      <c r="B1014" s="1" t="s">
        <v>2350</v>
      </c>
      <c r="C1014" s="4">
        <v>2000</v>
      </c>
      <c r="D1014" s="5" t="s">
        <v>2491</v>
      </c>
      <c r="E1014" s="3" t="s">
        <v>580</v>
      </c>
      <c r="F1014" s="3" t="s">
        <v>38</v>
      </c>
      <c r="G1014">
        <v>0</v>
      </c>
    </row>
    <row r="1015" spans="1:7" ht="16">
      <c r="A1015" s="4">
        <v>11866997</v>
      </c>
      <c r="B1015" s="1" t="s">
        <v>2495</v>
      </c>
      <c r="C1015" s="4">
        <v>2000</v>
      </c>
      <c r="D1015" s="5" t="s">
        <v>2496</v>
      </c>
      <c r="E1015" s="3" t="s">
        <v>580</v>
      </c>
      <c r="F1015" s="3" t="s">
        <v>38</v>
      </c>
      <c r="G1015">
        <v>0</v>
      </c>
    </row>
    <row r="1016" spans="1:7" ht="16">
      <c r="A1016" s="4">
        <v>11843812</v>
      </c>
      <c r="B1016" s="1" t="s">
        <v>1200</v>
      </c>
      <c r="C1016" s="4">
        <v>2001</v>
      </c>
      <c r="D1016" s="5" t="s">
        <v>1201</v>
      </c>
      <c r="E1016" s="3" t="s">
        <v>580</v>
      </c>
      <c r="F1016" s="3" t="s">
        <v>29</v>
      </c>
      <c r="G1016">
        <v>0</v>
      </c>
    </row>
    <row r="1017" spans="1:7" ht="16">
      <c r="A1017" s="4">
        <v>11753554</v>
      </c>
      <c r="B1017" s="1" t="s">
        <v>2629</v>
      </c>
      <c r="C1017" s="4">
        <v>2001</v>
      </c>
      <c r="D1017" s="5" t="s">
        <v>2630</v>
      </c>
      <c r="E1017" s="3" t="s">
        <v>580</v>
      </c>
      <c r="F1017" s="3" t="s">
        <v>152</v>
      </c>
      <c r="G1017">
        <v>0</v>
      </c>
    </row>
    <row r="1018" spans="1:7" ht="16">
      <c r="A1018" s="4">
        <v>11750365</v>
      </c>
      <c r="B1018" s="1" t="s">
        <v>1431</v>
      </c>
      <c r="C1018" s="4">
        <v>2001</v>
      </c>
      <c r="D1018" s="5" t="s">
        <v>1432</v>
      </c>
      <c r="E1018" s="3" t="s">
        <v>580</v>
      </c>
      <c r="F1018" s="3" t="s">
        <v>42</v>
      </c>
      <c r="G1018">
        <v>0</v>
      </c>
    </row>
    <row r="1019" spans="1:7" ht="16">
      <c r="A1019" s="4">
        <v>11742650</v>
      </c>
      <c r="B1019" s="1" t="s">
        <v>1533</v>
      </c>
      <c r="C1019" s="4">
        <v>2002</v>
      </c>
      <c r="D1019" s="5" t="s">
        <v>1534</v>
      </c>
      <c r="E1019" s="3" t="s">
        <v>580</v>
      </c>
      <c r="F1019" s="3" t="s">
        <v>149</v>
      </c>
      <c r="G1019">
        <v>0</v>
      </c>
    </row>
    <row r="1020" spans="1:7" ht="16">
      <c r="A1020" s="4">
        <v>11715608</v>
      </c>
      <c r="B1020" s="1" t="s">
        <v>2372</v>
      </c>
      <c r="C1020" s="4">
        <v>2001</v>
      </c>
      <c r="D1020" s="5" t="s">
        <v>2373</v>
      </c>
      <c r="E1020" s="3" t="s">
        <v>580</v>
      </c>
      <c r="F1020" s="3" t="s">
        <v>38</v>
      </c>
      <c r="G1020">
        <v>0</v>
      </c>
    </row>
    <row r="1021" spans="1:7" ht="16">
      <c r="A1021" s="4">
        <v>11706967</v>
      </c>
      <c r="B1021" s="1" t="s">
        <v>1109</v>
      </c>
      <c r="C1021" s="4">
        <v>2001</v>
      </c>
      <c r="D1021" s="5" t="s">
        <v>1110</v>
      </c>
      <c r="E1021" s="3" t="s">
        <v>580</v>
      </c>
      <c r="F1021" s="3" t="s">
        <v>29</v>
      </c>
      <c r="G1021">
        <v>0</v>
      </c>
    </row>
    <row r="1022" spans="1:7" ht="16">
      <c r="A1022" s="4">
        <v>11695232</v>
      </c>
      <c r="B1022" s="1" t="s">
        <v>2039</v>
      </c>
      <c r="C1022" s="4">
        <v>2001</v>
      </c>
      <c r="D1022" s="5" t="s">
        <v>2040</v>
      </c>
      <c r="E1022" s="3" t="s">
        <v>580</v>
      </c>
      <c r="F1022" s="3" t="s">
        <v>33</v>
      </c>
      <c r="G1022">
        <v>0</v>
      </c>
    </row>
    <row r="1023" spans="1:7" ht="16">
      <c r="A1023" s="4">
        <v>11689646</v>
      </c>
      <c r="B1023" s="1" t="s">
        <v>2057</v>
      </c>
      <c r="C1023" s="4">
        <v>2001</v>
      </c>
      <c r="D1023" s="5" t="s">
        <v>2058</v>
      </c>
      <c r="E1023" s="3" t="s">
        <v>580</v>
      </c>
      <c r="F1023" s="3" t="s">
        <v>33</v>
      </c>
      <c r="G1023">
        <v>0</v>
      </c>
    </row>
    <row r="1024" spans="1:7" ht="16">
      <c r="A1024" s="4">
        <v>11594915</v>
      </c>
      <c r="B1024" s="1" t="s">
        <v>2132</v>
      </c>
      <c r="C1024" s="4">
        <v>2001</v>
      </c>
      <c r="D1024" s="5" t="s">
        <v>2133</v>
      </c>
      <c r="E1024" s="3" t="s">
        <v>580</v>
      </c>
      <c r="F1024" s="3" t="s">
        <v>33</v>
      </c>
      <c r="G1024">
        <v>0</v>
      </c>
    </row>
    <row r="1025" spans="1:7" ht="16">
      <c r="A1025" s="4">
        <v>11565077</v>
      </c>
      <c r="B1025" s="1" t="s">
        <v>1273</v>
      </c>
      <c r="C1025" s="4">
        <v>2001</v>
      </c>
      <c r="D1025" s="5" t="s">
        <v>1274</v>
      </c>
      <c r="E1025" s="3" t="s">
        <v>580</v>
      </c>
      <c r="F1025" s="3" t="s">
        <v>42</v>
      </c>
      <c r="G1025">
        <v>0</v>
      </c>
    </row>
    <row r="1026" spans="1:7" ht="16">
      <c r="A1026" s="4">
        <v>11518006</v>
      </c>
      <c r="B1026" s="1" t="s">
        <v>1047</v>
      </c>
      <c r="C1026" s="4">
        <v>2001</v>
      </c>
      <c r="D1026" s="5" t="s">
        <v>1048</v>
      </c>
      <c r="E1026" s="3" t="s">
        <v>580</v>
      </c>
      <c r="F1026" s="3" t="s">
        <v>29</v>
      </c>
      <c r="G1026">
        <v>0</v>
      </c>
    </row>
    <row r="1027" spans="1:7" ht="16">
      <c r="A1027" s="4">
        <v>11512088</v>
      </c>
      <c r="B1027" s="1" t="s">
        <v>2441</v>
      </c>
      <c r="C1027" s="4">
        <v>2001</v>
      </c>
      <c r="D1027" s="5" t="s">
        <v>2442</v>
      </c>
      <c r="E1027" s="3" t="s">
        <v>580</v>
      </c>
      <c r="F1027" s="3" t="s">
        <v>38</v>
      </c>
      <c r="G1027">
        <v>0</v>
      </c>
    </row>
    <row r="1028" spans="1:7" ht="16">
      <c r="A1028" s="4">
        <v>11505524</v>
      </c>
      <c r="B1028" s="1" t="s">
        <v>596</v>
      </c>
      <c r="C1028" s="4">
        <v>2001</v>
      </c>
      <c r="D1028" s="5" t="s">
        <v>597</v>
      </c>
      <c r="E1028" s="3" t="s">
        <v>580</v>
      </c>
      <c r="F1028" s="3" t="s">
        <v>45</v>
      </c>
      <c r="G1028">
        <v>0</v>
      </c>
    </row>
    <row r="1029" spans="1:7" ht="16">
      <c r="A1029" s="4">
        <v>11486597</v>
      </c>
      <c r="B1029" s="1" t="s">
        <v>606</v>
      </c>
      <c r="C1029" s="4">
        <v>2001</v>
      </c>
      <c r="D1029" s="5" t="s">
        <v>2335</v>
      </c>
      <c r="E1029" s="3" t="s">
        <v>580</v>
      </c>
      <c r="F1029" s="3" t="s">
        <v>38</v>
      </c>
      <c r="G1029">
        <v>0</v>
      </c>
    </row>
    <row r="1030" spans="1:7" ht="16">
      <c r="A1030" s="4">
        <v>11427741</v>
      </c>
      <c r="B1030" s="1" t="s">
        <v>2342</v>
      </c>
      <c r="C1030" s="4">
        <v>2001</v>
      </c>
      <c r="D1030" s="5" t="s">
        <v>2343</v>
      </c>
      <c r="E1030" s="3" t="s">
        <v>580</v>
      </c>
      <c r="F1030" s="3" t="s">
        <v>38</v>
      </c>
      <c r="G1030">
        <v>0</v>
      </c>
    </row>
    <row r="1031" spans="1:7" ht="16">
      <c r="A1031" s="4">
        <v>11420457</v>
      </c>
      <c r="B1031" s="1" t="s">
        <v>2106</v>
      </c>
      <c r="C1031" s="4">
        <v>2001</v>
      </c>
      <c r="D1031" s="5" t="s">
        <v>2107</v>
      </c>
      <c r="E1031" s="3" t="s">
        <v>580</v>
      </c>
      <c r="F1031" s="3" t="s">
        <v>33</v>
      </c>
      <c r="G1031">
        <v>0</v>
      </c>
    </row>
    <row r="1032" spans="1:7" ht="16">
      <c r="A1032" s="4">
        <v>11406259</v>
      </c>
      <c r="B1032" s="1" t="s">
        <v>1736</v>
      </c>
      <c r="C1032" s="4">
        <v>2001</v>
      </c>
      <c r="D1032" s="5" t="s">
        <v>1737</v>
      </c>
      <c r="E1032" s="3" t="s">
        <v>580</v>
      </c>
      <c r="F1032" s="3" t="s">
        <v>69</v>
      </c>
      <c r="G1032">
        <v>0</v>
      </c>
    </row>
    <row r="1033" spans="1:7" ht="16">
      <c r="A1033" s="4">
        <v>11406212</v>
      </c>
      <c r="B1033" s="1" t="s">
        <v>1709</v>
      </c>
      <c r="C1033" s="4">
        <v>2001</v>
      </c>
      <c r="D1033" s="5" t="s">
        <v>1710</v>
      </c>
      <c r="E1033" s="3" t="s">
        <v>580</v>
      </c>
      <c r="F1033" s="3" t="s">
        <v>49</v>
      </c>
      <c r="G1033">
        <v>0</v>
      </c>
    </row>
    <row r="1034" spans="1:7" ht="16">
      <c r="A1034" s="4">
        <v>11391342</v>
      </c>
      <c r="B1034" s="1" t="s">
        <v>849</v>
      </c>
      <c r="C1034" s="4">
        <v>2001</v>
      </c>
      <c r="D1034" s="5" t="s">
        <v>850</v>
      </c>
      <c r="E1034" s="3" t="s">
        <v>580</v>
      </c>
      <c r="F1034" s="3" t="s">
        <v>29</v>
      </c>
      <c r="G1034">
        <v>0</v>
      </c>
    </row>
    <row r="1035" spans="1:7" ht="16">
      <c r="A1035" s="4">
        <v>11389712</v>
      </c>
      <c r="B1035" s="1" t="s">
        <v>1242</v>
      </c>
      <c r="C1035" s="4">
        <v>2001</v>
      </c>
      <c r="D1035" s="5" t="s">
        <v>1243</v>
      </c>
      <c r="E1035" s="3" t="s">
        <v>580</v>
      </c>
      <c r="F1035" s="3" t="s">
        <v>42</v>
      </c>
      <c r="G1035">
        <v>0</v>
      </c>
    </row>
    <row r="1036" spans="1:7" ht="16">
      <c r="A1036" s="4">
        <v>11380440</v>
      </c>
      <c r="B1036" s="1" t="s">
        <v>2445</v>
      </c>
      <c r="C1036" s="4">
        <v>2001</v>
      </c>
      <c r="D1036" s="5" t="s">
        <v>2446</v>
      </c>
      <c r="E1036" s="3" t="s">
        <v>580</v>
      </c>
      <c r="F1036" s="3" t="s">
        <v>38</v>
      </c>
      <c r="G1036">
        <v>0</v>
      </c>
    </row>
    <row r="1037" spans="1:7" ht="16">
      <c r="A1037" s="4">
        <v>11345532</v>
      </c>
      <c r="B1037" s="1" t="s">
        <v>1301</v>
      </c>
      <c r="C1037" s="4">
        <v>2001</v>
      </c>
      <c r="D1037" s="5" t="s">
        <v>1302</v>
      </c>
      <c r="E1037" s="3" t="s">
        <v>580</v>
      </c>
      <c r="F1037" s="3" t="s">
        <v>42</v>
      </c>
      <c r="G1037">
        <v>0</v>
      </c>
    </row>
    <row r="1038" spans="1:7" ht="16">
      <c r="A1038" s="4">
        <v>11342304</v>
      </c>
      <c r="B1038" s="1" t="s">
        <v>2570</v>
      </c>
      <c r="C1038" s="4">
        <v>2000</v>
      </c>
      <c r="D1038" s="5" t="s">
        <v>2571</v>
      </c>
      <c r="E1038" s="3" t="s">
        <v>580</v>
      </c>
      <c r="F1038" s="3" t="s">
        <v>38</v>
      </c>
      <c r="G1038">
        <v>0</v>
      </c>
    </row>
    <row r="1039" spans="1:7" ht="16">
      <c r="A1039" s="4">
        <v>11339860</v>
      </c>
      <c r="B1039" s="1" t="s">
        <v>2518</v>
      </c>
      <c r="C1039" s="4">
        <v>2001</v>
      </c>
      <c r="D1039" s="5" t="s">
        <v>2519</v>
      </c>
      <c r="E1039" s="3" t="s">
        <v>580</v>
      </c>
      <c r="F1039" s="3" t="s">
        <v>38</v>
      </c>
      <c r="G1039">
        <v>0</v>
      </c>
    </row>
    <row r="1040" spans="1:7" ht="16">
      <c r="A1040" s="4">
        <v>11336581</v>
      </c>
      <c r="B1040" s="1" t="s">
        <v>2312</v>
      </c>
      <c r="C1040" s="4">
        <v>2001</v>
      </c>
      <c r="D1040" s="5" t="s">
        <v>2313</v>
      </c>
      <c r="E1040" s="3" t="s">
        <v>580</v>
      </c>
      <c r="F1040" s="3" t="s">
        <v>38</v>
      </c>
      <c r="G1040">
        <v>0</v>
      </c>
    </row>
    <row r="1041" spans="1:7" ht="16">
      <c r="A1041" s="4">
        <v>11332675</v>
      </c>
      <c r="B1041" s="1" t="s">
        <v>2066</v>
      </c>
      <c r="C1041" s="4">
        <v>2001</v>
      </c>
      <c r="D1041" s="5" t="s">
        <v>2067</v>
      </c>
      <c r="E1041" s="3" t="s">
        <v>580</v>
      </c>
      <c r="F1041" s="3" t="s">
        <v>33</v>
      </c>
      <c r="G1041">
        <v>0</v>
      </c>
    </row>
    <row r="1042" spans="1:7" ht="16">
      <c r="A1042" s="4">
        <v>11317413</v>
      </c>
      <c r="B1042" s="1" t="s">
        <v>225</v>
      </c>
      <c r="C1042" s="4">
        <v>2000</v>
      </c>
      <c r="D1042" s="5" t="s">
        <v>1935</v>
      </c>
      <c r="E1042" s="3" t="s">
        <v>580</v>
      </c>
      <c r="F1042" s="3" t="s">
        <v>33</v>
      </c>
      <c r="G1042">
        <v>0</v>
      </c>
    </row>
    <row r="1043" spans="1:7" ht="16">
      <c r="A1043" s="4">
        <v>11303272</v>
      </c>
      <c r="B1043" s="1" t="s">
        <v>2421</v>
      </c>
      <c r="C1043" s="4">
        <v>2001</v>
      </c>
      <c r="D1043" s="5" t="s">
        <v>2422</v>
      </c>
      <c r="E1043" s="3" t="s">
        <v>580</v>
      </c>
      <c r="F1043" s="3" t="s">
        <v>38</v>
      </c>
      <c r="G1043">
        <v>0</v>
      </c>
    </row>
    <row r="1044" spans="1:7" ht="16">
      <c r="A1044" s="4">
        <v>11297322</v>
      </c>
      <c r="B1044" s="1" t="s">
        <v>1186</v>
      </c>
      <c r="C1044" s="4">
        <v>2001</v>
      </c>
      <c r="D1044" s="5" t="s">
        <v>1187</v>
      </c>
      <c r="E1044" s="3" t="s">
        <v>580</v>
      </c>
      <c r="F1044" s="3" t="s">
        <v>29</v>
      </c>
      <c r="G1044">
        <v>0</v>
      </c>
    </row>
    <row r="1045" spans="1:7" ht="16">
      <c r="A1045" s="4">
        <v>11285565</v>
      </c>
      <c r="B1045" s="1" t="s">
        <v>1409</v>
      </c>
      <c r="C1045" s="4">
        <v>2001</v>
      </c>
      <c r="D1045" s="5" t="s">
        <v>1410</v>
      </c>
      <c r="E1045" s="3" t="s">
        <v>580</v>
      </c>
      <c r="F1045" s="3" t="s">
        <v>42</v>
      </c>
      <c r="G1045">
        <v>0</v>
      </c>
    </row>
    <row r="1046" spans="1:7" ht="16">
      <c r="A1046" s="4">
        <v>11263334</v>
      </c>
      <c r="B1046" s="1" t="s">
        <v>628</v>
      </c>
      <c r="C1046" s="4">
        <v>1998</v>
      </c>
      <c r="D1046" s="5" t="s">
        <v>629</v>
      </c>
      <c r="E1046" s="3" t="s">
        <v>580</v>
      </c>
      <c r="F1046" s="3" t="s">
        <v>45</v>
      </c>
      <c r="G1046">
        <v>0</v>
      </c>
    </row>
    <row r="1047" spans="1:7" ht="16">
      <c r="A1047" s="4">
        <v>11255287</v>
      </c>
      <c r="B1047" s="1" t="s">
        <v>614</v>
      </c>
      <c r="C1047" s="4">
        <v>2001</v>
      </c>
      <c r="D1047" s="5" t="s">
        <v>615</v>
      </c>
      <c r="E1047" s="3" t="s">
        <v>580</v>
      </c>
      <c r="F1047" s="3" t="s">
        <v>45</v>
      </c>
      <c r="G1047">
        <v>0</v>
      </c>
    </row>
    <row r="1048" spans="1:7" ht="16">
      <c r="A1048" s="4">
        <v>11241800</v>
      </c>
      <c r="B1048" s="1" t="s">
        <v>2400</v>
      </c>
      <c r="C1048" s="4">
        <v>2001</v>
      </c>
      <c r="D1048" s="5" t="s">
        <v>2401</v>
      </c>
      <c r="E1048" s="3" t="s">
        <v>580</v>
      </c>
      <c r="F1048" s="3" t="s">
        <v>38</v>
      </c>
      <c r="G1048">
        <v>0</v>
      </c>
    </row>
    <row r="1049" spans="1:7" ht="16">
      <c r="A1049" s="4">
        <v>11213075</v>
      </c>
      <c r="B1049" s="1" t="s">
        <v>827</v>
      </c>
      <c r="C1049" s="4">
        <v>2001</v>
      </c>
      <c r="D1049" s="5" t="s">
        <v>828</v>
      </c>
      <c r="E1049" s="3" t="s">
        <v>580</v>
      </c>
      <c r="F1049" s="3" t="s">
        <v>29</v>
      </c>
      <c r="G1049">
        <v>0</v>
      </c>
    </row>
    <row r="1050" spans="1:7" ht="16">
      <c r="A1050" s="4">
        <v>11196603</v>
      </c>
      <c r="B1050" s="1" t="s">
        <v>885</v>
      </c>
      <c r="C1050" s="4">
        <v>2000</v>
      </c>
      <c r="D1050" s="5" t="s">
        <v>886</v>
      </c>
      <c r="E1050" s="3" t="s">
        <v>580</v>
      </c>
      <c r="F1050" s="3" t="s">
        <v>29</v>
      </c>
      <c r="G1050">
        <v>0</v>
      </c>
    </row>
    <row r="1051" spans="1:7" ht="16">
      <c r="A1051" s="4">
        <v>11192519</v>
      </c>
      <c r="B1051" s="1" t="s">
        <v>2096</v>
      </c>
      <c r="C1051" s="4">
        <v>2000</v>
      </c>
      <c r="D1051" s="5" t="s">
        <v>2097</v>
      </c>
      <c r="E1051" s="3" t="s">
        <v>580</v>
      </c>
      <c r="F1051" s="3" t="s">
        <v>33</v>
      </c>
      <c r="G1051">
        <v>0</v>
      </c>
    </row>
    <row r="1052" spans="1:7" ht="16">
      <c r="A1052" s="4">
        <v>11173737</v>
      </c>
      <c r="B1052" s="1" t="s">
        <v>1129</v>
      </c>
      <c r="C1052" s="4">
        <v>2000</v>
      </c>
      <c r="D1052" s="5" t="s">
        <v>1130</v>
      </c>
      <c r="E1052" s="3" t="s">
        <v>580</v>
      </c>
      <c r="F1052" s="3" t="s">
        <v>29</v>
      </c>
      <c r="G1052">
        <v>0</v>
      </c>
    </row>
    <row r="1053" spans="1:7" ht="16">
      <c r="A1053" s="4">
        <v>11168178</v>
      </c>
      <c r="B1053" s="1" t="s">
        <v>2381</v>
      </c>
      <c r="C1053" s="4">
        <v>2000</v>
      </c>
      <c r="D1053" s="5" t="s">
        <v>2382</v>
      </c>
      <c r="E1053" s="3" t="s">
        <v>580</v>
      </c>
      <c r="F1053" s="3" t="s">
        <v>38</v>
      </c>
      <c r="G1053">
        <v>0</v>
      </c>
    </row>
    <row r="1054" spans="1:7" ht="16">
      <c r="A1054" s="4">
        <v>11149730</v>
      </c>
      <c r="B1054" s="1" t="s">
        <v>999</v>
      </c>
      <c r="C1054" s="4">
        <v>2000</v>
      </c>
      <c r="D1054" s="5" t="s">
        <v>1000</v>
      </c>
      <c r="E1054" s="3" t="s">
        <v>580</v>
      </c>
      <c r="F1054" s="3" t="s">
        <v>29</v>
      </c>
      <c r="G1054">
        <v>0</v>
      </c>
    </row>
    <row r="1055" spans="1:7" ht="16">
      <c r="A1055" s="4">
        <v>11139213</v>
      </c>
      <c r="B1055" s="1" t="s">
        <v>1319</v>
      </c>
      <c r="C1055" s="4">
        <v>2001</v>
      </c>
      <c r="D1055" s="5" t="s">
        <v>1320</v>
      </c>
      <c r="E1055" s="3" t="s">
        <v>580</v>
      </c>
      <c r="F1055" s="3" t="s">
        <v>42</v>
      </c>
      <c r="G1055">
        <v>0</v>
      </c>
    </row>
    <row r="1056" spans="1:7" ht="16">
      <c r="A1056" s="4">
        <v>11131680</v>
      </c>
      <c r="B1056" s="1" t="s">
        <v>2186</v>
      </c>
      <c r="C1056" s="4">
        <v>2000</v>
      </c>
      <c r="D1056" s="5" t="s">
        <v>2187</v>
      </c>
      <c r="E1056" s="3" t="s">
        <v>580</v>
      </c>
      <c r="F1056" s="3" t="s">
        <v>33</v>
      </c>
      <c r="G1056">
        <v>0</v>
      </c>
    </row>
    <row r="1057" spans="1:7" ht="16">
      <c r="A1057" s="4">
        <v>11120923</v>
      </c>
      <c r="B1057" s="1" t="s">
        <v>1259</v>
      </c>
      <c r="C1057" s="4">
        <v>2001</v>
      </c>
      <c r="D1057" s="5" t="s">
        <v>1260</v>
      </c>
      <c r="E1057" s="3" t="s">
        <v>580</v>
      </c>
      <c r="F1057" s="3" t="s">
        <v>42</v>
      </c>
      <c r="G1057">
        <v>0</v>
      </c>
    </row>
    <row r="1058" spans="1:7" ht="16">
      <c r="A1058" s="4">
        <v>11112030</v>
      </c>
      <c r="B1058" s="1" t="s">
        <v>1357</v>
      </c>
      <c r="C1058" s="4">
        <v>2000</v>
      </c>
      <c r="D1058" s="5" t="s">
        <v>1358</v>
      </c>
      <c r="E1058" s="3" t="s">
        <v>580</v>
      </c>
      <c r="F1058" s="3" t="s">
        <v>42</v>
      </c>
      <c r="G1058">
        <v>0</v>
      </c>
    </row>
    <row r="1059" spans="1:7" ht="16">
      <c r="A1059" s="4">
        <v>11055083</v>
      </c>
      <c r="B1059" s="1">
        <v>0</v>
      </c>
      <c r="C1059" s="4">
        <v>2000</v>
      </c>
      <c r="D1059" s="5" t="s">
        <v>1703</v>
      </c>
      <c r="E1059" s="3" t="s">
        <v>580</v>
      </c>
      <c r="F1059" s="3" t="s">
        <v>49</v>
      </c>
      <c r="G1059">
        <v>0</v>
      </c>
    </row>
    <row r="1060" spans="1:7" ht="16">
      <c r="A1060" s="4">
        <v>11049767</v>
      </c>
      <c r="B1060" s="1" t="s">
        <v>1859</v>
      </c>
      <c r="C1060" s="4">
        <v>2000</v>
      </c>
      <c r="D1060" s="5" t="s">
        <v>1860</v>
      </c>
      <c r="E1060" s="3" t="s">
        <v>580</v>
      </c>
      <c r="F1060" s="3" t="s">
        <v>33</v>
      </c>
      <c r="G1060">
        <v>0</v>
      </c>
    </row>
    <row r="1061" spans="1:7" ht="16">
      <c r="A1061" s="4">
        <v>10995927</v>
      </c>
      <c r="B1061" s="1" t="s">
        <v>2419</v>
      </c>
      <c r="C1061" s="4">
        <v>2000</v>
      </c>
      <c r="D1061" s="5" t="s">
        <v>2420</v>
      </c>
      <c r="E1061" s="3" t="s">
        <v>580</v>
      </c>
      <c r="F1061" s="3" t="s">
        <v>38</v>
      </c>
      <c r="G1061">
        <v>0</v>
      </c>
    </row>
    <row r="1062" spans="1:7" ht="16">
      <c r="A1062" s="4">
        <v>10972002</v>
      </c>
      <c r="B1062" s="1" t="s">
        <v>2029</v>
      </c>
      <c r="C1062" s="4">
        <v>1999</v>
      </c>
      <c r="D1062" s="5" t="s">
        <v>2030</v>
      </c>
      <c r="E1062" s="3" t="s">
        <v>580</v>
      </c>
      <c r="F1062" s="3" t="s">
        <v>33</v>
      </c>
      <c r="G1062">
        <v>0</v>
      </c>
    </row>
    <row r="1063" spans="1:7" ht="16">
      <c r="A1063" s="4">
        <v>10968172</v>
      </c>
      <c r="B1063" s="1" t="s">
        <v>1159</v>
      </c>
      <c r="C1063" s="4">
        <v>1998</v>
      </c>
      <c r="D1063" s="5" t="s">
        <v>1160</v>
      </c>
      <c r="E1063" s="3" t="s">
        <v>580</v>
      </c>
      <c r="F1063" s="3" t="s">
        <v>29</v>
      </c>
      <c r="G1063">
        <v>0</v>
      </c>
    </row>
    <row r="1064" spans="1:7" ht="16">
      <c r="A1064" s="4">
        <v>10935989</v>
      </c>
      <c r="B1064" s="1" t="s">
        <v>1285</v>
      </c>
      <c r="C1064" s="4">
        <v>2000</v>
      </c>
      <c r="D1064" s="5" t="s">
        <v>1286</v>
      </c>
      <c r="E1064" s="3" t="s">
        <v>580</v>
      </c>
      <c r="F1064" s="3" t="s">
        <v>42</v>
      </c>
      <c r="G1064">
        <v>0</v>
      </c>
    </row>
    <row r="1065" spans="1:7" ht="16">
      <c r="A1065" s="4">
        <v>10919606</v>
      </c>
      <c r="B1065" s="1" t="s">
        <v>1333</v>
      </c>
      <c r="C1065" s="4">
        <v>2000</v>
      </c>
      <c r="D1065" s="5" t="s">
        <v>1334</v>
      </c>
      <c r="E1065" s="3" t="s">
        <v>580</v>
      </c>
      <c r="F1065" s="3" t="s">
        <v>42</v>
      </c>
      <c r="G1065">
        <v>0</v>
      </c>
    </row>
    <row r="1066" spans="1:7" ht="16">
      <c r="A1066" s="4">
        <v>10918273</v>
      </c>
      <c r="B1066" s="1" t="s">
        <v>1077</v>
      </c>
      <c r="C1066" s="4">
        <v>2000</v>
      </c>
      <c r="D1066" s="5" t="s">
        <v>1078</v>
      </c>
      <c r="E1066" s="3" t="s">
        <v>580</v>
      </c>
      <c r="F1066" s="3" t="s">
        <v>29</v>
      </c>
      <c r="G1066">
        <v>0</v>
      </c>
    </row>
    <row r="1067" spans="1:7" ht="16">
      <c r="A1067" s="4">
        <v>10913395</v>
      </c>
      <c r="B1067" s="1" t="s">
        <v>1800</v>
      </c>
      <c r="C1067" s="4">
        <v>2000</v>
      </c>
      <c r="D1067" s="5" t="s">
        <v>1801</v>
      </c>
      <c r="E1067" s="3" t="s">
        <v>580</v>
      </c>
      <c r="F1067" s="3" t="s">
        <v>33</v>
      </c>
      <c r="G1067">
        <v>0</v>
      </c>
    </row>
    <row r="1068" spans="1:7" ht="16">
      <c r="A1068" s="4">
        <v>10911374</v>
      </c>
      <c r="B1068" s="1" t="s">
        <v>1748</v>
      </c>
      <c r="C1068" s="4">
        <v>2000</v>
      </c>
      <c r="D1068" s="5" t="s">
        <v>1749</v>
      </c>
      <c r="E1068" s="3" t="s">
        <v>580</v>
      </c>
      <c r="F1068" s="3" t="s">
        <v>69</v>
      </c>
      <c r="G1068">
        <v>0</v>
      </c>
    </row>
    <row r="1069" spans="1:7" ht="16">
      <c r="A1069" s="4">
        <v>10910278</v>
      </c>
      <c r="B1069" s="1" t="s">
        <v>1327</v>
      </c>
      <c r="C1069" s="4">
        <v>2000</v>
      </c>
      <c r="D1069" s="5" t="s">
        <v>1328</v>
      </c>
      <c r="E1069" s="3" t="s">
        <v>580</v>
      </c>
      <c r="F1069" s="3" t="s">
        <v>42</v>
      </c>
      <c r="G1069">
        <v>0</v>
      </c>
    </row>
    <row r="1070" spans="1:7" ht="16">
      <c r="A1070" s="4">
        <v>10910277</v>
      </c>
      <c r="B1070" s="1" t="s">
        <v>1299</v>
      </c>
      <c r="C1070" s="4">
        <v>2000</v>
      </c>
      <c r="D1070" s="5" t="s">
        <v>1300</v>
      </c>
      <c r="E1070" s="3" t="s">
        <v>580</v>
      </c>
      <c r="F1070" s="3" t="s">
        <v>42</v>
      </c>
      <c r="G1070">
        <v>0</v>
      </c>
    </row>
    <row r="1071" spans="1:7" ht="16">
      <c r="A1071" s="4">
        <v>10878482</v>
      </c>
      <c r="B1071" s="1" t="s">
        <v>2596</v>
      </c>
      <c r="C1071" s="4">
        <v>2000</v>
      </c>
      <c r="D1071" s="5" t="s">
        <v>2597</v>
      </c>
      <c r="E1071" s="3" t="s">
        <v>580</v>
      </c>
      <c r="F1071" s="3" t="s">
        <v>38</v>
      </c>
      <c r="G1071">
        <v>0</v>
      </c>
    </row>
    <row r="1072" spans="1:7" ht="16">
      <c r="A1072" s="4">
        <v>10872679</v>
      </c>
      <c r="B1072" s="1" t="s">
        <v>2041</v>
      </c>
      <c r="C1072" s="4">
        <v>2000</v>
      </c>
      <c r="D1072" s="5" t="s">
        <v>2042</v>
      </c>
      <c r="E1072" s="3" t="s">
        <v>580</v>
      </c>
      <c r="F1072" s="3" t="s">
        <v>33</v>
      </c>
      <c r="G1072">
        <v>0</v>
      </c>
    </row>
    <row r="1073" spans="1:7" ht="16">
      <c r="A1073" s="4">
        <v>10868648</v>
      </c>
      <c r="B1073" s="1" t="s">
        <v>1391</v>
      </c>
      <c r="C1073" s="4">
        <v>2000</v>
      </c>
      <c r="D1073" s="5" t="s">
        <v>1392</v>
      </c>
      <c r="E1073" s="3" t="s">
        <v>580</v>
      </c>
      <c r="F1073" s="3" t="s">
        <v>42</v>
      </c>
      <c r="G1073">
        <v>0</v>
      </c>
    </row>
    <row r="1074" spans="1:7" ht="16">
      <c r="A1074" s="4">
        <v>10855769</v>
      </c>
      <c r="B1074" s="1" t="s">
        <v>2336</v>
      </c>
      <c r="C1074" s="4">
        <v>2000</v>
      </c>
      <c r="D1074" s="5" t="s">
        <v>2337</v>
      </c>
      <c r="E1074" s="3" t="s">
        <v>580</v>
      </c>
      <c r="F1074" s="3" t="s">
        <v>38</v>
      </c>
      <c r="G1074">
        <v>0</v>
      </c>
    </row>
    <row r="1075" spans="1:7" ht="16">
      <c r="A1075" s="4">
        <v>10846461</v>
      </c>
      <c r="B1075" s="1" t="s">
        <v>638</v>
      </c>
      <c r="C1075" s="4">
        <v>2000</v>
      </c>
      <c r="D1075" s="5" t="s">
        <v>639</v>
      </c>
      <c r="E1075" s="3" t="s">
        <v>580</v>
      </c>
      <c r="F1075" s="3" t="s">
        <v>45</v>
      </c>
      <c r="G1075">
        <v>0</v>
      </c>
    </row>
    <row r="1076" spans="1:7" ht="16">
      <c r="A1076" s="4">
        <v>10836387</v>
      </c>
      <c r="B1076" s="1" t="s">
        <v>1820</v>
      </c>
      <c r="C1076" s="4">
        <v>2000</v>
      </c>
      <c r="D1076" s="5" t="s">
        <v>1821</v>
      </c>
      <c r="E1076" s="3" t="s">
        <v>580</v>
      </c>
      <c r="F1076" s="3" t="s">
        <v>33</v>
      </c>
      <c r="G1076">
        <v>0</v>
      </c>
    </row>
    <row r="1077" spans="1:7" ht="16">
      <c r="A1077" s="4">
        <v>10815027</v>
      </c>
      <c r="B1077" s="1" t="s">
        <v>2279</v>
      </c>
      <c r="C1077" s="4">
        <v>2000</v>
      </c>
      <c r="D1077" s="5" t="s">
        <v>2280</v>
      </c>
      <c r="E1077" s="3" t="s">
        <v>580</v>
      </c>
      <c r="F1077" s="3" t="s">
        <v>38</v>
      </c>
      <c r="G1077">
        <v>0</v>
      </c>
    </row>
    <row r="1078" spans="1:7" ht="16">
      <c r="A1078" s="4">
        <v>10800159</v>
      </c>
      <c r="B1078" s="1" t="s">
        <v>2092</v>
      </c>
      <c r="C1078" s="4">
        <v>2000</v>
      </c>
      <c r="D1078" s="5" t="s">
        <v>2093</v>
      </c>
      <c r="E1078" s="3" t="s">
        <v>580</v>
      </c>
      <c r="F1078" s="3" t="s">
        <v>33</v>
      </c>
      <c r="G1078">
        <v>0</v>
      </c>
    </row>
    <row r="1079" spans="1:7" ht="16">
      <c r="A1079" s="4">
        <v>10773849</v>
      </c>
      <c r="B1079" s="1" t="s">
        <v>2078</v>
      </c>
      <c r="C1079" s="4">
        <v>2000</v>
      </c>
      <c r="D1079" s="5" t="s">
        <v>2079</v>
      </c>
      <c r="E1079" s="3" t="s">
        <v>580</v>
      </c>
      <c r="F1079" s="3" t="s">
        <v>33</v>
      </c>
      <c r="G1079">
        <v>0</v>
      </c>
    </row>
    <row r="1080" spans="1:7" ht="16">
      <c r="A1080" s="4">
        <v>10765058</v>
      </c>
      <c r="B1080" s="1" t="s">
        <v>1778</v>
      </c>
      <c r="C1080" s="4">
        <v>2000</v>
      </c>
      <c r="D1080" s="5" t="s">
        <v>1779</v>
      </c>
      <c r="E1080" s="3" t="s">
        <v>580</v>
      </c>
      <c r="F1080" s="3" t="s">
        <v>33</v>
      </c>
      <c r="G1080">
        <v>0</v>
      </c>
    </row>
    <row r="1081" spans="1:7" ht="16">
      <c r="A1081" s="4">
        <v>10762575</v>
      </c>
      <c r="B1081" s="1" t="s">
        <v>1381</v>
      </c>
      <c r="C1081" s="4">
        <v>2000</v>
      </c>
      <c r="D1081" s="5" t="s">
        <v>1382</v>
      </c>
      <c r="E1081" s="3" t="s">
        <v>580</v>
      </c>
      <c r="F1081" s="3" t="s">
        <v>42</v>
      </c>
      <c r="G1081">
        <v>0</v>
      </c>
    </row>
    <row r="1082" spans="1:7" ht="16">
      <c r="A1082" s="4">
        <v>10745266</v>
      </c>
      <c r="B1082" s="1" t="s">
        <v>799</v>
      </c>
      <c r="C1082" s="4">
        <v>2000</v>
      </c>
      <c r="D1082" s="5" t="s">
        <v>800</v>
      </c>
      <c r="E1082" s="3" t="s">
        <v>580</v>
      </c>
      <c r="F1082" s="3" t="s">
        <v>29</v>
      </c>
      <c r="G1082">
        <v>0</v>
      </c>
    </row>
    <row r="1083" spans="1:7" ht="16">
      <c r="A1083" s="4">
        <v>10738970</v>
      </c>
      <c r="B1083" s="1" t="s">
        <v>2090</v>
      </c>
      <c r="C1083" s="4">
        <v>2000</v>
      </c>
      <c r="D1083" s="5" t="s">
        <v>2091</v>
      </c>
      <c r="E1083" s="3" t="s">
        <v>580</v>
      </c>
      <c r="F1083" s="3" t="s">
        <v>33</v>
      </c>
      <c r="G1083">
        <v>0</v>
      </c>
    </row>
    <row r="1084" spans="1:7" ht="16">
      <c r="A1084" s="4">
        <v>10698157</v>
      </c>
      <c r="B1084" s="1" t="s">
        <v>2389</v>
      </c>
      <c r="C1084" s="4">
        <v>2000</v>
      </c>
      <c r="D1084" s="5" t="s">
        <v>2390</v>
      </c>
      <c r="E1084" s="3" t="s">
        <v>580</v>
      </c>
      <c r="F1084" s="3" t="s">
        <v>38</v>
      </c>
      <c r="G1084">
        <v>0</v>
      </c>
    </row>
    <row r="1085" spans="1:7" ht="16">
      <c r="A1085" s="4">
        <v>10680737</v>
      </c>
      <c r="B1085" s="1" t="s">
        <v>2102</v>
      </c>
      <c r="C1085" s="4">
        <v>2000</v>
      </c>
      <c r="D1085" s="5" t="s">
        <v>2103</v>
      </c>
      <c r="E1085" s="3" t="s">
        <v>580</v>
      </c>
      <c r="F1085" s="3" t="s">
        <v>33</v>
      </c>
      <c r="G1085">
        <v>0</v>
      </c>
    </row>
    <row r="1086" spans="1:7" ht="16">
      <c r="A1086" s="4">
        <v>10675403</v>
      </c>
      <c r="B1086" s="1" t="s">
        <v>1792</v>
      </c>
      <c r="C1086" s="4">
        <v>2000</v>
      </c>
      <c r="D1086" s="5" t="s">
        <v>1793</v>
      </c>
      <c r="E1086" s="3" t="s">
        <v>580</v>
      </c>
      <c r="F1086" s="3" t="s">
        <v>33</v>
      </c>
      <c r="G1086">
        <v>0</v>
      </c>
    </row>
    <row r="1087" spans="1:7" ht="16">
      <c r="A1087" s="4">
        <v>10642816</v>
      </c>
      <c r="B1087" s="1" t="s">
        <v>911</v>
      </c>
      <c r="C1087" s="4">
        <v>1999</v>
      </c>
      <c r="D1087" s="5" t="s">
        <v>912</v>
      </c>
      <c r="E1087" s="3" t="s">
        <v>580</v>
      </c>
      <c r="F1087" s="3" t="s">
        <v>29</v>
      </c>
      <c r="G1087">
        <v>0</v>
      </c>
    </row>
    <row r="1088" spans="1:7" ht="16">
      <c r="A1088" s="4">
        <v>10633848</v>
      </c>
      <c r="B1088" s="1" t="s">
        <v>2396</v>
      </c>
      <c r="C1088" s="4">
        <v>1999</v>
      </c>
      <c r="D1088" s="5" t="s">
        <v>2397</v>
      </c>
      <c r="E1088" s="3" t="s">
        <v>580</v>
      </c>
      <c r="F1088" s="3" t="s">
        <v>38</v>
      </c>
      <c r="G1088">
        <v>0</v>
      </c>
    </row>
    <row r="1089" spans="1:7" ht="16">
      <c r="A1089" s="4">
        <v>10629599</v>
      </c>
      <c r="B1089" s="1" t="s">
        <v>1095</v>
      </c>
      <c r="C1089" s="4">
        <v>2000</v>
      </c>
      <c r="D1089" s="5" t="s">
        <v>1096</v>
      </c>
      <c r="E1089" s="3" t="s">
        <v>580</v>
      </c>
      <c r="F1089" s="3" t="s">
        <v>29</v>
      </c>
      <c r="G1089">
        <v>0</v>
      </c>
    </row>
    <row r="1090" spans="1:7" ht="16">
      <c r="A1090" s="4">
        <v>10558965</v>
      </c>
      <c r="B1090" s="1" t="s">
        <v>1871</v>
      </c>
      <c r="C1090" s="4">
        <v>1999</v>
      </c>
      <c r="D1090" s="5" t="s">
        <v>1872</v>
      </c>
      <c r="E1090" s="3" t="s">
        <v>580</v>
      </c>
      <c r="F1090" s="3" t="s">
        <v>33</v>
      </c>
      <c r="G1090">
        <v>0</v>
      </c>
    </row>
    <row r="1091" spans="1:7" ht="16">
      <c r="A1091" s="4">
        <v>10555208</v>
      </c>
      <c r="B1091" s="1" t="s">
        <v>1979</v>
      </c>
      <c r="C1091" s="4">
        <v>1999</v>
      </c>
      <c r="D1091" s="5" t="s">
        <v>1980</v>
      </c>
      <c r="E1091" s="3" t="s">
        <v>580</v>
      </c>
      <c r="F1091" s="3" t="s">
        <v>33</v>
      </c>
      <c r="G1091">
        <v>0</v>
      </c>
    </row>
    <row r="1092" spans="1:7" ht="16">
      <c r="A1092" s="4">
        <v>10554818</v>
      </c>
      <c r="B1092" s="1" t="s">
        <v>993</v>
      </c>
      <c r="C1092" s="4">
        <v>1999</v>
      </c>
      <c r="D1092" s="5" t="s">
        <v>994</v>
      </c>
      <c r="E1092" s="3" t="s">
        <v>580</v>
      </c>
      <c r="F1092" s="3" t="s">
        <v>29</v>
      </c>
      <c r="G1092">
        <v>0</v>
      </c>
    </row>
    <row r="1093" spans="1:7" ht="16">
      <c r="A1093" s="4">
        <v>10551163</v>
      </c>
      <c r="B1093" s="1" t="s">
        <v>2128</v>
      </c>
      <c r="C1093" s="4">
        <v>1999</v>
      </c>
      <c r="D1093" s="5" t="s">
        <v>2129</v>
      </c>
      <c r="E1093" s="3" t="s">
        <v>580</v>
      </c>
      <c r="F1093" s="3" t="s">
        <v>33</v>
      </c>
      <c r="G1093">
        <v>0</v>
      </c>
    </row>
    <row r="1094" spans="1:7" ht="16">
      <c r="A1094" s="4">
        <v>10534732</v>
      </c>
      <c r="B1094" s="1" t="s">
        <v>1365</v>
      </c>
      <c r="C1094" s="4">
        <v>1999</v>
      </c>
      <c r="D1094" s="5" t="s">
        <v>1366</v>
      </c>
      <c r="E1094" s="3" t="s">
        <v>580</v>
      </c>
      <c r="F1094" s="3" t="s">
        <v>42</v>
      </c>
      <c r="G1094">
        <v>0</v>
      </c>
    </row>
    <row r="1095" spans="1:7" ht="16">
      <c r="A1095" s="4">
        <v>10516706</v>
      </c>
      <c r="B1095" s="1" t="s">
        <v>973</v>
      </c>
      <c r="C1095" s="4">
        <v>1999</v>
      </c>
      <c r="D1095" s="5" t="s">
        <v>974</v>
      </c>
      <c r="E1095" s="3" t="s">
        <v>580</v>
      </c>
      <c r="F1095" s="3" t="s">
        <v>29</v>
      </c>
      <c r="G1095">
        <v>0</v>
      </c>
    </row>
    <row r="1096" spans="1:7" ht="16">
      <c r="A1096" s="4">
        <v>10483141</v>
      </c>
      <c r="B1096" s="1" t="s">
        <v>1061</v>
      </c>
      <c r="C1096" s="4">
        <v>1999</v>
      </c>
      <c r="D1096" s="5" t="s">
        <v>1062</v>
      </c>
      <c r="E1096" s="3" t="s">
        <v>580</v>
      </c>
      <c r="F1096" s="3" t="s">
        <v>29</v>
      </c>
      <c r="G1096">
        <v>0</v>
      </c>
    </row>
    <row r="1097" spans="1:7" ht="16">
      <c r="A1097" s="4">
        <v>10482064</v>
      </c>
      <c r="B1097" s="1" t="s">
        <v>823</v>
      </c>
      <c r="C1097" s="4">
        <v>1999</v>
      </c>
      <c r="D1097" s="5" t="s">
        <v>824</v>
      </c>
      <c r="E1097" s="3" t="s">
        <v>580</v>
      </c>
      <c r="F1097" s="3" t="s">
        <v>29</v>
      </c>
      <c r="G1097">
        <v>0</v>
      </c>
    </row>
    <row r="1098" spans="1:7" ht="16">
      <c r="A1098" s="4">
        <v>10477848</v>
      </c>
      <c r="B1098" s="1" t="s">
        <v>995</v>
      </c>
      <c r="C1098" s="4">
        <v>1999</v>
      </c>
      <c r="D1098" s="5" t="s">
        <v>996</v>
      </c>
      <c r="E1098" s="3" t="s">
        <v>580</v>
      </c>
      <c r="F1098" s="3" t="s">
        <v>29</v>
      </c>
      <c r="G1098">
        <v>0</v>
      </c>
    </row>
    <row r="1099" spans="1:7" ht="16">
      <c r="A1099" s="4">
        <v>10449249</v>
      </c>
      <c r="B1099" s="1" t="s">
        <v>1810</v>
      </c>
      <c r="C1099" s="4">
        <v>1999</v>
      </c>
      <c r="D1099" s="5" t="s">
        <v>1811</v>
      </c>
      <c r="E1099" s="3" t="s">
        <v>580</v>
      </c>
      <c r="F1099" s="3" t="s">
        <v>33</v>
      </c>
      <c r="G1099">
        <v>0</v>
      </c>
    </row>
    <row r="1100" spans="1:7" ht="16">
      <c r="A1100" s="4">
        <v>10401640</v>
      </c>
      <c r="B1100" s="1" t="s">
        <v>967</v>
      </c>
      <c r="C1100" s="4">
        <v>1999</v>
      </c>
      <c r="D1100" s="5" t="s">
        <v>968</v>
      </c>
      <c r="E1100" s="3" t="s">
        <v>580</v>
      </c>
      <c r="F1100" s="3" t="s">
        <v>29</v>
      </c>
      <c r="G1100">
        <v>0</v>
      </c>
    </row>
    <row r="1101" spans="1:7" ht="16">
      <c r="A1101" s="4">
        <v>10400183</v>
      </c>
      <c r="B1101" s="1" t="s">
        <v>1766</v>
      </c>
      <c r="C1101" s="4">
        <v>1999</v>
      </c>
      <c r="D1101" s="5" t="s">
        <v>1767</v>
      </c>
      <c r="E1101" s="3" t="s">
        <v>580</v>
      </c>
      <c r="F1101" s="3" t="s">
        <v>33</v>
      </c>
      <c r="G1101">
        <v>0</v>
      </c>
    </row>
    <row r="1102" spans="1:7" ht="16">
      <c r="A1102" s="4">
        <v>10377191</v>
      </c>
      <c r="B1102" s="1" t="s">
        <v>2238</v>
      </c>
      <c r="C1102" s="4">
        <v>1999</v>
      </c>
      <c r="D1102" s="5" t="s">
        <v>2239</v>
      </c>
      <c r="E1102" s="3" t="s">
        <v>580</v>
      </c>
      <c r="F1102" s="3" t="s">
        <v>73</v>
      </c>
      <c r="G1102">
        <v>0</v>
      </c>
    </row>
    <row r="1103" spans="1:7" ht="16">
      <c r="A1103" s="4">
        <v>10343615</v>
      </c>
      <c r="B1103" s="1" t="s">
        <v>1222</v>
      </c>
      <c r="C1103" s="4">
        <v>1999</v>
      </c>
      <c r="D1103" s="5" t="s">
        <v>1223</v>
      </c>
      <c r="E1103" s="3" t="s">
        <v>580</v>
      </c>
      <c r="F1103" s="3" t="s">
        <v>42</v>
      </c>
      <c r="G1103">
        <v>0</v>
      </c>
    </row>
    <row r="1104" spans="1:7" ht="16">
      <c r="A1104" s="4">
        <v>10341172</v>
      </c>
      <c r="B1104" s="1" t="s">
        <v>2316</v>
      </c>
      <c r="C1104" s="4">
        <v>1999</v>
      </c>
      <c r="D1104" s="5" t="s">
        <v>2317</v>
      </c>
      <c r="E1104" s="3" t="s">
        <v>580</v>
      </c>
      <c r="F1104" s="3" t="s">
        <v>38</v>
      </c>
      <c r="G1104">
        <v>0</v>
      </c>
    </row>
    <row r="1105" spans="1:7" ht="16">
      <c r="A1105" s="4">
        <v>10223549</v>
      </c>
      <c r="B1105" s="1" t="s">
        <v>2023</v>
      </c>
      <c r="C1105" s="4">
        <v>1999</v>
      </c>
      <c r="D1105" s="5" t="s">
        <v>2024</v>
      </c>
      <c r="E1105" s="3" t="s">
        <v>580</v>
      </c>
      <c r="F1105" s="3" t="s">
        <v>33</v>
      </c>
      <c r="G1105">
        <v>0</v>
      </c>
    </row>
    <row r="1106" spans="1:7" ht="16">
      <c r="A1106" s="4">
        <v>10223548</v>
      </c>
      <c r="B1106" s="1" t="s">
        <v>2019</v>
      </c>
      <c r="C1106" s="4">
        <v>1999</v>
      </c>
      <c r="D1106" s="5" t="s">
        <v>2020</v>
      </c>
      <c r="E1106" s="3" t="s">
        <v>580</v>
      </c>
      <c r="F1106" s="3" t="s">
        <v>33</v>
      </c>
      <c r="G1106">
        <v>0</v>
      </c>
    </row>
    <row r="1107" spans="1:7" ht="16">
      <c r="A1107" s="4">
        <v>10221519</v>
      </c>
      <c r="B1107" s="1" t="s">
        <v>2478</v>
      </c>
      <c r="C1107" s="4">
        <v>1999</v>
      </c>
      <c r="D1107" s="5" t="s">
        <v>2479</v>
      </c>
      <c r="E1107" s="3" t="s">
        <v>580</v>
      </c>
      <c r="F1107" s="3" t="s">
        <v>38</v>
      </c>
      <c r="G1107">
        <v>0</v>
      </c>
    </row>
    <row r="1108" spans="1:7" ht="16">
      <c r="A1108" s="4">
        <v>10097377</v>
      </c>
      <c r="B1108" s="1" t="s">
        <v>2362</v>
      </c>
      <c r="C1108" s="4">
        <v>1999</v>
      </c>
      <c r="D1108" s="5" t="s">
        <v>2363</v>
      </c>
      <c r="E1108" s="3" t="s">
        <v>580</v>
      </c>
      <c r="F1108" s="3" t="s">
        <v>38</v>
      </c>
      <c r="G1108">
        <v>0</v>
      </c>
    </row>
    <row r="1109" spans="1:7" ht="16">
      <c r="A1109" s="4">
        <v>10083199</v>
      </c>
      <c r="B1109" s="1" t="s">
        <v>1307</v>
      </c>
      <c r="C1109" s="4">
        <v>1999</v>
      </c>
      <c r="D1109" s="5" t="s">
        <v>1713</v>
      </c>
      <c r="E1109" s="3" t="s">
        <v>580</v>
      </c>
      <c r="F1109" s="3" t="s">
        <v>49</v>
      </c>
      <c r="G1109">
        <v>0</v>
      </c>
    </row>
    <row r="1110" spans="1:7" ht="16">
      <c r="A1110" s="4">
        <v>10069356</v>
      </c>
      <c r="B1110" s="1" t="s">
        <v>2281</v>
      </c>
      <c r="C1110" s="4">
        <v>1999</v>
      </c>
      <c r="D1110" s="5" t="s">
        <v>2282</v>
      </c>
      <c r="E1110" s="3" t="s">
        <v>580</v>
      </c>
      <c r="F1110" s="3" t="s">
        <v>38</v>
      </c>
      <c r="G1110">
        <v>0</v>
      </c>
    </row>
    <row r="1111" spans="1:7" ht="16">
      <c r="A1111" s="4">
        <v>10068608</v>
      </c>
      <c r="B1111" s="1" t="s">
        <v>1498</v>
      </c>
      <c r="C1111" s="4">
        <v>1999</v>
      </c>
      <c r="D1111" s="5" t="s">
        <v>1499</v>
      </c>
      <c r="E1111" s="3" t="s">
        <v>580</v>
      </c>
      <c r="F1111" s="3" t="s">
        <v>57</v>
      </c>
      <c r="G1111">
        <v>0</v>
      </c>
    </row>
    <row r="1112" spans="1:7" ht="16">
      <c r="A1112" s="4">
        <v>10030285</v>
      </c>
      <c r="B1112" s="1" t="s">
        <v>1283</v>
      </c>
      <c r="C1112" s="4">
        <v>1999</v>
      </c>
      <c r="D1112" s="5" t="s">
        <v>1284</v>
      </c>
      <c r="E1112" s="3" t="s">
        <v>580</v>
      </c>
      <c r="F1112" s="3" t="s">
        <v>42</v>
      </c>
      <c r="G1112">
        <v>0</v>
      </c>
    </row>
    <row r="1113" spans="1:7" ht="16">
      <c r="A1113" s="4">
        <v>10026725</v>
      </c>
      <c r="B1113" s="1" t="s">
        <v>2366</v>
      </c>
      <c r="C1113" s="4">
        <v>1999</v>
      </c>
      <c r="D1113" s="5" t="s">
        <v>2367</v>
      </c>
      <c r="E1113" s="3" t="s">
        <v>580</v>
      </c>
      <c r="F1113" s="3" t="s">
        <v>38</v>
      </c>
      <c r="G1113">
        <v>0</v>
      </c>
    </row>
    <row r="1114" spans="1:7" ht="16">
      <c r="A1114" s="4">
        <v>9987758</v>
      </c>
      <c r="B1114" s="1" t="s">
        <v>1826</v>
      </c>
      <c r="C1114" s="4">
        <v>1998</v>
      </c>
      <c r="D1114" s="5" t="s">
        <v>1827</v>
      </c>
      <c r="E1114" s="3" t="s">
        <v>580</v>
      </c>
      <c r="F1114" s="3" t="s">
        <v>33</v>
      </c>
      <c r="G1114">
        <v>0</v>
      </c>
    </row>
    <row r="1115" spans="1:7" ht="16">
      <c r="A1115" s="4">
        <v>9920848</v>
      </c>
      <c r="B1115" s="1" t="s">
        <v>1794</v>
      </c>
      <c r="C1115" s="4">
        <v>1999</v>
      </c>
      <c r="D1115" s="5" t="s">
        <v>1795</v>
      </c>
      <c r="E1115" s="3" t="s">
        <v>580</v>
      </c>
      <c r="F1115" s="3" t="s">
        <v>33</v>
      </c>
      <c r="G1115">
        <v>0</v>
      </c>
    </row>
    <row r="1116" spans="1:7" ht="16">
      <c r="A1116" s="4">
        <v>9869189</v>
      </c>
      <c r="B1116" s="1" t="s">
        <v>2318</v>
      </c>
      <c r="C1116" s="4">
        <v>1998</v>
      </c>
      <c r="D1116" s="5" t="s">
        <v>2319</v>
      </c>
      <c r="E1116" s="3" t="s">
        <v>580</v>
      </c>
      <c r="F1116" s="3" t="s">
        <v>38</v>
      </c>
      <c r="G1116">
        <v>0</v>
      </c>
    </row>
    <row r="1117" spans="1:7" ht="16">
      <c r="A1117" s="4">
        <v>9864048</v>
      </c>
      <c r="B1117" s="1" t="s">
        <v>1776</v>
      </c>
      <c r="C1117" s="4">
        <v>1998</v>
      </c>
      <c r="D1117" s="5" t="s">
        <v>1777</v>
      </c>
      <c r="E1117" s="3" t="s">
        <v>580</v>
      </c>
      <c r="F1117" s="3" t="s">
        <v>33</v>
      </c>
      <c r="G1117">
        <v>0</v>
      </c>
    </row>
    <row r="1118" spans="1:7" ht="16">
      <c r="A1118" s="4">
        <v>9847383</v>
      </c>
      <c r="B1118" s="1" t="s">
        <v>1933</v>
      </c>
      <c r="C1118" s="4">
        <v>1999</v>
      </c>
      <c r="D1118" s="5" t="s">
        <v>1934</v>
      </c>
      <c r="E1118" s="3" t="s">
        <v>580</v>
      </c>
      <c r="F1118" s="3" t="s">
        <v>33</v>
      </c>
      <c r="G1118">
        <v>0</v>
      </c>
    </row>
    <row r="1119" spans="1:7" ht="16">
      <c r="A1119" s="4">
        <v>9847336</v>
      </c>
      <c r="B1119" s="1" t="s">
        <v>1969</v>
      </c>
      <c r="C1119" s="4">
        <v>1999</v>
      </c>
      <c r="D1119" s="5" t="s">
        <v>1970</v>
      </c>
      <c r="E1119" s="3" t="s">
        <v>580</v>
      </c>
      <c r="F1119" s="3" t="s">
        <v>33</v>
      </c>
      <c r="G1119">
        <v>0</v>
      </c>
    </row>
    <row r="1120" spans="1:7" ht="16">
      <c r="A1120" s="4">
        <v>9829439</v>
      </c>
      <c r="B1120" s="1" t="s">
        <v>2206</v>
      </c>
      <c r="C1120" s="4">
        <v>1998</v>
      </c>
      <c r="D1120" s="5" t="s">
        <v>2207</v>
      </c>
      <c r="E1120" s="3" t="s">
        <v>580</v>
      </c>
      <c r="F1120" s="3" t="s">
        <v>33</v>
      </c>
      <c r="G1120">
        <v>0</v>
      </c>
    </row>
    <row r="1121" spans="1:7" ht="16">
      <c r="A1121" s="4">
        <v>9820639</v>
      </c>
      <c r="B1121" s="1" t="s">
        <v>905</v>
      </c>
      <c r="C1121" s="4">
        <v>1998</v>
      </c>
      <c r="D1121" s="5" t="s">
        <v>906</v>
      </c>
      <c r="E1121" s="3" t="s">
        <v>580</v>
      </c>
      <c r="F1121" s="3" t="s">
        <v>29</v>
      </c>
      <c r="G1121">
        <v>0</v>
      </c>
    </row>
    <row r="1122" spans="1:7" ht="16">
      <c r="A1122" s="4">
        <v>9815234</v>
      </c>
      <c r="B1122" s="1" t="s">
        <v>1263</v>
      </c>
      <c r="C1122" s="4">
        <v>1998</v>
      </c>
      <c r="D1122" s="5" t="s">
        <v>1264</v>
      </c>
      <c r="E1122" s="3" t="s">
        <v>580</v>
      </c>
      <c r="F1122" s="3" t="s">
        <v>42</v>
      </c>
      <c r="G1122">
        <v>0</v>
      </c>
    </row>
    <row r="1123" spans="1:7" ht="16">
      <c r="A1123" s="4">
        <v>9811708</v>
      </c>
      <c r="B1123" s="1" t="s">
        <v>1931</v>
      </c>
      <c r="C1123" s="4">
        <v>1998</v>
      </c>
      <c r="D1123" s="5" t="s">
        <v>1932</v>
      </c>
      <c r="E1123" s="3" t="s">
        <v>580</v>
      </c>
      <c r="F1123" s="3" t="s">
        <v>33</v>
      </c>
      <c r="G1123">
        <v>0</v>
      </c>
    </row>
    <row r="1124" spans="1:7" ht="16">
      <c r="A1124" s="4">
        <v>9798697</v>
      </c>
      <c r="B1124" s="1" t="s">
        <v>1345</v>
      </c>
      <c r="C1124" s="4">
        <v>1998</v>
      </c>
      <c r="D1124" s="5" t="s">
        <v>1346</v>
      </c>
      <c r="E1124" s="3" t="s">
        <v>580</v>
      </c>
      <c r="F1124" s="3" t="s">
        <v>42</v>
      </c>
      <c r="G1124">
        <v>0</v>
      </c>
    </row>
    <row r="1125" spans="1:7" ht="16">
      <c r="A1125" s="4">
        <v>9786754</v>
      </c>
      <c r="B1125" s="1" t="s">
        <v>634</v>
      </c>
      <c r="C1125" s="4">
        <v>1998</v>
      </c>
      <c r="D1125" s="5" t="s">
        <v>1512</v>
      </c>
      <c r="E1125" s="3" t="s">
        <v>580</v>
      </c>
      <c r="F1125" s="3" t="s">
        <v>57</v>
      </c>
      <c r="G1125">
        <v>0</v>
      </c>
    </row>
    <row r="1126" spans="1:7" ht="16">
      <c r="A1126" s="4">
        <v>9781644</v>
      </c>
      <c r="B1126" s="1" t="s">
        <v>1971</v>
      </c>
      <c r="C1126" s="4">
        <v>1998</v>
      </c>
      <c r="D1126" s="5" t="s">
        <v>1972</v>
      </c>
      <c r="E1126" s="3" t="s">
        <v>580</v>
      </c>
      <c r="F1126" s="3" t="s">
        <v>33</v>
      </c>
      <c r="G1126">
        <v>0</v>
      </c>
    </row>
    <row r="1127" spans="1:7" ht="16">
      <c r="A1127" s="4">
        <v>9770176</v>
      </c>
      <c r="B1127" s="1" t="s">
        <v>917</v>
      </c>
      <c r="C1127" s="4">
        <v>1998</v>
      </c>
      <c r="D1127" s="5" t="s">
        <v>918</v>
      </c>
      <c r="E1127" s="3" t="s">
        <v>580</v>
      </c>
      <c r="F1127" s="3" t="s">
        <v>29</v>
      </c>
      <c r="G1127">
        <v>0</v>
      </c>
    </row>
    <row r="1128" spans="1:7" ht="16">
      <c r="A1128" s="4">
        <v>9766884</v>
      </c>
      <c r="B1128" s="1" t="s">
        <v>1752</v>
      </c>
      <c r="C1128" s="4">
        <v>1998</v>
      </c>
      <c r="D1128" s="5" t="s">
        <v>1753</v>
      </c>
      <c r="E1128" s="3" t="s">
        <v>580</v>
      </c>
      <c r="F1128" s="3" t="s">
        <v>69</v>
      </c>
      <c r="G1128">
        <v>0</v>
      </c>
    </row>
    <row r="1129" spans="1:7" ht="16">
      <c r="A1129" s="4">
        <v>9752764</v>
      </c>
      <c r="B1129" s="1" t="s">
        <v>2342</v>
      </c>
      <c r="C1129" s="4">
        <v>1998</v>
      </c>
      <c r="D1129" s="5" t="s">
        <v>2376</v>
      </c>
      <c r="E1129" s="3" t="s">
        <v>580</v>
      </c>
      <c r="F1129" s="3" t="s">
        <v>38</v>
      </c>
      <c r="G1129">
        <v>0</v>
      </c>
    </row>
    <row r="1130" spans="1:7" ht="16">
      <c r="A1130" s="4">
        <v>9746806</v>
      </c>
      <c r="B1130" s="1" t="s">
        <v>1685</v>
      </c>
      <c r="C1130" s="4">
        <v>1998</v>
      </c>
      <c r="D1130" s="5" t="s">
        <v>1686</v>
      </c>
      <c r="E1130" s="3" t="s">
        <v>580</v>
      </c>
      <c r="F1130" s="3" t="s">
        <v>49</v>
      </c>
      <c r="G1130">
        <v>0</v>
      </c>
    </row>
    <row r="1131" spans="1:7" ht="16">
      <c r="A1131" s="4">
        <v>9723401</v>
      </c>
      <c r="B1131" s="1" t="s">
        <v>1714</v>
      </c>
      <c r="C1131" s="4">
        <v>1998</v>
      </c>
      <c r="D1131" s="5" t="s">
        <v>1715</v>
      </c>
      <c r="E1131" s="3" t="s">
        <v>580</v>
      </c>
      <c r="F1131" s="3" t="s">
        <v>49</v>
      </c>
      <c r="G1131">
        <v>0</v>
      </c>
    </row>
    <row r="1132" spans="1:7" ht="16">
      <c r="A1132" s="4">
        <v>9720744</v>
      </c>
      <c r="B1132" s="1" t="s">
        <v>775</v>
      </c>
      <c r="C1132" s="4">
        <v>1998</v>
      </c>
      <c r="D1132" s="5" t="s">
        <v>776</v>
      </c>
      <c r="E1132" s="3" t="s">
        <v>580</v>
      </c>
      <c r="F1132" s="3" t="s">
        <v>29</v>
      </c>
      <c r="G1132">
        <v>0</v>
      </c>
    </row>
    <row r="1133" spans="1:7" ht="16">
      <c r="A1133" s="4">
        <v>9705171</v>
      </c>
      <c r="B1133" s="1" t="s">
        <v>1838</v>
      </c>
      <c r="C1133" s="4">
        <v>1998</v>
      </c>
      <c r="D1133" s="5" t="s">
        <v>1839</v>
      </c>
      <c r="E1133" s="3" t="s">
        <v>580</v>
      </c>
      <c r="F1133" s="3" t="s">
        <v>33</v>
      </c>
      <c r="G1133">
        <v>0</v>
      </c>
    </row>
    <row r="1134" spans="1:7" ht="16">
      <c r="A1134" s="4">
        <v>9700844</v>
      </c>
      <c r="B1134" s="1" t="s">
        <v>2381</v>
      </c>
      <c r="C1134" s="4">
        <v>1998</v>
      </c>
      <c r="D1134" s="5" t="s">
        <v>2549</v>
      </c>
      <c r="E1134" s="3" t="s">
        <v>580</v>
      </c>
      <c r="F1134" s="3" t="s">
        <v>38</v>
      </c>
      <c r="G1134">
        <v>0</v>
      </c>
    </row>
    <row r="1135" spans="1:7" ht="16">
      <c r="A1135" s="4">
        <v>9697740</v>
      </c>
      <c r="B1135" s="1" t="s">
        <v>1885</v>
      </c>
      <c r="C1135" s="4">
        <v>1998</v>
      </c>
      <c r="D1135" s="5" t="s">
        <v>1886</v>
      </c>
      <c r="E1135" s="3" t="s">
        <v>580</v>
      </c>
      <c r="F1135" s="3" t="s">
        <v>33</v>
      </c>
      <c r="G1135">
        <v>0</v>
      </c>
    </row>
    <row r="1136" spans="1:7" ht="16">
      <c r="A1136" s="4">
        <v>9688454</v>
      </c>
      <c r="B1136" s="1" t="s">
        <v>2484</v>
      </c>
      <c r="C1136" s="4">
        <v>1998</v>
      </c>
      <c r="D1136" s="5" t="s">
        <v>2485</v>
      </c>
      <c r="E1136" s="3" t="s">
        <v>580</v>
      </c>
      <c r="F1136" s="3" t="s">
        <v>38</v>
      </c>
      <c r="G1136">
        <v>0</v>
      </c>
    </row>
    <row r="1137" spans="1:7" ht="16">
      <c r="A1137" s="4">
        <v>9645656</v>
      </c>
      <c r="B1137" s="1" t="s">
        <v>1689</v>
      </c>
      <c r="C1137" s="4">
        <v>1998</v>
      </c>
      <c r="D1137" s="5" t="s">
        <v>1690</v>
      </c>
      <c r="E1137" s="3" t="s">
        <v>580</v>
      </c>
      <c r="F1137" s="3" t="s">
        <v>49</v>
      </c>
      <c r="G1137">
        <v>0</v>
      </c>
    </row>
    <row r="1138" spans="1:7" ht="16">
      <c r="A1138" s="4">
        <v>9632282</v>
      </c>
      <c r="B1138" s="1" t="s">
        <v>945</v>
      </c>
      <c r="C1138" s="4">
        <v>1998</v>
      </c>
      <c r="D1138" s="5" t="s">
        <v>946</v>
      </c>
      <c r="E1138" s="3" t="s">
        <v>580</v>
      </c>
      <c r="F1138" s="3" t="s">
        <v>29</v>
      </c>
      <c r="G1138">
        <v>0</v>
      </c>
    </row>
    <row r="1139" spans="1:7" ht="16">
      <c r="A1139" s="4">
        <v>9630332</v>
      </c>
      <c r="B1139" s="1" t="s">
        <v>1508</v>
      </c>
      <c r="C1139" s="4">
        <v>1998</v>
      </c>
      <c r="D1139" s="5" t="s">
        <v>2454</v>
      </c>
      <c r="E1139" s="3" t="s">
        <v>580</v>
      </c>
      <c r="F1139" s="3" t="s">
        <v>38</v>
      </c>
      <c r="G1139">
        <v>0</v>
      </c>
    </row>
    <row r="1140" spans="1:7" ht="16">
      <c r="A1140" s="4">
        <v>9629978</v>
      </c>
      <c r="B1140" s="1" t="s">
        <v>1257</v>
      </c>
      <c r="C1140" s="4">
        <v>1998</v>
      </c>
      <c r="D1140" s="5" t="s">
        <v>1258</v>
      </c>
      <c r="E1140" s="3" t="s">
        <v>580</v>
      </c>
      <c r="F1140" s="3" t="s">
        <v>42</v>
      </c>
      <c r="G1140">
        <v>0</v>
      </c>
    </row>
    <row r="1141" spans="1:7" ht="16">
      <c r="A1141" s="4">
        <v>9625030</v>
      </c>
      <c r="B1141" s="1" t="s">
        <v>957</v>
      </c>
      <c r="C1141" s="4">
        <v>1998</v>
      </c>
      <c r="D1141" s="5" t="s">
        <v>958</v>
      </c>
      <c r="E1141" s="3" t="s">
        <v>580</v>
      </c>
      <c r="F1141" s="3" t="s">
        <v>29</v>
      </c>
      <c r="G1141">
        <v>0</v>
      </c>
    </row>
    <row r="1142" spans="1:7" ht="16">
      <c r="A1142" s="4">
        <v>9603179</v>
      </c>
      <c r="B1142" s="1" t="s">
        <v>821</v>
      </c>
      <c r="C1142" s="4">
        <v>1998</v>
      </c>
      <c r="D1142" s="5" t="s">
        <v>822</v>
      </c>
      <c r="E1142" s="3" t="s">
        <v>580</v>
      </c>
      <c r="F1142" s="3" t="s">
        <v>29</v>
      </c>
      <c r="G1142">
        <v>0</v>
      </c>
    </row>
    <row r="1143" spans="1:7" ht="16">
      <c r="A1143" s="4">
        <v>9594451</v>
      </c>
      <c r="B1143" s="1" t="s">
        <v>881</v>
      </c>
      <c r="C1143" s="4">
        <v>1998</v>
      </c>
      <c r="D1143" s="5" t="s">
        <v>882</v>
      </c>
      <c r="E1143" s="3" t="s">
        <v>580</v>
      </c>
      <c r="F1143" s="3" t="s">
        <v>29</v>
      </c>
      <c r="G1143">
        <v>0</v>
      </c>
    </row>
    <row r="1144" spans="1:7" ht="16">
      <c r="A1144" s="4">
        <v>9586694</v>
      </c>
      <c r="B1144" s="1" t="s">
        <v>2098</v>
      </c>
      <c r="C1144" s="4">
        <v>1998</v>
      </c>
      <c r="D1144" s="5" t="s">
        <v>2099</v>
      </c>
      <c r="E1144" s="3" t="s">
        <v>580</v>
      </c>
      <c r="F1144" s="3" t="s">
        <v>33</v>
      </c>
      <c r="G1144">
        <v>0</v>
      </c>
    </row>
    <row r="1145" spans="1:7" ht="16">
      <c r="A1145" s="4">
        <v>9524848</v>
      </c>
      <c r="B1145" s="1" t="s">
        <v>1307</v>
      </c>
      <c r="C1145" s="4">
        <v>1998</v>
      </c>
      <c r="D1145" s="5" t="s">
        <v>1308</v>
      </c>
      <c r="E1145" s="3" t="s">
        <v>580</v>
      </c>
      <c r="F1145" s="3" t="s">
        <v>42</v>
      </c>
      <c r="G1145">
        <v>0</v>
      </c>
    </row>
    <row r="1146" spans="1:7" ht="16">
      <c r="A1146" s="4">
        <v>9469397</v>
      </c>
      <c r="B1146" s="1" t="s">
        <v>2387</v>
      </c>
      <c r="C1146" s="4">
        <v>1998</v>
      </c>
      <c r="D1146" s="5" t="s">
        <v>2388</v>
      </c>
      <c r="E1146" s="3" t="s">
        <v>580</v>
      </c>
      <c r="F1146" s="3" t="s">
        <v>38</v>
      </c>
      <c r="G1146">
        <v>0</v>
      </c>
    </row>
    <row r="1147" spans="1:7" ht="16">
      <c r="A1147" s="4">
        <v>9465692</v>
      </c>
      <c r="B1147" s="1" t="s">
        <v>2356</v>
      </c>
      <c r="C1147" s="4">
        <v>1998</v>
      </c>
      <c r="D1147" s="5" t="s">
        <v>2357</v>
      </c>
      <c r="E1147" s="3" t="s">
        <v>580</v>
      </c>
      <c r="F1147" s="3" t="s">
        <v>38</v>
      </c>
      <c r="G1147">
        <v>0</v>
      </c>
    </row>
    <row r="1148" spans="1:7" ht="16">
      <c r="A1148" s="4">
        <v>9465670</v>
      </c>
      <c r="B1148" s="1" t="s">
        <v>2379</v>
      </c>
      <c r="C1148" s="4">
        <v>1998</v>
      </c>
      <c r="D1148" s="5" t="s">
        <v>2380</v>
      </c>
      <c r="E1148" s="3" t="s">
        <v>580</v>
      </c>
      <c r="F1148" s="3" t="s">
        <v>38</v>
      </c>
      <c r="G1148">
        <v>0</v>
      </c>
    </row>
    <row r="1149" spans="1:7" ht="16">
      <c r="A1149" s="4">
        <v>9455510</v>
      </c>
      <c r="B1149" s="1" t="s">
        <v>1369</v>
      </c>
      <c r="C1149" s="4">
        <v>1998</v>
      </c>
      <c r="D1149" s="5" t="s">
        <v>1370</v>
      </c>
      <c r="E1149" s="3" t="s">
        <v>580</v>
      </c>
      <c r="F1149" s="3" t="s">
        <v>42</v>
      </c>
      <c r="G1149">
        <v>0</v>
      </c>
    </row>
    <row r="1150" spans="1:7" ht="16">
      <c r="A1150" s="4">
        <v>9453142</v>
      </c>
      <c r="B1150" s="1" t="s">
        <v>2170</v>
      </c>
      <c r="C1150" s="4">
        <v>1997</v>
      </c>
      <c r="D1150" s="5" t="s">
        <v>2171</v>
      </c>
      <c r="E1150" s="3" t="s">
        <v>580</v>
      </c>
      <c r="F1150" s="3" t="s">
        <v>33</v>
      </c>
      <c r="G1150">
        <v>0</v>
      </c>
    </row>
    <row r="1151" spans="1:7" ht="16">
      <c r="A1151" s="4">
        <v>9414312</v>
      </c>
      <c r="B1151" s="1" t="s">
        <v>1517</v>
      </c>
      <c r="C1151" s="4">
        <v>1998</v>
      </c>
      <c r="D1151" s="5" t="s">
        <v>1518</v>
      </c>
      <c r="E1151" s="3" t="s">
        <v>580</v>
      </c>
      <c r="F1151" s="3" t="s">
        <v>57</v>
      </c>
      <c r="G1151">
        <v>0</v>
      </c>
    </row>
    <row r="1152" spans="1:7" ht="16">
      <c r="A1152" s="4">
        <v>9384487</v>
      </c>
      <c r="B1152" s="1" t="s">
        <v>1157</v>
      </c>
      <c r="C1152" s="4">
        <v>1997</v>
      </c>
      <c r="D1152" s="5" t="s">
        <v>1158</v>
      </c>
      <c r="E1152" s="3" t="s">
        <v>580</v>
      </c>
      <c r="F1152" s="3" t="s">
        <v>29</v>
      </c>
      <c r="G1152">
        <v>0</v>
      </c>
    </row>
    <row r="1153" spans="1:7" ht="16">
      <c r="A1153" s="4">
        <v>9404935</v>
      </c>
      <c r="B1153" s="1" t="s">
        <v>1133</v>
      </c>
      <c r="C1153" s="4">
        <v>1997</v>
      </c>
      <c r="D1153" s="5" t="s">
        <v>1134</v>
      </c>
      <c r="E1153" s="3" t="s">
        <v>580</v>
      </c>
      <c r="F1153" s="3" t="s">
        <v>29</v>
      </c>
      <c r="G1153">
        <v>0</v>
      </c>
    </row>
    <row r="1154" spans="1:7" ht="16">
      <c r="A1154" s="4">
        <v>9365898</v>
      </c>
      <c r="B1154" s="1" t="s">
        <v>1329</v>
      </c>
      <c r="C1154" s="4">
        <v>1997</v>
      </c>
      <c r="D1154" s="5" t="s">
        <v>1330</v>
      </c>
      <c r="E1154" s="3" t="s">
        <v>580</v>
      </c>
      <c r="F1154" s="3" t="s">
        <v>42</v>
      </c>
      <c r="G1154">
        <v>0</v>
      </c>
    </row>
    <row r="1155" spans="1:7" ht="16">
      <c r="A1155" s="4">
        <v>9359710</v>
      </c>
      <c r="B1155" s="1" t="s">
        <v>1287</v>
      </c>
      <c r="C1155" s="4">
        <v>1997</v>
      </c>
      <c r="D1155" s="5" t="s">
        <v>1288</v>
      </c>
      <c r="E1155" s="3" t="s">
        <v>580</v>
      </c>
      <c r="F1155" s="3" t="s">
        <v>42</v>
      </c>
      <c r="G1155">
        <v>0</v>
      </c>
    </row>
    <row r="1156" spans="1:7" ht="16">
      <c r="A1156" s="4">
        <v>9359527</v>
      </c>
      <c r="B1156" s="1" t="s">
        <v>2043</v>
      </c>
      <c r="C1156" s="4">
        <v>1997</v>
      </c>
      <c r="D1156" s="5" t="s">
        <v>2044</v>
      </c>
      <c r="E1156" s="3" t="s">
        <v>580</v>
      </c>
      <c r="F1156" s="3" t="s">
        <v>33</v>
      </c>
      <c r="G1156">
        <v>0</v>
      </c>
    </row>
    <row r="1157" spans="1:7" ht="16">
      <c r="A1157" s="4">
        <v>9328116</v>
      </c>
      <c r="B1157" s="1" t="s">
        <v>622</v>
      </c>
      <c r="C1157" s="4">
        <v>1997</v>
      </c>
      <c r="D1157" s="5" t="s">
        <v>2134</v>
      </c>
      <c r="E1157" s="3" t="s">
        <v>580</v>
      </c>
      <c r="F1157" s="3" t="s">
        <v>33</v>
      </c>
      <c r="G1157">
        <v>0</v>
      </c>
    </row>
    <row r="1158" spans="1:7" ht="16">
      <c r="A1158" s="4">
        <v>9311701</v>
      </c>
      <c r="B1158" s="1" t="s">
        <v>771</v>
      </c>
      <c r="C1158" s="4">
        <v>1997</v>
      </c>
      <c r="D1158" s="5" t="s">
        <v>772</v>
      </c>
      <c r="E1158" s="3" t="s">
        <v>580</v>
      </c>
      <c r="F1158" s="3" t="s">
        <v>29</v>
      </c>
      <c r="G1158">
        <v>0</v>
      </c>
    </row>
    <row r="1159" spans="1:7" ht="16">
      <c r="A1159" s="4">
        <v>10678076</v>
      </c>
      <c r="B1159" s="1" t="s">
        <v>594</v>
      </c>
      <c r="C1159" s="4">
        <v>1997</v>
      </c>
      <c r="D1159" s="5" t="s">
        <v>595</v>
      </c>
      <c r="E1159" s="3" t="s">
        <v>580</v>
      </c>
      <c r="F1159" s="3" t="s">
        <v>45</v>
      </c>
      <c r="G1159">
        <v>0</v>
      </c>
    </row>
    <row r="1160" spans="1:7" ht="16">
      <c r="A1160" s="4">
        <v>9260752</v>
      </c>
      <c r="B1160" s="1" t="s">
        <v>955</v>
      </c>
      <c r="C1160" s="4">
        <v>1997</v>
      </c>
      <c r="D1160" s="5" t="s">
        <v>956</v>
      </c>
      <c r="E1160" s="3" t="s">
        <v>580</v>
      </c>
      <c r="F1160" s="3" t="s">
        <v>29</v>
      </c>
      <c r="G1160">
        <v>0</v>
      </c>
    </row>
    <row r="1161" spans="1:7" ht="16">
      <c r="A1161" s="4">
        <v>9260689</v>
      </c>
      <c r="B1161" s="1" t="s">
        <v>1772</v>
      </c>
      <c r="C1161" s="4">
        <v>1997</v>
      </c>
      <c r="D1161" s="5" t="s">
        <v>1773</v>
      </c>
      <c r="E1161" s="3" t="s">
        <v>580</v>
      </c>
      <c r="F1161" s="3" t="s">
        <v>33</v>
      </c>
      <c r="G1161">
        <v>0</v>
      </c>
    </row>
    <row r="1162" spans="1:7" ht="16">
      <c r="A1162" s="4">
        <v>9242553</v>
      </c>
      <c r="B1162" s="1" t="s">
        <v>779</v>
      </c>
      <c r="C1162" s="4">
        <v>1997</v>
      </c>
      <c r="D1162" s="5" t="s">
        <v>780</v>
      </c>
      <c r="E1162" s="3" t="s">
        <v>580</v>
      </c>
      <c r="F1162" s="3" t="s">
        <v>29</v>
      </c>
      <c r="G1162">
        <v>0</v>
      </c>
    </row>
    <row r="1163" spans="1:7" ht="16">
      <c r="A1163" s="4">
        <v>9223462</v>
      </c>
      <c r="B1163" s="1" t="s">
        <v>2037</v>
      </c>
      <c r="C1163" s="4">
        <v>1997</v>
      </c>
      <c r="D1163" s="5" t="s">
        <v>2038</v>
      </c>
      <c r="E1163" s="3" t="s">
        <v>580</v>
      </c>
      <c r="F1163" s="3" t="s">
        <v>33</v>
      </c>
      <c r="G1163">
        <v>0</v>
      </c>
    </row>
    <row r="1164" spans="1:7" ht="16">
      <c r="A1164" s="4">
        <v>9207138</v>
      </c>
      <c r="B1164" s="1" t="s">
        <v>1999</v>
      </c>
      <c r="C1164" s="4">
        <v>1997</v>
      </c>
      <c r="D1164" s="5" t="s">
        <v>2000</v>
      </c>
      <c r="E1164" s="3" t="s">
        <v>580</v>
      </c>
      <c r="F1164" s="3" t="s">
        <v>33</v>
      </c>
      <c r="G1164">
        <v>0</v>
      </c>
    </row>
    <row r="1165" spans="1:7" ht="16">
      <c r="A1165" s="4">
        <v>9266465</v>
      </c>
      <c r="B1165" s="1" t="s">
        <v>1989</v>
      </c>
      <c r="C1165" s="4">
        <v>1997</v>
      </c>
      <c r="D1165" s="5" t="s">
        <v>1990</v>
      </c>
      <c r="E1165" s="3" t="s">
        <v>580</v>
      </c>
      <c r="F1165" s="3" t="s">
        <v>33</v>
      </c>
      <c r="G1165">
        <v>0</v>
      </c>
    </row>
    <row r="1166" spans="1:7" ht="16">
      <c r="A1166" s="4">
        <v>9258937</v>
      </c>
      <c r="B1166" s="1" t="s">
        <v>1905</v>
      </c>
      <c r="C1166" s="4">
        <v>1997</v>
      </c>
      <c r="D1166" s="5" t="s">
        <v>1906</v>
      </c>
      <c r="E1166" s="3" t="s">
        <v>580</v>
      </c>
      <c r="F1166" s="3" t="s">
        <v>33</v>
      </c>
      <c r="G1166">
        <v>0</v>
      </c>
    </row>
    <row r="1167" spans="1:7" ht="16">
      <c r="A1167" s="4">
        <v>9236842</v>
      </c>
      <c r="B1167" s="1" t="s">
        <v>1049</v>
      </c>
      <c r="C1167" s="4">
        <v>1997</v>
      </c>
      <c r="D1167" s="5" t="s">
        <v>1050</v>
      </c>
      <c r="E1167" s="3" t="s">
        <v>580</v>
      </c>
      <c r="F1167" s="3" t="s">
        <v>29</v>
      </c>
      <c r="G1167">
        <v>0</v>
      </c>
    </row>
    <row r="1168" spans="1:7" ht="16">
      <c r="A1168" s="4">
        <v>9244628</v>
      </c>
      <c r="B1168" s="1" t="s">
        <v>2436</v>
      </c>
      <c r="C1168" s="4">
        <v>1997</v>
      </c>
      <c r="D1168" s="5" t="s">
        <v>2437</v>
      </c>
      <c r="E1168" s="3" t="s">
        <v>580</v>
      </c>
      <c r="F1168" s="3" t="s">
        <v>38</v>
      </c>
      <c r="G1168">
        <v>0</v>
      </c>
    </row>
    <row r="1169" spans="1:7" ht="16">
      <c r="A1169" s="4">
        <v>9177444</v>
      </c>
      <c r="B1169" s="1" t="s">
        <v>1027</v>
      </c>
      <c r="C1169" s="4">
        <v>1997</v>
      </c>
      <c r="D1169" s="5" t="s">
        <v>1028</v>
      </c>
      <c r="E1169" s="3" t="s">
        <v>580</v>
      </c>
      <c r="F1169" s="3" t="s">
        <v>29</v>
      </c>
      <c r="G1169">
        <v>0</v>
      </c>
    </row>
    <row r="1170" spans="1:7" ht="16">
      <c r="A1170" s="4">
        <v>9174632</v>
      </c>
      <c r="B1170" s="1" t="s">
        <v>2194</v>
      </c>
      <c r="C1170" s="4">
        <v>1997</v>
      </c>
      <c r="D1170" s="5" t="s">
        <v>2195</v>
      </c>
      <c r="E1170" s="3" t="s">
        <v>580</v>
      </c>
      <c r="F1170" s="3" t="s">
        <v>33</v>
      </c>
      <c r="G1170">
        <v>0</v>
      </c>
    </row>
    <row r="1171" spans="1:7" ht="16">
      <c r="A1171" s="4">
        <v>9060695</v>
      </c>
      <c r="B1171" s="1" t="s">
        <v>1923</v>
      </c>
      <c r="C1171" s="4">
        <v>1997</v>
      </c>
      <c r="D1171" s="5" t="s">
        <v>1924</v>
      </c>
      <c r="E1171" s="3" t="s">
        <v>580</v>
      </c>
      <c r="F1171" s="3" t="s">
        <v>33</v>
      </c>
      <c r="G1171">
        <v>0</v>
      </c>
    </row>
    <row r="1172" spans="1:7" ht="16">
      <c r="A1172" s="4">
        <v>9153879</v>
      </c>
      <c r="B1172" s="1" t="s">
        <v>2438</v>
      </c>
      <c r="C1172" s="4">
        <v>1997</v>
      </c>
      <c r="D1172" s="5" t="s">
        <v>2439</v>
      </c>
      <c r="E1172" s="3" t="s">
        <v>580</v>
      </c>
      <c r="F1172" s="3" t="s">
        <v>38</v>
      </c>
      <c r="G1172">
        <v>0</v>
      </c>
    </row>
    <row r="1173" spans="1:7" ht="16">
      <c r="A1173" s="4">
        <v>15619896</v>
      </c>
      <c r="B1173" s="1" t="s">
        <v>591</v>
      </c>
      <c r="C1173" s="4">
        <v>1997</v>
      </c>
      <c r="D1173" s="5" t="s">
        <v>592</v>
      </c>
      <c r="E1173" s="3" t="s">
        <v>580</v>
      </c>
      <c r="F1173" s="3" t="s">
        <v>45</v>
      </c>
      <c r="G1173">
        <v>0</v>
      </c>
    </row>
    <row r="1174" spans="1:7" ht="16">
      <c r="A1174" s="4">
        <v>9030868</v>
      </c>
      <c r="B1174" s="1" t="s">
        <v>2214</v>
      </c>
      <c r="C1174" s="4">
        <v>1997</v>
      </c>
      <c r="D1174" s="5" t="s">
        <v>2215</v>
      </c>
      <c r="E1174" s="3" t="s">
        <v>580</v>
      </c>
      <c r="F1174" s="3" t="s">
        <v>33</v>
      </c>
      <c r="G1174">
        <v>0</v>
      </c>
    </row>
    <row r="1175" spans="1:7" ht="16">
      <c r="A1175" s="4">
        <v>9037664</v>
      </c>
      <c r="B1175" s="1" t="s">
        <v>2114</v>
      </c>
      <c r="C1175" s="4">
        <v>1997</v>
      </c>
      <c r="D1175" s="5" t="s">
        <v>2115</v>
      </c>
      <c r="E1175" s="3" t="s">
        <v>580</v>
      </c>
      <c r="F1175" s="3" t="s">
        <v>33</v>
      </c>
      <c r="G1175">
        <v>0</v>
      </c>
    </row>
    <row r="1176" spans="1:7" ht="16">
      <c r="A1176" s="4">
        <v>8962253</v>
      </c>
      <c r="B1176" s="1" t="s">
        <v>1131</v>
      </c>
      <c r="C1176" s="4">
        <v>1996</v>
      </c>
      <c r="D1176" s="5" t="s">
        <v>1132</v>
      </c>
      <c r="E1176" s="3" t="s">
        <v>580</v>
      </c>
      <c r="F1176" s="3" t="s">
        <v>29</v>
      </c>
      <c r="G1176">
        <v>0</v>
      </c>
    </row>
    <row r="1177" spans="1:7" ht="16">
      <c r="A1177" s="4">
        <v>8938162</v>
      </c>
      <c r="B1177" s="1" t="s">
        <v>1421</v>
      </c>
      <c r="C1177" s="4">
        <v>1996</v>
      </c>
      <c r="D1177" s="5" t="s">
        <v>1422</v>
      </c>
      <c r="E1177" s="3" t="s">
        <v>580</v>
      </c>
      <c r="F1177" s="3" t="s">
        <v>42</v>
      </c>
      <c r="G1177">
        <v>0</v>
      </c>
    </row>
    <row r="1178" spans="1:7" ht="16">
      <c r="A1178" s="4">
        <v>8896242</v>
      </c>
      <c r="B1178" s="1" t="s">
        <v>1899</v>
      </c>
      <c r="C1178" s="4">
        <v>1996</v>
      </c>
      <c r="D1178" s="5" t="s">
        <v>1900</v>
      </c>
      <c r="E1178" s="3" t="s">
        <v>580</v>
      </c>
      <c r="F1178" s="3" t="s">
        <v>33</v>
      </c>
      <c r="G1178">
        <v>0</v>
      </c>
    </row>
    <row r="1179" spans="1:7" ht="16">
      <c r="A1179" s="4">
        <v>8943744</v>
      </c>
      <c r="B1179" s="1" t="s">
        <v>1883</v>
      </c>
      <c r="C1179" s="4">
        <v>1996</v>
      </c>
      <c r="D1179" s="5" t="s">
        <v>1884</v>
      </c>
      <c r="E1179" s="3" t="s">
        <v>580</v>
      </c>
      <c r="F1179" s="3" t="s">
        <v>33</v>
      </c>
      <c r="G1179">
        <v>0</v>
      </c>
    </row>
    <row r="1180" spans="1:7" ht="16">
      <c r="A1180" s="4">
        <v>8805707</v>
      </c>
      <c r="B1180" s="1" t="s">
        <v>1740</v>
      </c>
      <c r="C1180" s="4">
        <v>1996</v>
      </c>
      <c r="D1180" s="5" t="s">
        <v>1741</v>
      </c>
      <c r="E1180" s="3" t="s">
        <v>580</v>
      </c>
      <c r="F1180" s="3" t="s">
        <v>69</v>
      </c>
      <c r="G1180">
        <v>0</v>
      </c>
    </row>
    <row r="1181" spans="1:7" ht="16">
      <c r="A1181" s="4">
        <v>8830838</v>
      </c>
      <c r="B1181" s="1" t="s">
        <v>1465</v>
      </c>
      <c r="C1181" s="4">
        <v>1996</v>
      </c>
      <c r="D1181" s="5" t="s">
        <v>1466</v>
      </c>
      <c r="E1181" s="3" t="s">
        <v>580</v>
      </c>
      <c r="F1181" s="3" t="s">
        <v>42</v>
      </c>
      <c r="G1181">
        <v>0</v>
      </c>
    </row>
    <row r="1182" spans="1:7" ht="16">
      <c r="A1182" s="4">
        <v>8790409</v>
      </c>
      <c r="B1182" s="1" t="s">
        <v>1844</v>
      </c>
      <c r="C1182" s="4">
        <v>1996</v>
      </c>
      <c r="D1182" s="5" t="s">
        <v>1845</v>
      </c>
      <c r="E1182" s="3" t="s">
        <v>580</v>
      </c>
      <c r="F1182" s="3" t="s">
        <v>33</v>
      </c>
      <c r="G1182">
        <v>0</v>
      </c>
    </row>
    <row r="1183" spans="1:7" ht="16">
      <c r="A1183" s="4">
        <v>8841033</v>
      </c>
      <c r="B1183" s="1" t="s">
        <v>2100</v>
      </c>
      <c r="C1183" s="4">
        <v>1996</v>
      </c>
      <c r="D1183" s="5" t="s">
        <v>2101</v>
      </c>
      <c r="E1183" s="3" t="s">
        <v>580</v>
      </c>
      <c r="F1183" s="3" t="s">
        <v>33</v>
      </c>
      <c r="G1183">
        <v>0</v>
      </c>
    </row>
    <row r="1184" spans="1:7" ht="16">
      <c r="A1184" s="4">
        <v>8710068</v>
      </c>
      <c r="B1184" s="1" t="s">
        <v>929</v>
      </c>
      <c r="C1184" s="4">
        <v>1996</v>
      </c>
      <c r="D1184" s="5" t="s">
        <v>930</v>
      </c>
      <c r="E1184" s="3" t="s">
        <v>580</v>
      </c>
      <c r="F1184" s="3" t="s">
        <v>29</v>
      </c>
      <c r="G1184">
        <v>0</v>
      </c>
    </row>
    <row r="1185" spans="1:7" ht="16">
      <c r="A1185" s="4">
        <v>8633821</v>
      </c>
      <c r="B1185" s="1" t="s">
        <v>2331</v>
      </c>
      <c r="C1185" s="4">
        <v>1996</v>
      </c>
      <c r="D1185" s="5" t="s">
        <v>2332</v>
      </c>
      <c r="E1185" s="3" t="s">
        <v>580</v>
      </c>
      <c r="F1185" s="3" t="s">
        <v>38</v>
      </c>
      <c r="G1185">
        <v>0</v>
      </c>
    </row>
    <row r="1186" spans="1:7" ht="16">
      <c r="A1186" s="4">
        <v>8639844</v>
      </c>
      <c r="B1186" s="1" t="s">
        <v>2049</v>
      </c>
      <c r="C1186" s="4">
        <v>1996</v>
      </c>
      <c r="D1186" s="5" t="s">
        <v>2050</v>
      </c>
      <c r="E1186" s="3" t="s">
        <v>580</v>
      </c>
      <c r="F1186" s="3" t="s">
        <v>33</v>
      </c>
      <c r="G1186">
        <v>0</v>
      </c>
    </row>
    <row r="1187" spans="1:7" ht="16">
      <c r="A1187" s="4">
        <v>8707578</v>
      </c>
      <c r="B1187" s="1" t="s">
        <v>2488</v>
      </c>
      <c r="C1187" s="4">
        <v>1996</v>
      </c>
      <c r="D1187" s="5" t="s">
        <v>2489</v>
      </c>
      <c r="E1187" s="3" t="s">
        <v>580</v>
      </c>
      <c r="F1187" s="3" t="s">
        <v>38</v>
      </c>
      <c r="G1187">
        <v>0</v>
      </c>
    </row>
    <row r="1188" spans="1:7" ht="16">
      <c r="A1188" s="4">
        <v>8783159</v>
      </c>
      <c r="B1188" s="1" t="s">
        <v>1936</v>
      </c>
      <c r="C1188" s="4">
        <v>1996</v>
      </c>
      <c r="D1188" s="5" t="s">
        <v>1937</v>
      </c>
      <c r="E1188" s="3" t="s">
        <v>580</v>
      </c>
      <c r="F1188" s="3" t="s">
        <v>33</v>
      </c>
      <c r="G1188">
        <v>0</v>
      </c>
    </row>
    <row r="1189" spans="1:7" ht="16">
      <c r="A1189" s="4">
        <v>9120486</v>
      </c>
      <c r="B1189" s="1" t="s">
        <v>1011</v>
      </c>
      <c r="C1189" s="4">
        <v>1996</v>
      </c>
      <c r="D1189" s="5" t="s">
        <v>1012</v>
      </c>
      <c r="E1189" s="3" t="s">
        <v>580</v>
      </c>
      <c r="F1189" s="3" t="s">
        <v>29</v>
      </c>
      <c r="G1189">
        <v>0</v>
      </c>
    </row>
    <row r="1190" spans="1:7" ht="16">
      <c r="A1190" s="4">
        <v>8738179</v>
      </c>
      <c r="B1190" s="1" t="s">
        <v>1919</v>
      </c>
      <c r="C1190" s="4">
        <v>1996</v>
      </c>
      <c r="D1190" s="5" t="s">
        <v>1920</v>
      </c>
      <c r="E1190" s="3" t="s">
        <v>580</v>
      </c>
      <c r="F1190" s="3" t="s">
        <v>33</v>
      </c>
      <c r="G1190">
        <v>0</v>
      </c>
    </row>
    <row r="1191" spans="1:7" ht="16">
      <c r="A1191" s="4">
        <v>8699160</v>
      </c>
      <c r="B1191" s="1" t="s">
        <v>1293</v>
      </c>
      <c r="C1191" s="4">
        <v>1996</v>
      </c>
      <c r="D1191" s="5" t="s">
        <v>1294</v>
      </c>
      <c r="E1191" s="3" t="s">
        <v>580</v>
      </c>
      <c r="F1191" s="3" t="s">
        <v>42</v>
      </c>
      <c r="G1191">
        <v>0</v>
      </c>
    </row>
    <row r="1192" spans="1:7" ht="16">
      <c r="A1192" s="4">
        <v>8601223</v>
      </c>
      <c r="B1192" s="1" t="s">
        <v>897</v>
      </c>
      <c r="C1192" s="4">
        <v>1996</v>
      </c>
      <c r="D1192" s="5" t="s">
        <v>1950</v>
      </c>
      <c r="E1192" s="3" t="s">
        <v>580</v>
      </c>
      <c r="F1192" s="3" t="s">
        <v>33</v>
      </c>
      <c r="G1192">
        <v>0</v>
      </c>
    </row>
    <row r="1193" spans="1:7" ht="16">
      <c r="A1193" s="4">
        <v>8904436</v>
      </c>
      <c r="B1193" s="1" t="s">
        <v>1903</v>
      </c>
      <c r="C1193" s="4">
        <v>1996</v>
      </c>
      <c r="D1193" s="5" t="s">
        <v>1904</v>
      </c>
      <c r="E1193" s="3" t="s">
        <v>580</v>
      </c>
      <c r="F1193" s="3" t="s">
        <v>33</v>
      </c>
      <c r="G1193">
        <v>0</v>
      </c>
    </row>
    <row r="1194" spans="1:7" ht="16">
      <c r="A1194" s="4">
        <v>8721028</v>
      </c>
      <c r="B1194" s="1" t="s">
        <v>943</v>
      </c>
      <c r="C1194" s="4">
        <v>1996</v>
      </c>
      <c r="D1194" s="5" t="s">
        <v>944</v>
      </c>
      <c r="E1194" s="3" t="s">
        <v>580</v>
      </c>
      <c r="F1194" s="3" t="s">
        <v>29</v>
      </c>
      <c r="G1194">
        <v>0</v>
      </c>
    </row>
    <row r="1195" spans="1:7" ht="16">
      <c r="A1195" s="4">
        <v>8601789</v>
      </c>
      <c r="B1195" s="1" t="s">
        <v>1944</v>
      </c>
      <c r="C1195" s="4">
        <v>1996</v>
      </c>
      <c r="D1195" s="5" t="s">
        <v>1945</v>
      </c>
      <c r="E1195" s="3" t="s">
        <v>580</v>
      </c>
      <c r="F1195" s="3" t="s">
        <v>33</v>
      </c>
      <c r="G1195">
        <v>0</v>
      </c>
    </row>
    <row r="1196" spans="1:7" ht="16">
      <c r="A1196" s="4">
        <v>8598307</v>
      </c>
      <c r="B1196" s="1" t="s">
        <v>2112</v>
      </c>
      <c r="C1196" s="4">
        <v>1996</v>
      </c>
      <c r="D1196" s="5" t="s">
        <v>2113</v>
      </c>
      <c r="E1196" s="3" t="s">
        <v>580</v>
      </c>
      <c r="F1196" s="3" t="s">
        <v>33</v>
      </c>
      <c r="G1196">
        <v>0</v>
      </c>
    </row>
    <row r="1197" spans="1:7" ht="16">
      <c r="A1197" s="4">
        <v>8610400</v>
      </c>
      <c r="B1197" s="1" t="s">
        <v>1393</v>
      </c>
      <c r="C1197" s="4">
        <v>1996</v>
      </c>
      <c r="D1197" s="5" t="s">
        <v>1394</v>
      </c>
      <c r="E1197" s="3" t="s">
        <v>580</v>
      </c>
      <c r="F1197" s="3" t="s">
        <v>42</v>
      </c>
      <c r="G1197">
        <v>0</v>
      </c>
    </row>
    <row r="1198" spans="1:7" ht="16">
      <c r="A1198" s="4">
        <v>9033979</v>
      </c>
      <c r="B1198" s="1" t="s">
        <v>2383</v>
      </c>
      <c r="C1198" s="4">
        <v>1996</v>
      </c>
      <c r="D1198" s="5" t="s">
        <v>2384</v>
      </c>
      <c r="E1198" s="3" t="s">
        <v>580</v>
      </c>
      <c r="F1198" s="3" t="s">
        <v>38</v>
      </c>
      <c r="G1198">
        <v>0</v>
      </c>
    </row>
    <row r="1199" spans="1:7" ht="16">
      <c r="A1199" s="4">
        <v>8953678</v>
      </c>
      <c r="B1199" s="1" t="s">
        <v>2210</v>
      </c>
      <c r="C1199" s="4">
        <v>1996</v>
      </c>
      <c r="D1199" s="5" t="s">
        <v>2211</v>
      </c>
      <c r="E1199" s="3" t="s">
        <v>580</v>
      </c>
      <c r="F1199" s="3" t="s">
        <v>33</v>
      </c>
      <c r="G1199">
        <v>0</v>
      </c>
    </row>
    <row r="1200" spans="1:7" ht="16">
      <c r="A1200" s="4">
        <v>8824992</v>
      </c>
      <c r="B1200" s="1" t="s">
        <v>897</v>
      </c>
      <c r="C1200" s="4">
        <v>1996</v>
      </c>
      <c r="D1200" s="5" t="s">
        <v>898</v>
      </c>
      <c r="E1200" s="3" t="s">
        <v>580</v>
      </c>
      <c r="F1200" s="3" t="s">
        <v>29</v>
      </c>
      <c r="G1200">
        <v>0</v>
      </c>
    </row>
    <row r="1201" spans="1:7" ht="16">
      <c r="A1201" s="4">
        <v>8824991</v>
      </c>
      <c r="B1201" s="1" t="s">
        <v>1279</v>
      </c>
      <c r="C1201" s="4">
        <v>1996</v>
      </c>
      <c r="D1201" s="5" t="s">
        <v>1280</v>
      </c>
      <c r="E1201" s="3" t="s">
        <v>580</v>
      </c>
      <c r="F1201" s="3" t="s">
        <v>42</v>
      </c>
      <c r="G1201">
        <v>0</v>
      </c>
    </row>
    <row r="1202" spans="1:7" ht="16">
      <c r="A1202" s="4">
        <v>8770508</v>
      </c>
      <c r="B1202" s="1" t="s">
        <v>2070</v>
      </c>
      <c r="C1202" s="4">
        <v>1996</v>
      </c>
      <c r="D1202" s="5" t="s">
        <v>2071</v>
      </c>
      <c r="E1202" s="3" t="s">
        <v>580</v>
      </c>
      <c r="F1202" s="3" t="s">
        <v>33</v>
      </c>
      <c r="G1202">
        <v>0</v>
      </c>
    </row>
    <row r="1203" spans="1:7" ht="16">
      <c r="A1203" s="4">
        <v>8673847</v>
      </c>
      <c r="B1203" s="1" t="s">
        <v>2080</v>
      </c>
      <c r="C1203" s="4">
        <v>1996</v>
      </c>
      <c r="D1203" s="5" t="s">
        <v>2081</v>
      </c>
      <c r="E1203" s="3" t="s">
        <v>580</v>
      </c>
      <c r="F1203" s="3" t="s">
        <v>33</v>
      </c>
      <c r="G1203">
        <v>0</v>
      </c>
    </row>
    <row r="1204" spans="1:7" ht="16">
      <c r="A1204" s="4">
        <v>8525536</v>
      </c>
      <c r="B1204" s="1" t="s">
        <v>793</v>
      </c>
      <c r="C1204" s="4">
        <v>1995</v>
      </c>
      <c r="D1204" s="5" t="s">
        <v>794</v>
      </c>
      <c r="E1204" s="3" t="s">
        <v>580</v>
      </c>
      <c r="F1204" s="3" t="s">
        <v>29</v>
      </c>
      <c r="G1204">
        <v>0</v>
      </c>
    </row>
    <row r="1205" spans="1:7" ht="16">
      <c r="A1205" s="4">
        <v>8703244</v>
      </c>
      <c r="B1205" s="1" t="s">
        <v>1881</v>
      </c>
      <c r="C1205" s="4">
        <v>1995</v>
      </c>
      <c r="D1205" s="5" t="s">
        <v>1882</v>
      </c>
      <c r="E1205" s="3" t="s">
        <v>580</v>
      </c>
      <c r="F1205" s="3" t="s">
        <v>33</v>
      </c>
      <c r="G1205">
        <v>0</v>
      </c>
    </row>
    <row r="1206" spans="1:7" ht="16">
      <c r="A1206" s="4">
        <v>8668853</v>
      </c>
      <c r="B1206" s="1" t="s">
        <v>2333</v>
      </c>
      <c r="C1206" s="4">
        <v>1995</v>
      </c>
      <c r="D1206" s="5" t="s">
        <v>2334</v>
      </c>
      <c r="E1206" s="3" t="s">
        <v>580</v>
      </c>
      <c r="F1206" s="3" t="s">
        <v>38</v>
      </c>
      <c r="G1206">
        <v>0</v>
      </c>
    </row>
    <row r="1207" spans="1:7" ht="16">
      <c r="A1207" s="4">
        <v>8607365</v>
      </c>
      <c r="B1207" s="1" t="s">
        <v>927</v>
      </c>
      <c r="C1207" s="4">
        <v>1995</v>
      </c>
      <c r="D1207" s="5" t="s">
        <v>928</v>
      </c>
      <c r="E1207" s="3" t="s">
        <v>580</v>
      </c>
      <c r="F1207" s="3" t="s">
        <v>29</v>
      </c>
      <c r="G1207">
        <v>0</v>
      </c>
    </row>
    <row r="1208" spans="1:7" ht="16">
      <c r="A1208" s="4">
        <v>7645258</v>
      </c>
      <c r="B1208" s="1" t="s">
        <v>1961</v>
      </c>
      <c r="C1208" s="4">
        <v>1995</v>
      </c>
      <c r="D1208" s="5" t="s">
        <v>1962</v>
      </c>
      <c r="E1208" s="3" t="s">
        <v>580</v>
      </c>
      <c r="F1208" s="3" t="s">
        <v>33</v>
      </c>
      <c r="G1208">
        <v>0</v>
      </c>
    </row>
    <row r="1209" spans="1:7" ht="16">
      <c r="A1209" s="4">
        <v>7606018</v>
      </c>
      <c r="B1209" s="1" t="s">
        <v>225</v>
      </c>
      <c r="C1209" s="4">
        <v>1995</v>
      </c>
      <c r="D1209" s="5" t="s">
        <v>1676</v>
      </c>
      <c r="E1209" s="3" t="s">
        <v>580</v>
      </c>
      <c r="F1209" s="3" t="s">
        <v>49</v>
      </c>
      <c r="G1209">
        <v>0</v>
      </c>
    </row>
    <row r="1210" spans="1:7" ht="16">
      <c r="A1210" s="4">
        <v>7601254</v>
      </c>
      <c r="B1210" s="1" t="s">
        <v>1143</v>
      </c>
      <c r="C1210" s="4">
        <v>1995</v>
      </c>
      <c r="D1210" s="5" t="s">
        <v>1144</v>
      </c>
      <c r="E1210" s="3" t="s">
        <v>580</v>
      </c>
      <c r="F1210" s="3" t="s">
        <v>29</v>
      </c>
      <c r="G1210">
        <v>0</v>
      </c>
    </row>
    <row r="1211" spans="1:7" ht="16">
      <c r="A1211" s="4">
        <v>7736391</v>
      </c>
      <c r="B1211" s="1" t="s">
        <v>1119</v>
      </c>
      <c r="C1211" s="4">
        <v>1995</v>
      </c>
      <c r="D1211" s="5" t="s">
        <v>1120</v>
      </c>
      <c r="E1211" s="3" t="s">
        <v>580</v>
      </c>
      <c r="F1211" s="3" t="s">
        <v>29</v>
      </c>
      <c r="G1211">
        <v>0</v>
      </c>
    </row>
    <row r="1212" spans="1:7" ht="16">
      <c r="A1212" s="4">
        <v>7712236</v>
      </c>
      <c r="B1212" s="1" t="s">
        <v>897</v>
      </c>
      <c r="C1212" s="4">
        <v>1995</v>
      </c>
      <c r="D1212" s="5" t="s">
        <v>2065</v>
      </c>
      <c r="E1212" s="3" t="s">
        <v>580</v>
      </c>
      <c r="F1212" s="3" t="s">
        <v>33</v>
      </c>
      <c r="G1212">
        <v>0</v>
      </c>
    </row>
    <row r="1213" spans="1:7" ht="16">
      <c r="A1213" s="4">
        <v>7745310</v>
      </c>
      <c r="B1213" s="1" t="s">
        <v>879</v>
      </c>
      <c r="C1213" s="4">
        <v>1995</v>
      </c>
      <c r="D1213" s="5" t="s">
        <v>880</v>
      </c>
      <c r="E1213" s="3" t="s">
        <v>580</v>
      </c>
      <c r="F1213" s="3" t="s">
        <v>29</v>
      </c>
      <c r="G1213">
        <v>0</v>
      </c>
    </row>
    <row r="1214" spans="1:7" ht="16">
      <c r="A1214" s="4">
        <v>7742449</v>
      </c>
      <c r="B1214" s="1" t="s">
        <v>841</v>
      </c>
      <c r="C1214" s="4">
        <v>1995</v>
      </c>
      <c r="D1214" s="5" t="s">
        <v>842</v>
      </c>
      <c r="E1214" s="3" t="s">
        <v>580</v>
      </c>
      <c r="F1214" s="3" t="s">
        <v>29</v>
      </c>
      <c r="G1214">
        <v>0</v>
      </c>
    </row>
    <row r="1215" spans="1:7" ht="16">
      <c r="A1215" s="4">
        <v>7738149</v>
      </c>
      <c r="B1215" s="1" t="s">
        <v>1955</v>
      </c>
      <c r="C1215" s="4">
        <v>1995</v>
      </c>
      <c r="D1215" s="5" t="s">
        <v>1956</v>
      </c>
      <c r="E1215" s="3" t="s">
        <v>580</v>
      </c>
      <c r="F1215" s="3" t="s">
        <v>33</v>
      </c>
      <c r="G1215">
        <v>0</v>
      </c>
    </row>
    <row r="1216" spans="1:7" ht="16">
      <c r="A1216" s="4">
        <v>7803807</v>
      </c>
      <c r="B1216" s="1" t="s">
        <v>1697</v>
      </c>
      <c r="C1216" s="4">
        <v>1995</v>
      </c>
      <c r="D1216" s="5" t="s">
        <v>1698</v>
      </c>
      <c r="E1216" s="3" t="s">
        <v>580</v>
      </c>
      <c r="F1216" s="3" t="s">
        <v>49</v>
      </c>
      <c r="G1216">
        <v>0</v>
      </c>
    </row>
    <row r="1217" spans="1:7" ht="16">
      <c r="A1217" s="4">
        <v>7803806</v>
      </c>
      <c r="B1217" s="1" t="s">
        <v>1691</v>
      </c>
      <c r="C1217" s="4">
        <v>1995</v>
      </c>
      <c r="D1217" s="5" t="s">
        <v>1692</v>
      </c>
      <c r="E1217" s="3" t="s">
        <v>580</v>
      </c>
      <c r="F1217" s="3" t="s">
        <v>49</v>
      </c>
      <c r="G1217">
        <v>0</v>
      </c>
    </row>
    <row r="1218" spans="1:7" ht="16">
      <c r="A1218" s="4">
        <v>7647283</v>
      </c>
      <c r="B1218" s="1" t="s">
        <v>2457</v>
      </c>
      <c r="C1218" s="4">
        <v>1995</v>
      </c>
      <c r="D1218" s="5" t="s">
        <v>2458</v>
      </c>
      <c r="E1218" s="3" t="s">
        <v>580</v>
      </c>
      <c r="F1218" s="3" t="s">
        <v>38</v>
      </c>
      <c r="G1218">
        <v>0</v>
      </c>
    </row>
    <row r="1219" spans="1:7" ht="16">
      <c r="A1219" s="4">
        <v>7626174</v>
      </c>
      <c r="B1219" s="1" t="s">
        <v>829</v>
      </c>
      <c r="C1219" s="4">
        <v>1995</v>
      </c>
      <c r="D1219" s="5" t="s">
        <v>830</v>
      </c>
      <c r="E1219" s="3" t="s">
        <v>580</v>
      </c>
      <c r="F1219" s="3" t="s">
        <v>29</v>
      </c>
      <c r="G1219">
        <v>0</v>
      </c>
    </row>
    <row r="1220" spans="1:7" ht="16">
      <c r="A1220" s="4">
        <v>7998088</v>
      </c>
      <c r="B1220" s="1" t="s">
        <v>1029</v>
      </c>
      <c r="C1220" s="4">
        <v>1994</v>
      </c>
      <c r="D1220" s="5" t="s">
        <v>1030</v>
      </c>
      <c r="E1220" s="3" t="s">
        <v>580</v>
      </c>
      <c r="F1220" s="3" t="s">
        <v>29</v>
      </c>
      <c r="G1220">
        <v>0</v>
      </c>
    </row>
    <row r="1221" spans="1:7" ht="16">
      <c r="A1221" s="4">
        <v>7832888</v>
      </c>
      <c r="B1221" s="1" t="s">
        <v>1502</v>
      </c>
      <c r="C1221" s="4">
        <v>1994</v>
      </c>
      <c r="D1221" s="5" t="s">
        <v>1503</v>
      </c>
      <c r="E1221" s="3" t="s">
        <v>580</v>
      </c>
      <c r="F1221" s="3" t="s">
        <v>57</v>
      </c>
      <c r="G1221">
        <v>0</v>
      </c>
    </row>
    <row r="1222" spans="1:7" ht="16">
      <c r="A1222" s="4">
        <v>7931158</v>
      </c>
      <c r="B1222" s="1" t="s">
        <v>1907</v>
      </c>
      <c r="C1222" s="4">
        <v>1994</v>
      </c>
      <c r="D1222" s="5" t="s">
        <v>1908</v>
      </c>
      <c r="E1222" s="3" t="s">
        <v>580</v>
      </c>
      <c r="F1222" s="3" t="s">
        <v>33</v>
      </c>
      <c r="G1222">
        <v>0</v>
      </c>
    </row>
    <row r="1223" spans="1:7" ht="16">
      <c r="A1223" s="4">
        <v>7866272</v>
      </c>
      <c r="B1223" s="1" t="s">
        <v>2469</v>
      </c>
      <c r="C1223" s="4">
        <v>1994</v>
      </c>
      <c r="D1223" s="5" t="s">
        <v>2470</v>
      </c>
      <c r="E1223" s="3" t="s">
        <v>580</v>
      </c>
      <c r="F1223" s="3" t="s">
        <v>38</v>
      </c>
      <c r="G1223">
        <v>0</v>
      </c>
    </row>
    <row r="1224" spans="1:7" ht="16">
      <c r="A1224" s="4">
        <v>7915373</v>
      </c>
      <c r="B1224" s="1" t="s">
        <v>869</v>
      </c>
      <c r="C1224" s="4">
        <v>1994</v>
      </c>
      <c r="D1224" s="5" t="s">
        <v>870</v>
      </c>
      <c r="E1224" s="3" t="s">
        <v>580</v>
      </c>
      <c r="F1224" s="3" t="s">
        <v>29</v>
      </c>
      <c r="G1224">
        <v>0</v>
      </c>
    </row>
    <row r="1225" spans="1:7" ht="16">
      <c r="A1225" s="4">
        <v>7831214</v>
      </c>
      <c r="B1225" s="1" t="s">
        <v>589</v>
      </c>
      <c r="C1225" s="4">
        <v>1994</v>
      </c>
      <c r="D1225" s="5" t="s">
        <v>590</v>
      </c>
      <c r="E1225" s="3" t="s">
        <v>580</v>
      </c>
      <c r="F1225" s="3" t="s">
        <v>45</v>
      </c>
      <c r="G1225">
        <v>0</v>
      </c>
    </row>
    <row r="1226" spans="1:7" ht="16">
      <c r="A1226" s="4">
        <v>8085554</v>
      </c>
      <c r="B1226" s="1" t="s">
        <v>1173</v>
      </c>
      <c r="C1226" s="4">
        <v>1994</v>
      </c>
      <c r="D1226" s="5" t="s">
        <v>1174</v>
      </c>
      <c r="E1226" s="3" t="s">
        <v>580</v>
      </c>
      <c r="F1226" s="3" t="s">
        <v>29</v>
      </c>
      <c r="G1226">
        <v>0</v>
      </c>
    </row>
    <row r="1227" spans="1:7" ht="16">
      <c r="A1227" s="4">
        <v>7955311</v>
      </c>
      <c r="B1227" s="1" t="s">
        <v>2557</v>
      </c>
      <c r="C1227" s="4">
        <v>1994</v>
      </c>
      <c r="D1227" s="5" t="s">
        <v>2558</v>
      </c>
      <c r="E1227" s="3" t="s">
        <v>580</v>
      </c>
      <c r="F1227" s="3" t="s">
        <v>38</v>
      </c>
      <c r="G1227">
        <v>0</v>
      </c>
    </row>
    <row r="1228" spans="1:7" ht="16">
      <c r="A1228" s="4">
        <v>15566776</v>
      </c>
      <c r="B1228" s="1" t="s">
        <v>1137</v>
      </c>
      <c r="C1228" s="4">
        <v>1994</v>
      </c>
      <c r="D1228" s="5" t="s">
        <v>1138</v>
      </c>
      <c r="E1228" s="3" t="s">
        <v>580</v>
      </c>
      <c r="F1228" s="3" t="s">
        <v>29</v>
      </c>
      <c r="G1228">
        <v>0</v>
      </c>
    </row>
    <row r="1229" spans="1:7" ht="16">
      <c r="A1229" s="4">
        <v>7893989</v>
      </c>
      <c r="B1229" s="1" t="s">
        <v>1127</v>
      </c>
      <c r="C1229" s="4">
        <v>1994</v>
      </c>
      <c r="D1229" s="5" t="s">
        <v>1128</v>
      </c>
      <c r="E1229" s="3" t="s">
        <v>580</v>
      </c>
      <c r="F1229" s="3" t="s">
        <v>29</v>
      </c>
      <c r="G1229">
        <v>0</v>
      </c>
    </row>
    <row r="1230" spans="1:7" ht="16">
      <c r="A1230" s="4">
        <v>7893980</v>
      </c>
      <c r="B1230" s="1" t="s">
        <v>1925</v>
      </c>
      <c r="C1230" s="4">
        <v>1994</v>
      </c>
      <c r="D1230" s="5" t="s">
        <v>1926</v>
      </c>
      <c r="E1230" s="3" t="s">
        <v>580</v>
      </c>
      <c r="F1230" s="3" t="s">
        <v>33</v>
      </c>
      <c r="G1230">
        <v>0</v>
      </c>
    </row>
    <row r="1231" spans="1:7" ht="16">
      <c r="A1231" s="4">
        <v>7893974</v>
      </c>
      <c r="B1231" s="1" t="s">
        <v>2370</v>
      </c>
      <c r="C1231" s="4">
        <v>1994</v>
      </c>
      <c r="D1231" s="5" t="s">
        <v>2371</v>
      </c>
      <c r="E1231" s="3" t="s">
        <v>580</v>
      </c>
      <c r="F1231" s="3" t="s">
        <v>38</v>
      </c>
      <c r="G1231">
        <v>0</v>
      </c>
    </row>
    <row r="1232" spans="1:7" ht="16">
      <c r="A1232" s="4">
        <v>7911957</v>
      </c>
      <c r="B1232" s="1" t="s">
        <v>897</v>
      </c>
      <c r="C1232" s="4">
        <v>1994</v>
      </c>
      <c r="D1232" s="5" t="s">
        <v>1519</v>
      </c>
      <c r="E1232" s="3" t="s">
        <v>580</v>
      </c>
      <c r="F1232" s="3" t="s">
        <v>57</v>
      </c>
      <c r="G1232">
        <v>0</v>
      </c>
    </row>
    <row r="1233" spans="1:7" ht="16">
      <c r="A1233" s="4">
        <v>7917866</v>
      </c>
      <c r="B1233" s="1" t="s">
        <v>1093</v>
      </c>
      <c r="C1233" s="4">
        <v>1994</v>
      </c>
      <c r="D1233" s="5" t="s">
        <v>1094</v>
      </c>
      <c r="E1233" s="3" t="s">
        <v>580</v>
      </c>
      <c r="F1233" s="3" t="s">
        <v>29</v>
      </c>
      <c r="G1233">
        <v>0</v>
      </c>
    </row>
    <row r="1234" spans="1:7" ht="16">
      <c r="A1234" s="4">
        <v>8152447</v>
      </c>
      <c r="B1234" s="1" t="s">
        <v>889</v>
      </c>
      <c r="C1234" s="4">
        <v>1994</v>
      </c>
      <c r="D1234" s="5" t="s">
        <v>890</v>
      </c>
      <c r="E1234" s="3" t="s">
        <v>580</v>
      </c>
      <c r="F1234" s="3" t="s">
        <v>29</v>
      </c>
      <c r="G1234">
        <v>0</v>
      </c>
    </row>
    <row r="1235" spans="1:7" ht="16">
      <c r="A1235" s="4">
        <v>8151768</v>
      </c>
      <c r="B1235" s="1" t="s">
        <v>2013</v>
      </c>
      <c r="C1235" s="4">
        <v>1994</v>
      </c>
      <c r="D1235" s="5" t="s">
        <v>2014</v>
      </c>
      <c r="E1235" s="3" t="s">
        <v>580</v>
      </c>
      <c r="F1235" s="3" t="s">
        <v>33</v>
      </c>
      <c r="G1235">
        <v>0</v>
      </c>
    </row>
    <row r="1236" spans="1:7" ht="16">
      <c r="A1236" s="4">
        <v>8083655</v>
      </c>
      <c r="B1236" s="1" t="s">
        <v>2055</v>
      </c>
      <c r="C1236" s="4">
        <v>1994</v>
      </c>
      <c r="D1236" s="5" t="s">
        <v>2056</v>
      </c>
      <c r="E1236" s="3" t="s">
        <v>580</v>
      </c>
      <c r="F1236" s="3" t="s">
        <v>33</v>
      </c>
      <c r="G1236">
        <v>0</v>
      </c>
    </row>
    <row r="1237" spans="1:7" ht="16">
      <c r="A1237" s="4">
        <v>7907709</v>
      </c>
      <c r="B1237" s="1" t="s">
        <v>1695</v>
      </c>
      <c r="C1237" s="4">
        <v>1994</v>
      </c>
      <c r="D1237" s="5" t="s">
        <v>1696</v>
      </c>
      <c r="E1237" s="3" t="s">
        <v>580</v>
      </c>
      <c r="F1237" s="3" t="s">
        <v>49</v>
      </c>
      <c r="G1237">
        <v>0</v>
      </c>
    </row>
    <row r="1238" spans="1:7" ht="16">
      <c r="A1238" s="4">
        <v>8198870</v>
      </c>
      <c r="B1238" s="1" t="s">
        <v>1913</v>
      </c>
      <c r="C1238" s="4">
        <v>1994</v>
      </c>
      <c r="D1238" s="5" t="s">
        <v>1914</v>
      </c>
      <c r="E1238" s="3" t="s">
        <v>580</v>
      </c>
      <c r="F1238" s="3" t="s">
        <v>33</v>
      </c>
      <c r="G1238">
        <v>0</v>
      </c>
    </row>
    <row r="1239" spans="1:7" ht="16">
      <c r="A1239" s="4">
        <v>8002785</v>
      </c>
      <c r="B1239" s="1" t="s">
        <v>1265</v>
      </c>
      <c r="C1239" s="4">
        <v>1994</v>
      </c>
      <c r="D1239" s="5" t="s">
        <v>1266</v>
      </c>
      <c r="E1239" s="3" t="s">
        <v>580</v>
      </c>
      <c r="F1239" s="3" t="s">
        <v>42</v>
      </c>
      <c r="G1239">
        <v>0</v>
      </c>
    </row>
    <row r="1240" spans="1:7" ht="16">
      <c r="A1240" s="4">
        <v>7510619</v>
      </c>
      <c r="B1240" s="1" t="s">
        <v>2547</v>
      </c>
      <c r="C1240" s="4">
        <v>1994</v>
      </c>
      <c r="D1240" s="5" t="s">
        <v>2548</v>
      </c>
      <c r="E1240" s="3" t="s">
        <v>580</v>
      </c>
      <c r="F1240" s="3" t="s">
        <v>38</v>
      </c>
      <c r="G1240">
        <v>0</v>
      </c>
    </row>
    <row r="1241" spans="1:7" ht="16">
      <c r="A1241" s="4">
        <v>8232500</v>
      </c>
      <c r="B1241" s="1" t="s">
        <v>877</v>
      </c>
      <c r="C1241" s="4">
        <v>1993</v>
      </c>
      <c r="D1241" s="5" t="s">
        <v>878</v>
      </c>
      <c r="E1241" s="3" t="s">
        <v>580</v>
      </c>
      <c r="F1241" s="3" t="s">
        <v>29</v>
      </c>
      <c r="G1241">
        <v>0</v>
      </c>
    </row>
    <row r="1242" spans="1:7" ht="16">
      <c r="A1242" s="4">
        <v>8232499</v>
      </c>
      <c r="B1242" s="1" t="s">
        <v>1683</v>
      </c>
      <c r="C1242" s="4">
        <v>1993</v>
      </c>
      <c r="D1242" s="5" t="s">
        <v>1684</v>
      </c>
      <c r="E1242" s="3" t="s">
        <v>580</v>
      </c>
      <c r="F1242" s="3" t="s">
        <v>49</v>
      </c>
      <c r="G1242">
        <v>0</v>
      </c>
    </row>
    <row r="1243" spans="1:7" ht="16">
      <c r="A1243" s="4">
        <v>8106867</v>
      </c>
      <c r="B1243" s="1" t="s">
        <v>1732</v>
      </c>
      <c r="C1243" s="4">
        <v>1993</v>
      </c>
      <c r="D1243" s="5" t="s">
        <v>1733</v>
      </c>
      <c r="E1243" s="3" t="s">
        <v>580</v>
      </c>
      <c r="F1243" s="3" t="s">
        <v>69</v>
      </c>
      <c r="G1243">
        <v>0</v>
      </c>
    </row>
    <row r="1244" spans="1:7" ht="16">
      <c r="A1244" s="4">
        <v>8397264</v>
      </c>
      <c r="B1244" s="1" t="s">
        <v>1693</v>
      </c>
      <c r="C1244" s="4">
        <v>1993</v>
      </c>
      <c r="D1244" s="5" t="s">
        <v>1694</v>
      </c>
      <c r="E1244" s="3" t="s">
        <v>580</v>
      </c>
      <c r="F1244" s="3" t="s">
        <v>49</v>
      </c>
      <c r="G1244">
        <v>0</v>
      </c>
    </row>
    <row r="1245" spans="1:7" ht="16">
      <c r="A1245" s="4">
        <v>8283170</v>
      </c>
      <c r="B1245" s="1" t="s">
        <v>1869</v>
      </c>
      <c r="C1245" s="4">
        <v>1993</v>
      </c>
      <c r="D1245" s="5" t="s">
        <v>1870</v>
      </c>
      <c r="E1245" s="3" t="s">
        <v>580</v>
      </c>
      <c r="F1245" s="3" t="s">
        <v>33</v>
      </c>
      <c r="G1245">
        <v>0</v>
      </c>
    </row>
    <row r="1246" spans="1:7" ht="16">
      <c r="A1246" s="4">
        <v>8397282</v>
      </c>
      <c r="B1246" s="1" t="s">
        <v>1879</v>
      </c>
      <c r="C1246" s="4">
        <v>1993</v>
      </c>
      <c r="D1246" s="5" t="s">
        <v>1880</v>
      </c>
      <c r="E1246" s="3" t="s">
        <v>580</v>
      </c>
      <c r="F1246" s="3" t="s">
        <v>33</v>
      </c>
      <c r="G1246">
        <v>0</v>
      </c>
    </row>
    <row r="1247" spans="1:7" ht="16">
      <c r="A1247" s="4">
        <v>8016478</v>
      </c>
      <c r="B1247" s="1" t="s">
        <v>2576</v>
      </c>
      <c r="C1247" s="4">
        <v>1993</v>
      </c>
      <c r="D1247" s="5" t="s">
        <v>2577</v>
      </c>
      <c r="E1247" s="3" t="s">
        <v>580</v>
      </c>
      <c r="F1247" s="3" t="s">
        <v>38</v>
      </c>
      <c r="G1247">
        <v>0</v>
      </c>
    </row>
    <row r="1248" spans="1:7" ht="16">
      <c r="A1248" s="4">
        <v>8268822</v>
      </c>
      <c r="B1248" s="1" t="s">
        <v>1289</v>
      </c>
      <c r="C1248" s="4">
        <v>1993</v>
      </c>
      <c r="D1248" s="5" t="s">
        <v>1290</v>
      </c>
      <c r="E1248" s="3" t="s">
        <v>580</v>
      </c>
      <c r="F1248" s="3" t="s">
        <v>42</v>
      </c>
      <c r="G1248">
        <v>0</v>
      </c>
    </row>
    <row r="1249" spans="1:7" ht="16">
      <c r="A1249" s="4">
        <v>8212853</v>
      </c>
      <c r="B1249" s="1" t="s">
        <v>2164</v>
      </c>
      <c r="C1249" s="4">
        <v>1993</v>
      </c>
      <c r="D1249" s="5" t="s">
        <v>2165</v>
      </c>
      <c r="E1249" s="3" t="s">
        <v>580</v>
      </c>
      <c r="F1249" s="3" t="s">
        <v>33</v>
      </c>
      <c r="G1249">
        <v>0</v>
      </c>
    </row>
    <row r="1250" spans="1:7" ht="16">
      <c r="A1250" s="4">
        <v>8212852</v>
      </c>
      <c r="B1250" s="1" t="s">
        <v>2068</v>
      </c>
      <c r="C1250" s="4">
        <v>1993</v>
      </c>
      <c r="D1250" s="5" t="s">
        <v>2069</v>
      </c>
      <c r="E1250" s="3" t="s">
        <v>580</v>
      </c>
      <c r="F1250" s="3" t="s">
        <v>33</v>
      </c>
      <c r="G1250">
        <v>0</v>
      </c>
    </row>
    <row r="1251" spans="1:7" ht="16">
      <c r="A1251" s="4">
        <v>8125426</v>
      </c>
      <c r="B1251" s="1" t="s">
        <v>2617</v>
      </c>
      <c r="C1251" s="4">
        <v>1993</v>
      </c>
      <c r="D1251" s="5" t="s">
        <v>2618</v>
      </c>
      <c r="E1251" s="3" t="s">
        <v>580</v>
      </c>
      <c r="F1251" s="3" t="s">
        <v>38</v>
      </c>
      <c r="G1251">
        <v>0</v>
      </c>
    </row>
    <row r="1252" spans="1:7" ht="16">
      <c r="A1252" s="4">
        <v>7681936</v>
      </c>
      <c r="B1252" s="1" t="s">
        <v>1873</v>
      </c>
      <c r="C1252" s="4">
        <v>1993</v>
      </c>
      <c r="D1252" s="5" t="s">
        <v>1874</v>
      </c>
      <c r="E1252" s="3" t="s">
        <v>580</v>
      </c>
      <c r="F1252" s="3" t="s">
        <v>33</v>
      </c>
      <c r="G1252">
        <v>0</v>
      </c>
    </row>
    <row r="1253" spans="1:7" ht="16">
      <c r="A1253" s="4">
        <v>8384028</v>
      </c>
      <c r="B1253" s="1" t="s">
        <v>1889</v>
      </c>
      <c r="C1253" s="4">
        <v>1993</v>
      </c>
      <c r="D1253" s="5" t="s">
        <v>1890</v>
      </c>
      <c r="E1253" s="3" t="s">
        <v>580</v>
      </c>
      <c r="F1253" s="3" t="s">
        <v>33</v>
      </c>
      <c r="G1253">
        <v>0</v>
      </c>
    </row>
    <row r="1254" spans="1:7" ht="16">
      <c r="A1254" s="4">
        <v>8059523</v>
      </c>
      <c r="B1254" s="1" t="s">
        <v>602</v>
      </c>
      <c r="C1254" s="4">
        <v>1993</v>
      </c>
      <c r="D1254" s="5" t="s">
        <v>603</v>
      </c>
      <c r="E1254" s="3" t="s">
        <v>580</v>
      </c>
      <c r="F1254" s="3" t="s">
        <v>45</v>
      </c>
      <c r="G1254">
        <v>0</v>
      </c>
    </row>
    <row r="1255" spans="1:7" ht="16">
      <c r="A1255" s="4">
        <v>8397041</v>
      </c>
      <c r="B1255" s="1" t="s">
        <v>2471</v>
      </c>
      <c r="C1255" s="4">
        <v>1993</v>
      </c>
      <c r="D1255" s="5" t="s">
        <v>2472</v>
      </c>
      <c r="E1255" s="3" t="s">
        <v>580</v>
      </c>
      <c r="F1255" s="3" t="s">
        <v>38</v>
      </c>
      <c r="G1255">
        <v>0</v>
      </c>
    </row>
    <row r="1256" spans="1:7" ht="16">
      <c r="A1256" s="4">
        <v>8380842</v>
      </c>
      <c r="B1256" s="1" t="s">
        <v>1375</v>
      </c>
      <c r="C1256" s="4">
        <v>1993</v>
      </c>
      <c r="D1256" s="5" t="s">
        <v>1376</v>
      </c>
      <c r="E1256" s="3" t="s">
        <v>580</v>
      </c>
      <c r="F1256" s="3" t="s">
        <v>42</v>
      </c>
      <c r="G1256">
        <v>0</v>
      </c>
    </row>
    <row r="1257" spans="1:7" ht="16">
      <c r="A1257" s="4">
        <v>1332225</v>
      </c>
      <c r="B1257" s="1" t="s">
        <v>1297</v>
      </c>
      <c r="C1257" s="4">
        <v>1992</v>
      </c>
      <c r="D1257" s="5" t="s">
        <v>1298</v>
      </c>
      <c r="E1257" s="3" t="s">
        <v>580</v>
      </c>
      <c r="F1257" s="3" t="s">
        <v>42</v>
      </c>
      <c r="G1257">
        <v>0</v>
      </c>
    </row>
    <row r="1258" spans="1:7" ht="16">
      <c r="A1258" s="4">
        <v>1337298</v>
      </c>
      <c r="B1258" s="1" t="s">
        <v>2354</v>
      </c>
      <c r="C1258" s="4">
        <v>1992</v>
      </c>
      <c r="D1258" s="5" t="s">
        <v>2355</v>
      </c>
      <c r="E1258" s="3" t="s">
        <v>580</v>
      </c>
      <c r="F1258" s="3" t="s">
        <v>38</v>
      </c>
      <c r="G1258">
        <v>0</v>
      </c>
    </row>
    <row r="1259" spans="1:7" ht="16">
      <c r="A1259" s="4">
        <v>1326815</v>
      </c>
      <c r="B1259" s="1" t="s">
        <v>1891</v>
      </c>
      <c r="C1259" s="4">
        <v>1992</v>
      </c>
      <c r="D1259" s="5" t="s">
        <v>1892</v>
      </c>
      <c r="E1259" s="3" t="s">
        <v>580</v>
      </c>
      <c r="F1259" s="3" t="s">
        <v>33</v>
      </c>
      <c r="G1259">
        <v>0</v>
      </c>
    </row>
    <row r="1260" spans="1:7" ht="16">
      <c r="A1260" s="4">
        <v>1351995</v>
      </c>
      <c r="B1260" s="1" t="s">
        <v>1716</v>
      </c>
      <c r="C1260" s="4">
        <v>1992</v>
      </c>
      <c r="D1260" s="5" t="s">
        <v>1717</v>
      </c>
      <c r="E1260" s="3" t="s">
        <v>580</v>
      </c>
      <c r="F1260" s="3" t="s">
        <v>49</v>
      </c>
      <c r="G1260">
        <v>0</v>
      </c>
    </row>
    <row r="1261" spans="1:7" ht="16">
      <c r="A1261" s="4">
        <v>1331312</v>
      </c>
      <c r="B1261" s="1" t="s">
        <v>891</v>
      </c>
      <c r="C1261" s="4">
        <v>1992</v>
      </c>
      <c r="D1261" s="5" t="s">
        <v>892</v>
      </c>
      <c r="E1261" s="3" t="s">
        <v>580</v>
      </c>
      <c r="F1261" s="3" t="s">
        <v>29</v>
      </c>
      <c r="G1261">
        <v>0</v>
      </c>
    </row>
    <row r="1262" spans="1:7" ht="16">
      <c r="A1262" s="4">
        <v>1365539</v>
      </c>
      <c r="B1262" s="1" t="s">
        <v>2350</v>
      </c>
      <c r="C1262" s="4">
        <v>1992</v>
      </c>
      <c r="D1262" s="5" t="s">
        <v>2351</v>
      </c>
      <c r="E1262" s="3" t="s">
        <v>580</v>
      </c>
      <c r="F1262" s="3" t="s">
        <v>38</v>
      </c>
      <c r="G1262">
        <v>0</v>
      </c>
    </row>
    <row r="1263" spans="1:7" ht="16">
      <c r="A1263" s="4">
        <v>1318588</v>
      </c>
      <c r="B1263" s="1" t="s">
        <v>1701</v>
      </c>
      <c r="C1263" s="4">
        <v>1992</v>
      </c>
      <c r="D1263" s="5" t="s">
        <v>1702</v>
      </c>
      <c r="E1263" s="3" t="s">
        <v>580</v>
      </c>
      <c r="F1263" s="3" t="s">
        <v>49</v>
      </c>
      <c r="G1263">
        <v>0</v>
      </c>
    </row>
    <row r="1264" spans="1:7" ht="16">
      <c r="A1264" s="4">
        <v>1378586</v>
      </c>
      <c r="B1264" s="1" t="s">
        <v>2003</v>
      </c>
      <c r="C1264" s="4">
        <v>1992</v>
      </c>
      <c r="D1264" s="5" t="s">
        <v>2004</v>
      </c>
      <c r="E1264" s="3" t="s">
        <v>580</v>
      </c>
      <c r="F1264" s="3" t="s">
        <v>33</v>
      </c>
      <c r="G1264">
        <v>0</v>
      </c>
    </row>
    <row r="1265" spans="1:7" ht="16">
      <c r="A1265" s="4">
        <v>1314872</v>
      </c>
      <c r="B1265" s="1" t="s">
        <v>897</v>
      </c>
      <c r="C1265" s="4">
        <v>1992</v>
      </c>
      <c r="D1265" s="5" t="s">
        <v>1854</v>
      </c>
      <c r="E1265" s="3" t="s">
        <v>580</v>
      </c>
      <c r="F1265" s="3" t="s">
        <v>33</v>
      </c>
      <c r="G1265">
        <v>0</v>
      </c>
    </row>
    <row r="1266" spans="1:7" ht="16">
      <c r="A1266" s="4">
        <v>1329241</v>
      </c>
      <c r="B1266" s="1" t="s">
        <v>604</v>
      </c>
      <c r="C1266" s="4">
        <v>1992</v>
      </c>
      <c r="D1266" s="5" t="s">
        <v>605</v>
      </c>
      <c r="E1266" s="3" t="s">
        <v>580</v>
      </c>
      <c r="F1266" s="3" t="s">
        <v>45</v>
      </c>
      <c r="G1266">
        <v>0</v>
      </c>
    </row>
    <row r="1267" spans="1:7" ht="16">
      <c r="A1267" s="4">
        <v>1311366</v>
      </c>
      <c r="B1267" s="1" t="s">
        <v>1938</v>
      </c>
      <c r="C1267" s="4">
        <v>1992</v>
      </c>
      <c r="D1267" s="5" t="s">
        <v>1939</v>
      </c>
      <c r="E1267" s="3" t="s">
        <v>580</v>
      </c>
      <c r="F1267" s="3" t="s">
        <v>33</v>
      </c>
      <c r="G1267">
        <v>0</v>
      </c>
    </row>
    <row r="1268" spans="1:7" ht="16">
      <c r="A1268" s="4">
        <v>1335933</v>
      </c>
      <c r="B1268" s="1" t="s">
        <v>2348</v>
      </c>
      <c r="C1268" s="4">
        <v>1992</v>
      </c>
      <c r="D1268" s="5" t="s">
        <v>2349</v>
      </c>
      <c r="E1268" s="3" t="s">
        <v>580</v>
      </c>
      <c r="F1268" s="3" t="s">
        <v>38</v>
      </c>
      <c r="G1268">
        <v>0</v>
      </c>
    </row>
    <row r="1269" spans="1:7" ht="16">
      <c r="A1269" s="4">
        <v>1313531</v>
      </c>
      <c r="B1269" s="1" t="s">
        <v>2011</v>
      </c>
      <c r="C1269" s="4">
        <v>1992</v>
      </c>
      <c r="D1269" s="5" t="s">
        <v>2012</v>
      </c>
      <c r="E1269" s="3" t="s">
        <v>580</v>
      </c>
      <c r="F1269" s="3" t="s">
        <v>33</v>
      </c>
      <c r="G1269">
        <v>0</v>
      </c>
    </row>
    <row r="1270" spans="1:7" ht="16">
      <c r="A1270" s="4">
        <v>1311135</v>
      </c>
      <c r="B1270" s="1" t="s">
        <v>1915</v>
      </c>
      <c r="C1270" s="4">
        <v>1992</v>
      </c>
      <c r="D1270" s="5" t="s">
        <v>1916</v>
      </c>
      <c r="E1270" s="3" t="s">
        <v>580</v>
      </c>
      <c r="F1270" s="3" t="s">
        <v>33</v>
      </c>
      <c r="G1270">
        <v>0</v>
      </c>
    </row>
    <row r="1271" spans="1:7" ht="16">
      <c r="A1271" s="4">
        <v>1682676</v>
      </c>
      <c r="B1271" s="1" t="s">
        <v>1687</v>
      </c>
      <c r="C1271" s="4">
        <v>1991</v>
      </c>
      <c r="D1271" s="5" t="s">
        <v>1688</v>
      </c>
      <c r="E1271" s="3" t="s">
        <v>580</v>
      </c>
      <c r="F1271" s="3" t="s">
        <v>49</v>
      </c>
      <c r="G1271">
        <v>0</v>
      </c>
    </row>
    <row r="1272" spans="1:7" ht="16">
      <c r="A1272" s="4">
        <v>1653487</v>
      </c>
      <c r="B1272" s="1" t="s">
        <v>1796</v>
      </c>
      <c r="C1272" s="4">
        <v>1991</v>
      </c>
      <c r="D1272" s="5" t="s">
        <v>1797</v>
      </c>
      <c r="E1272" s="3" t="s">
        <v>580</v>
      </c>
      <c r="F1272" s="3" t="s">
        <v>33</v>
      </c>
      <c r="G1272">
        <v>0</v>
      </c>
    </row>
    <row r="1273" spans="1:7" ht="16">
      <c r="A1273" s="4">
        <v>1658217</v>
      </c>
      <c r="B1273" s="1" t="s">
        <v>1335</v>
      </c>
      <c r="C1273" s="4">
        <v>1991</v>
      </c>
      <c r="D1273" s="5" t="s">
        <v>1336</v>
      </c>
      <c r="E1273" s="3" t="s">
        <v>580</v>
      </c>
      <c r="F1273" s="3" t="s">
        <v>42</v>
      </c>
      <c r="G1273">
        <v>0</v>
      </c>
    </row>
    <row r="1274" spans="1:7" ht="16">
      <c r="A1274" s="4">
        <v>1677066</v>
      </c>
      <c r="B1274" s="1" t="s">
        <v>987</v>
      </c>
      <c r="C1274" s="4">
        <v>1991</v>
      </c>
      <c r="D1274" s="5" t="s">
        <v>988</v>
      </c>
      <c r="E1274" s="3" t="s">
        <v>580</v>
      </c>
      <c r="F1274" s="3" t="s">
        <v>29</v>
      </c>
      <c r="G1274">
        <v>0</v>
      </c>
    </row>
    <row r="1275" spans="1:7" ht="16">
      <c r="A1275" s="4">
        <v>1656131</v>
      </c>
      <c r="B1275" s="1" t="s">
        <v>610</v>
      </c>
      <c r="C1275" s="4">
        <v>1991</v>
      </c>
      <c r="D1275" s="5" t="s">
        <v>611</v>
      </c>
      <c r="E1275" s="3" t="s">
        <v>580</v>
      </c>
      <c r="F1275" s="3" t="s">
        <v>45</v>
      </c>
      <c r="G1275">
        <v>0</v>
      </c>
    </row>
    <row r="1276" spans="1:7" ht="16">
      <c r="A1276" s="4">
        <v>1646280</v>
      </c>
      <c r="B1276" s="1" t="s">
        <v>1842</v>
      </c>
      <c r="C1276" s="4">
        <v>1991</v>
      </c>
      <c r="D1276" s="5" t="s">
        <v>1843</v>
      </c>
      <c r="E1276" s="3" t="s">
        <v>580</v>
      </c>
      <c r="F1276" s="3" t="s">
        <v>33</v>
      </c>
      <c r="G1276">
        <v>0</v>
      </c>
    </row>
    <row r="1277" spans="1:7" ht="16">
      <c r="A1277" s="4">
        <v>1654146</v>
      </c>
      <c r="B1277" s="1" t="s">
        <v>2346</v>
      </c>
      <c r="C1277" s="4">
        <v>1991</v>
      </c>
      <c r="D1277" s="5" t="s">
        <v>2347</v>
      </c>
      <c r="E1277" s="3" t="s">
        <v>580</v>
      </c>
      <c r="F1277" s="3" t="s">
        <v>38</v>
      </c>
      <c r="G1277">
        <v>0</v>
      </c>
    </row>
    <row r="1278" spans="1:7" ht="16">
      <c r="A1278" s="4">
        <v>1849169</v>
      </c>
      <c r="B1278" s="1" t="s">
        <v>1295</v>
      </c>
      <c r="C1278" s="4">
        <v>1991</v>
      </c>
      <c r="D1278" s="5" t="s">
        <v>1296</v>
      </c>
      <c r="E1278" s="3" t="s">
        <v>580</v>
      </c>
      <c r="F1278" s="3" t="s">
        <v>42</v>
      </c>
      <c r="G1278">
        <v>0</v>
      </c>
    </row>
    <row r="1279" spans="1:7" ht="16">
      <c r="A1279" s="4">
        <v>1849315</v>
      </c>
      <c r="B1279" s="1" t="s">
        <v>2118</v>
      </c>
      <c r="C1279" s="4">
        <v>1991</v>
      </c>
      <c r="D1279" s="5" t="s">
        <v>2119</v>
      </c>
      <c r="E1279" s="3" t="s">
        <v>580</v>
      </c>
      <c r="F1279" s="3" t="s">
        <v>33</v>
      </c>
      <c r="G1279">
        <v>0</v>
      </c>
    </row>
    <row r="1280" spans="1:7" ht="16">
      <c r="A1280" s="4">
        <v>1652618</v>
      </c>
      <c r="B1280" s="1" t="s">
        <v>1309</v>
      </c>
      <c r="C1280" s="4">
        <v>1991</v>
      </c>
      <c r="D1280" s="5" t="s">
        <v>1310</v>
      </c>
      <c r="E1280" s="3" t="s">
        <v>580</v>
      </c>
      <c r="F1280" s="3" t="s">
        <v>42</v>
      </c>
      <c r="G1280">
        <v>0</v>
      </c>
    </row>
    <row r="1281" spans="1:7" ht="16">
      <c r="A1281" s="4">
        <v>1846942</v>
      </c>
      <c r="B1281" s="1" t="s">
        <v>1677</v>
      </c>
      <c r="C1281" s="4">
        <v>1991</v>
      </c>
      <c r="D1281" s="5" t="s">
        <v>1678</v>
      </c>
      <c r="E1281" s="3" t="s">
        <v>580</v>
      </c>
      <c r="F1281" s="3" t="s">
        <v>49</v>
      </c>
      <c r="G1281">
        <v>0</v>
      </c>
    </row>
    <row r="1282" spans="1:7" ht="16">
      <c r="A1282" s="4">
        <v>1846645</v>
      </c>
      <c r="B1282" s="1" t="s">
        <v>1929</v>
      </c>
      <c r="C1282" s="4">
        <v>1991</v>
      </c>
      <c r="D1282" s="5" t="s">
        <v>1930</v>
      </c>
      <c r="E1282" s="3" t="s">
        <v>580</v>
      </c>
      <c r="F1282" s="3" t="s">
        <v>33</v>
      </c>
      <c r="G1282">
        <v>0</v>
      </c>
    </row>
    <row r="1283" spans="1:7" ht="16">
      <c r="A1283" s="4">
        <v>1668969</v>
      </c>
      <c r="B1283" s="1" t="s">
        <v>1953</v>
      </c>
      <c r="C1283" s="4">
        <v>1991</v>
      </c>
      <c r="D1283" s="5" t="s">
        <v>1954</v>
      </c>
      <c r="E1283" s="3" t="s">
        <v>580</v>
      </c>
      <c r="F1283" s="3" t="s">
        <v>33</v>
      </c>
      <c r="G1283">
        <v>0</v>
      </c>
    </row>
    <row r="1284" spans="1:7" ht="16">
      <c r="A1284" s="4">
        <v>1661364</v>
      </c>
      <c r="B1284" s="1" t="s">
        <v>1942</v>
      </c>
      <c r="C1284" s="4">
        <v>1991</v>
      </c>
      <c r="D1284" s="5" t="s">
        <v>1943</v>
      </c>
      <c r="E1284" s="3" t="s">
        <v>580</v>
      </c>
      <c r="F1284" s="3" t="s">
        <v>33</v>
      </c>
      <c r="G1284">
        <v>0</v>
      </c>
    </row>
    <row r="1285" spans="1:7" ht="16">
      <c r="A1285" s="4">
        <v>2174371</v>
      </c>
      <c r="B1285" s="1" t="s">
        <v>2021</v>
      </c>
      <c r="C1285" s="4">
        <v>1990</v>
      </c>
      <c r="D1285" s="5" t="s">
        <v>2022</v>
      </c>
      <c r="E1285" s="3" t="s">
        <v>580</v>
      </c>
      <c r="F1285" s="3" t="s">
        <v>33</v>
      </c>
      <c r="G1285">
        <v>0</v>
      </c>
    </row>
    <row r="1286" spans="1:7" ht="16">
      <c r="A1286" s="4">
        <v>2173884</v>
      </c>
      <c r="B1286" s="1" t="s">
        <v>1177</v>
      </c>
      <c r="C1286" s="4">
        <v>1990</v>
      </c>
      <c r="D1286" s="5" t="s">
        <v>1178</v>
      </c>
      <c r="E1286" s="3" t="s">
        <v>580</v>
      </c>
      <c r="F1286" s="3" t="s">
        <v>29</v>
      </c>
      <c r="G1286">
        <v>0</v>
      </c>
    </row>
    <row r="1287" spans="1:7" ht="16">
      <c r="A1287" s="4">
        <v>2177773</v>
      </c>
      <c r="B1287" s="1" t="s">
        <v>2063</v>
      </c>
      <c r="C1287" s="4">
        <v>1990</v>
      </c>
      <c r="D1287" s="5" t="s">
        <v>2064</v>
      </c>
      <c r="E1287" s="3" t="s">
        <v>580</v>
      </c>
      <c r="F1287" s="3" t="s">
        <v>33</v>
      </c>
      <c r="G1287">
        <v>0</v>
      </c>
    </row>
    <row r="1288" spans="1:7" ht="16">
      <c r="A1288" s="4">
        <v>2172295</v>
      </c>
      <c r="B1288" s="1" t="s">
        <v>1981</v>
      </c>
      <c r="C1288" s="4">
        <v>1990</v>
      </c>
      <c r="D1288" s="5" t="s">
        <v>1982</v>
      </c>
      <c r="E1288" s="3" t="s">
        <v>580</v>
      </c>
      <c r="F1288" s="3" t="s">
        <v>33</v>
      </c>
      <c r="G1288">
        <v>0</v>
      </c>
    </row>
    <row r="1289" spans="1:7" ht="16">
      <c r="A1289" s="4">
        <v>1975142</v>
      </c>
      <c r="B1289" s="1" t="s">
        <v>1991</v>
      </c>
      <c r="C1289" s="4">
        <v>1990</v>
      </c>
      <c r="D1289" s="5" t="s">
        <v>1992</v>
      </c>
      <c r="E1289" s="3" t="s">
        <v>580</v>
      </c>
      <c r="F1289" s="3" t="s">
        <v>33</v>
      </c>
      <c r="G1289">
        <v>0</v>
      </c>
    </row>
    <row r="1290" spans="1:7" ht="16">
      <c r="A1290" s="4">
        <v>2176675</v>
      </c>
      <c r="B1290" s="1" t="s">
        <v>2035</v>
      </c>
      <c r="C1290" s="4">
        <v>1990</v>
      </c>
      <c r="D1290" s="5" t="s">
        <v>2036</v>
      </c>
      <c r="E1290" s="3" t="s">
        <v>580</v>
      </c>
      <c r="F1290" s="3" t="s">
        <v>33</v>
      </c>
      <c r="G1290">
        <v>0</v>
      </c>
    </row>
    <row r="1291" spans="1:7" ht="16">
      <c r="A1291" s="4">
        <v>1693942</v>
      </c>
      <c r="B1291" s="1" t="s">
        <v>1911</v>
      </c>
      <c r="C1291" s="4">
        <v>1990</v>
      </c>
      <c r="D1291" s="5" t="s">
        <v>1912</v>
      </c>
      <c r="E1291" s="3" t="s">
        <v>580</v>
      </c>
      <c r="F1291" s="3" t="s">
        <v>33</v>
      </c>
      <c r="G1291">
        <v>0</v>
      </c>
    </row>
    <row r="1292" spans="1:7" ht="16">
      <c r="A1292" s="4">
        <v>2161152</v>
      </c>
      <c r="B1292" s="1" t="s">
        <v>1867</v>
      </c>
      <c r="C1292" s="4">
        <v>1990</v>
      </c>
      <c r="D1292" s="5" t="s">
        <v>1868</v>
      </c>
      <c r="E1292" s="3" t="s">
        <v>580</v>
      </c>
      <c r="F1292" s="3" t="s">
        <v>33</v>
      </c>
      <c r="G1292">
        <v>0</v>
      </c>
    </row>
    <row r="1293" spans="1:7" ht="16">
      <c r="A1293" s="4">
        <v>2161036</v>
      </c>
      <c r="B1293" s="1" t="s">
        <v>1806</v>
      </c>
      <c r="C1293" s="4">
        <v>1990</v>
      </c>
      <c r="D1293" s="5" t="s">
        <v>1807</v>
      </c>
      <c r="E1293" s="3" t="s">
        <v>580</v>
      </c>
      <c r="F1293" s="3" t="s">
        <v>33</v>
      </c>
      <c r="G1293">
        <v>0</v>
      </c>
    </row>
    <row r="1294" spans="1:7" ht="16">
      <c r="A1294" s="4">
        <v>2161867</v>
      </c>
      <c r="B1294" s="1" t="s">
        <v>1439</v>
      </c>
      <c r="C1294" s="4">
        <v>1990</v>
      </c>
      <c r="D1294" s="5" t="s">
        <v>1440</v>
      </c>
      <c r="E1294" s="3" t="s">
        <v>580</v>
      </c>
      <c r="F1294" s="3" t="s">
        <v>42</v>
      </c>
      <c r="G1294">
        <v>0</v>
      </c>
    </row>
    <row r="1295" spans="1:7" ht="16">
      <c r="A1295" s="4">
        <v>2156361</v>
      </c>
      <c r="B1295" s="1" t="s">
        <v>1261</v>
      </c>
      <c r="C1295" s="4">
        <v>1990</v>
      </c>
      <c r="D1295" s="5" t="s">
        <v>1262</v>
      </c>
      <c r="E1295" s="3" t="s">
        <v>580</v>
      </c>
      <c r="F1295" s="3" t="s">
        <v>42</v>
      </c>
      <c r="G1295">
        <v>0</v>
      </c>
    </row>
    <row r="1296" spans="1:7" ht="16">
      <c r="A1296" s="4">
        <v>1968216</v>
      </c>
      <c r="B1296" s="1" t="s">
        <v>1681</v>
      </c>
      <c r="C1296" s="4">
        <v>1990</v>
      </c>
      <c r="D1296" s="5" t="s">
        <v>1682</v>
      </c>
      <c r="E1296" s="3" t="s">
        <v>580</v>
      </c>
      <c r="F1296" s="3" t="s">
        <v>49</v>
      </c>
      <c r="G1296">
        <v>0</v>
      </c>
    </row>
    <row r="1297" spans="1:7" ht="16">
      <c r="A1297" s="4">
        <v>2156215</v>
      </c>
      <c r="B1297" s="1" t="s">
        <v>1948</v>
      </c>
      <c r="C1297" s="4">
        <v>1990</v>
      </c>
      <c r="D1297" s="5" t="s">
        <v>1949</v>
      </c>
      <c r="E1297" s="3" t="s">
        <v>580</v>
      </c>
      <c r="F1297" s="3" t="s">
        <v>33</v>
      </c>
      <c r="G1297">
        <v>0</v>
      </c>
    </row>
    <row r="1298" spans="1:7" ht="16">
      <c r="A1298" s="4">
        <v>2156005</v>
      </c>
      <c r="B1298" s="1" t="s">
        <v>1940</v>
      </c>
      <c r="C1298" s="4">
        <v>1990</v>
      </c>
      <c r="D1298" s="5" t="s">
        <v>1941</v>
      </c>
      <c r="E1298" s="3" t="s">
        <v>580</v>
      </c>
      <c r="F1298" s="3" t="s">
        <v>33</v>
      </c>
      <c r="G1298">
        <v>0</v>
      </c>
    </row>
    <row r="1299" spans="1:7" ht="16">
      <c r="A1299" s="4">
        <v>2153237</v>
      </c>
      <c r="B1299" s="1" t="s">
        <v>2144</v>
      </c>
      <c r="C1299" s="4">
        <v>1990</v>
      </c>
      <c r="D1299" s="5" t="s">
        <v>2145</v>
      </c>
      <c r="E1299" s="3" t="s">
        <v>580</v>
      </c>
      <c r="F1299" s="3" t="s">
        <v>33</v>
      </c>
      <c r="G1299">
        <v>0</v>
      </c>
    </row>
    <row r="1300" spans="1:7" ht="16">
      <c r="A1300" s="4">
        <v>2406371</v>
      </c>
      <c r="B1300" s="1" t="s">
        <v>2139</v>
      </c>
      <c r="C1300" s="4">
        <v>1990</v>
      </c>
      <c r="D1300" s="5" t="s">
        <v>2140</v>
      </c>
      <c r="E1300" s="3" t="s">
        <v>580</v>
      </c>
      <c r="F1300" s="3" t="s">
        <v>33</v>
      </c>
      <c r="G1300">
        <v>0</v>
      </c>
    </row>
    <row r="1301" spans="1:7" ht="16">
      <c r="A1301" s="4">
        <v>2178187</v>
      </c>
      <c r="B1301" s="1" t="s">
        <v>1830</v>
      </c>
      <c r="C1301" s="4">
        <v>1990</v>
      </c>
      <c r="D1301" s="5" t="s">
        <v>1831</v>
      </c>
      <c r="E1301" s="3" t="s">
        <v>580</v>
      </c>
      <c r="F1301" s="3" t="s">
        <v>33</v>
      </c>
      <c r="G1301">
        <v>0</v>
      </c>
    </row>
    <row r="1302" spans="1:7" ht="16">
      <c r="A1302" s="4">
        <v>1963049</v>
      </c>
      <c r="B1302" s="1" t="s">
        <v>1706</v>
      </c>
      <c r="C1302" s="4">
        <v>1990</v>
      </c>
      <c r="D1302" s="5" t="s">
        <v>1707</v>
      </c>
      <c r="E1302" s="3" t="s">
        <v>580</v>
      </c>
      <c r="F1302" s="3" t="s">
        <v>49</v>
      </c>
      <c r="G1302" s="3">
        <v>0</v>
      </c>
    </row>
    <row r="1303" spans="1:7" ht="16">
      <c r="A1303" s="4">
        <v>1963044</v>
      </c>
      <c r="B1303" s="1" t="s">
        <v>1699</v>
      </c>
      <c r="C1303" s="4">
        <v>1990</v>
      </c>
      <c r="D1303" s="5" t="s">
        <v>1700</v>
      </c>
      <c r="E1303" s="3" t="s">
        <v>580</v>
      </c>
      <c r="F1303" s="3" t="s">
        <v>49</v>
      </c>
      <c r="G1303" s="3">
        <v>0</v>
      </c>
    </row>
    <row r="1304" spans="1:7" ht="16">
      <c r="A1304" s="4">
        <v>2574324</v>
      </c>
      <c r="B1304" s="1" t="s">
        <v>1674</v>
      </c>
      <c r="C1304" s="4">
        <v>1989</v>
      </c>
      <c r="D1304" s="5" t="s">
        <v>1675</v>
      </c>
      <c r="E1304" s="3" t="s">
        <v>580</v>
      </c>
      <c r="F1304" s="3" t="s">
        <v>49</v>
      </c>
      <c r="G1304" s="3">
        <v>0</v>
      </c>
    </row>
    <row r="1305" spans="1:7" ht="16">
      <c r="A1305" s="4">
        <v>2693479</v>
      </c>
      <c r="B1305" s="1" t="s">
        <v>2148</v>
      </c>
      <c r="C1305" s="4">
        <v>1989</v>
      </c>
      <c r="D1305" s="5" t="s">
        <v>2149</v>
      </c>
      <c r="E1305" s="3" t="s">
        <v>580</v>
      </c>
      <c r="F1305" s="3" t="s">
        <v>33</v>
      </c>
      <c r="G1305">
        <v>0</v>
      </c>
    </row>
    <row r="1306" spans="1:7" ht="16">
      <c r="A1306" s="4">
        <v>2560619</v>
      </c>
      <c r="B1306" s="1" t="s">
        <v>1179</v>
      </c>
      <c r="C1306" s="4">
        <v>1989</v>
      </c>
      <c r="D1306" s="5" t="s">
        <v>1180</v>
      </c>
      <c r="E1306" s="3" t="s">
        <v>580</v>
      </c>
      <c r="F1306" s="3" t="s">
        <v>29</v>
      </c>
      <c r="G1306">
        <v>0</v>
      </c>
    </row>
    <row r="1307" spans="1:7" ht="16">
      <c r="A1307" s="4">
        <v>2560617</v>
      </c>
      <c r="B1307" s="1" t="s">
        <v>2182</v>
      </c>
      <c r="C1307" s="4">
        <v>1989</v>
      </c>
      <c r="D1307" s="5" t="s">
        <v>2183</v>
      </c>
      <c r="E1307" s="3" t="s">
        <v>580</v>
      </c>
      <c r="F1307" s="3" t="s">
        <v>33</v>
      </c>
      <c r="G1307">
        <v>0</v>
      </c>
    </row>
    <row r="1308" spans="1:7" ht="16">
      <c r="A1308" s="4">
        <v>2550877</v>
      </c>
      <c r="B1308" s="1" t="s">
        <v>2146</v>
      </c>
      <c r="C1308" s="4">
        <v>1989</v>
      </c>
      <c r="D1308" s="5" t="s">
        <v>2147</v>
      </c>
      <c r="E1308" s="3" t="s">
        <v>580</v>
      </c>
      <c r="F1308" s="3" t="s">
        <v>33</v>
      </c>
      <c r="G1308">
        <v>0</v>
      </c>
    </row>
    <row r="1309" spans="1:7" ht="16">
      <c r="A1309" s="4">
        <v>2542623</v>
      </c>
      <c r="B1309" s="1" t="s">
        <v>2158</v>
      </c>
      <c r="C1309" s="4">
        <v>1989</v>
      </c>
      <c r="D1309" s="5" t="s">
        <v>2159</v>
      </c>
      <c r="E1309" s="3" t="s">
        <v>580</v>
      </c>
      <c r="F1309" s="3" t="s">
        <v>33</v>
      </c>
      <c r="G1309">
        <v>0</v>
      </c>
    </row>
    <row r="1310" spans="1:7" ht="16">
      <c r="A1310" s="4">
        <v>2548350</v>
      </c>
      <c r="B1310" s="1" t="s">
        <v>632</v>
      </c>
      <c r="C1310" s="4">
        <v>1989</v>
      </c>
      <c r="D1310" s="5" t="s">
        <v>633</v>
      </c>
      <c r="E1310" s="3" t="s">
        <v>580</v>
      </c>
      <c r="F1310" s="3" t="s">
        <v>45</v>
      </c>
      <c r="G1310">
        <v>0</v>
      </c>
    </row>
    <row r="1311" spans="1:7" ht="16">
      <c r="A1311" s="4">
        <v>2542794</v>
      </c>
      <c r="B1311" s="1" t="s">
        <v>1720</v>
      </c>
      <c r="C1311" s="4">
        <v>1989</v>
      </c>
      <c r="D1311" s="5" t="s">
        <v>1721</v>
      </c>
      <c r="E1311" s="3" t="s">
        <v>580</v>
      </c>
      <c r="F1311" s="3" t="s">
        <v>49</v>
      </c>
      <c r="G1311">
        <v>0</v>
      </c>
    </row>
    <row r="1312" spans="1:7" ht="16">
      <c r="A1312" s="4">
        <v>2773596</v>
      </c>
      <c r="B1312" s="1" t="s">
        <v>2150</v>
      </c>
      <c r="C1312" s="4">
        <v>1989</v>
      </c>
      <c r="D1312" s="5" t="s">
        <v>2151</v>
      </c>
      <c r="E1312" s="3" t="s">
        <v>580</v>
      </c>
      <c r="F1312" s="3" t="s">
        <v>33</v>
      </c>
      <c r="G1312">
        <v>0</v>
      </c>
    </row>
    <row r="1313" spans="1:7" ht="16">
      <c r="A1313" s="4">
        <v>2544678</v>
      </c>
      <c r="B1313" s="1" t="s">
        <v>1139</v>
      </c>
      <c r="C1313" s="4">
        <v>1989</v>
      </c>
      <c r="D1313" s="5" t="s">
        <v>1140</v>
      </c>
      <c r="E1313" s="3" t="s">
        <v>580</v>
      </c>
      <c r="F1313" s="3" t="s">
        <v>29</v>
      </c>
      <c r="G1313">
        <v>0</v>
      </c>
    </row>
    <row r="1314" spans="1:7" ht="16">
      <c r="A1314" s="4">
        <v>2759346</v>
      </c>
      <c r="B1314" s="1" t="s">
        <v>2141</v>
      </c>
      <c r="C1314" s="4">
        <v>1989</v>
      </c>
      <c r="D1314" s="5" t="s">
        <v>2142</v>
      </c>
      <c r="E1314" s="3" t="s">
        <v>580</v>
      </c>
      <c r="F1314" s="3" t="s">
        <v>33</v>
      </c>
      <c r="G1314">
        <v>0</v>
      </c>
    </row>
    <row r="1315" spans="1:7" ht="16">
      <c r="A1315" s="4">
        <v>3053468</v>
      </c>
      <c r="B1315" s="1" t="s">
        <v>2141</v>
      </c>
      <c r="C1315" s="4">
        <v>1988</v>
      </c>
      <c r="D1315" s="5" t="s">
        <v>2143</v>
      </c>
      <c r="E1315" s="3" t="s">
        <v>580</v>
      </c>
      <c r="F1315" s="3" t="s">
        <v>33</v>
      </c>
      <c r="G1315">
        <v>0</v>
      </c>
    </row>
    <row r="1316" spans="1:7" ht="16">
      <c r="A1316" s="4">
        <v>3259614</v>
      </c>
      <c r="B1316" s="1" t="s">
        <v>1718</v>
      </c>
      <c r="C1316" s="4">
        <v>1988</v>
      </c>
      <c r="D1316" s="5" t="s">
        <v>1719</v>
      </c>
      <c r="E1316" s="3" t="s">
        <v>580</v>
      </c>
      <c r="F1316" s="3" t="s">
        <v>49</v>
      </c>
      <c r="G1316" s="3">
        <v>0</v>
      </c>
    </row>
    <row r="1317" spans="1:7" ht="16">
      <c r="A1317" s="4">
        <v>2896909</v>
      </c>
      <c r="B1317" s="1" t="s">
        <v>2152</v>
      </c>
      <c r="C1317" s="4">
        <v>1988</v>
      </c>
      <c r="D1317" s="5" t="s">
        <v>2153</v>
      </c>
      <c r="E1317" s="3" t="s">
        <v>580</v>
      </c>
      <c r="F1317" s="3" t="s">
        <v>33</v>
      </c>
      <c r="G1317">
        <v>0</v>
      </c>
    </row>
    <row r="1318" spans="1:7" ht="16">
      <c r="A1318" s="4">
        <v>3259254</v>
      </c>
      <c r="B1318" s="1" t="s">
        <v>2172</v>
      </c>
      <c r="C1318" s="4">
        <v>1988</v>
      </c>
      <c r="D1318" s="5" t="s">
        <v>2173</v>
      </c>
      <c r="E1318" s="3" t="s">
        <v>580</v>
      </c>
      <c r="F1318" s="3" t="s">
        <v>33</v>
      </c>
      <c r="G1318">
        <v>0</v>
      </c>
    </row>
    <row r="1319" spans="1:7" ht="16">
      <c r="A1319" s="4">
        <v>2824914</v>
      </c>
      <c r="B1319" s="1" t="s">
        <v>2166</v>
      </c>
      <c r="C1319" s="4">
        <v>1987</v>
      </c>
      <c r="D1319" s="5" t="s">
        <v>2167</v>
      </c>
      <c r="E1319" s="3" t="s">
        <v>580</v>
      </c>
      <c r="F1319" s="3" t="s">
        <v>33</v>
      </c>
      <c r="G1319" s="3">
        <v>0</v>
      </c>
    </row>
    <row r="1320" spans="1:7" ht="16">
      <c r="A1320" s="4">
        <v>3627265</v>
      </c>
      <c r="B1320" s="1" t="s">
        <v>1724</v>
      </c>
      <c r="C1320" s="4">
        <v>1987</v>
      </c>
      <c r="D1320" s="5" t="s">
        <v>1725</v>
      </c>
      <c r="E1320" s="3" t="s">
        <v>580</v>
      </c>
      <c r="F1320" s="3" t="s">
        <v>49</v>
      </c>
      <c r="G1320" s="3">
        <v>0</v>
      </c>
    </row>
    <row r="1321" spans="1:7" ht="16">
      <c r="A1321" s="4"/>
      <c r="B1321" s="1"/>
      <c r="C1321" s="4"/>
      <c r="D1321" s="5"/>
      <c r="E1321" s="3"/>
      <c r="F1321" s="3"/>
      <c r="G1321" s="3"/>
    </row>
    <row r="1322" spans="1:7" ht="16">
      <c r="A1322" s="4"/>
      <c r="B1322" s="1"/>
      <c r="C1322" s="4"/>
      <c r="D1322" s="5"/>
      <c r="E1322" s="3"/>
      <c r="F1322" s="3"/>
      <c r="G1322" s="3"/>
    </row>
    <row r="1323" spans="1:7" ht="16">
      <c r="A1323" s="4"/>
      <c r="B1323" s="1"/>
      <c r="C1323" s="4"/>
      <c r="D1323" s="5"/>
      <c r="E1323" s="3"/>
      <c r="F1323" s="3"/>
      <c r="G1323" s="3"/>
    </row>
    <row r="1324" spans="1:7" ht="16">
      <c r="A1324" s="4"/>
      <c r="B1324" s="1"/>
      <c r="C1324" s="4"/>
      <c r="D1324" s="5"/>
      <c r="E1324" s="3"/>
      <c r="F1324" s="3"/>
      <c r="G1324" s="3"/>
    </row>
    <row r="1325" spans="1:7" ht="16">
      <c r="A1325" s="4"/>
      <c r="B1325" s="1"/>
      <c r="C1325" s="4"/>
      <c r="D1325" s="5"/>
      <c r="E1325" s="3"/>
      <c r="F1325" s="3"/>
      <c r="G1325" s="3"/>
    </row>
    <row r="1326" spans="1:7" ht="16">
      <c r="A1326" s="4"/>
      <c r="B1326" s="1"/>
      <c r="C1326" s="4"/>
      <c r="D1326" s="5"/>
      <c r="E1326" s="3"/>
      <c r="F1326" s="3"/>
      <c r="G1326" s="3"/>
    </row>
    <row r="1327" spans="1:7" ht="16">
      <c r="A1327" s="4"/>
      <c r="B1327" s="1"/>
      <c r="C1327" s="4"/>
      <c r="D1327" s="5"/>
      <c r="E1327" s="3"/>
      <c r="F1327" s="3"/>
      <c r="G1327" s="3"/>
    </row>
    <row r="1328" spans="1:7" ht="16">
      <c r="A1328" s="4"/>
      <c r="B1328" s="1"/>
      <c r="C1328" s="4"/>
      <c r="D1328" s="5"/>
      <c r="E1328" s="3"/>
      <c r="F1328" s="3"/>
      <c r="G1328" s="3"/>
    </row>
    <row r="1329" spans="1:7" ht="16">
      <c r="A1329" s="4"/>
      <c r="B1329" s="1"/>
      <c r="C1329" s="4"/>
      <c r="D1329" s="5"/>
      <c r="E1329" s="3"/>
      <c r="F1329" s="3"/>
      <c r="G1329" s="3"/>
    </row>
    <row r="1330" spans="1:7" ht="16">
      <c r="A1330" s="4"/>
      <c r="B1330" s="1"/>
      <c r="C1330" s="4"/>
      <c r="D1330" s="5"/>
      <c r="E1330" s="3"/>
      <c r="F1330" s="3"/>
      <c r="G1330" s="3"/>
    </row>
    <row r="1331" spans="1:7" ht="16">
      <c r="A1331" s="4"/>
      <c r="B1331" s="1"/>
      <c r="C1331" s="4"/>
      <c r="D1331" s="5"/>
      <c r="E1331" s="3"/>
      <c r="F1331" s="3"/>
      <c r="G1331" s="3"/>
    </row>
    <row r="1332" spans="1:7" ht="16">
      <c r="A1332" s="4"/>
      <c r="B1332" s="1"/>
      <c r="C1332" s="4"/>
      <c r="D1332" s="5"/>
      <c r="E1332" s="3"/>
      <c r="F1332" s="3"/>
      <c r="G1332" s="3"/>
    </row>
    <row r="1333" spans="1:7" ht="16">
      <c r="A1333" s="4"/>
      <c r="B1333" s="1"/>
      <c r="C1333" s="4"/>
      <c r="D1333" s="5"/>
      <c r="E1333" s="3"/>
      <c r="F1333" s="3"/>
      <c r="G1333" s="3"/>
    </row>
    <row r="1334" spans="1:7" ht="16">
      <c r="A1334" s="4"/>
      <c r="B1334" s="1"/>
      <c r="C1334" s="4"/>
      <c r="D1334" s="5"/>
      <c r="E1334" s="3"/>
      <c r="F1334" s="3"/>
      <c r="G1334" s="3"/>
    </row>
    <row r="1335" spans="1:7" ht="16">
      <c r="A1335" s="4"/>
      <c r="B1335" s="1"/>
      <c r="C1335" s="4"/>
      <c r="D1335" s="5"/>
      <c r="E1335" s="3"/>
      <c r="F1335" s="3"/>
      <c r="G1335" s="3"/>
    </row>
    <row r="1336" spans="1:7" ht="16">
      <c r="A1336" s="4"/>
      <c r="B1336" s="1"/>
      <c r="C1336" s="4"/>
      <c r="D1336" s="5"/>
      <c r="E1336" s="3"/>
      <c r="F1336" s="3"/>
      <c r="G1336" s="3"/>
    </row>
    <row r="1337" spans="1:7" ht="16">
      <c r="A1337" s="4"/>
      <c r="B1337" s="1"/>
      <c r="C1337" s="4"/>
      <c r="D1337" s="5"/>
      <c r="E1337" s="3"/>
      <c r="F1337" s="3"/>
      <c r="G1337" s="3"/>
    </row>
    <row r="1338" spans="1:7" ht="16">
      <c r="A1338" s="4"/>
      <c r="B1338" s="1"/>
      <c r="C1338" s="4"/>
      <c r="D1338" s="5"/>
      <c r="E1338" s="3"/>
      <c r="F1338" s="3"/>
      <c r="G1338" s="3"/>
    </row>
    <row r="1339" spans="1:7" ht="16">
      <c r="A1339" s="4"/>
      <c r="B1339" s="1"/>
      <c r="C1339" s="4"/>
      <c r="D1339" s="5"/>
      <c r="E1339" s="3"/>
      <c r="F1339" s="3"/>
    </row>
    <row r="1340" spans="1:7" ht="16">
      <c r="A1340" s="4"/>
      <c r="B1340" s="1"/>
      <c r="C1340" s="4"/>
      <c r="D1340" s="5"/>
      <c r="E1340" s="3"/>
      <c r="F1340" s="3"/>
    </row>
    <row r="1341" spans="1:7" ht="16">
      <c r="A1341" s="4"/>
      <c r="B1341" s="1"/>
      <c r="C1341" s="4"/>
      <c r="D1341" s="5"/>
      <c r="E1341" s="3"/>
      <c r="F1341" s="3"/>
    </row>
    <row r="1342" spans="1:7" ht="16">
      <c r="A1342" s="4"/>
      <c r="B1342" s="1"/>
      <c r="C1342" s="4"/>
      <c r="D1342" s="5"/>
      <c r="E1342" s="3"/>
      <c r="F1342" s="3"/>
    </row>
    <row r="1343" spans="1:7" ht="16">
      <c r="A1343" s="4"/>
      <c r="B1343" s="1"/>
      <c r="C1343" s="4"/>
      <c r="D1343" s="5"/>
      <c r="E1343" s="3"/>
      <c r="F1343" s="3"/>
    </row>
    <row r="1344" spans="1:7" ht="16">
      <c r="A1344" s="4"/>
      <c r="B1344" s="1"/>
      <c r="C1344" s="4"/>
      <c r="D1344" s="5"/>
      <c r="E1344" s="3"/>
      <c r="F1344" s="3"/>
    </row>
    <row r="1345" spans="1:6" ht="16">
      <c r="A1345" s="4"/>
      <c r="B1345" s="1"/>
      <c r="C1345" s="4"/>
      <c r="D1345" s="5"/>
      <c r="E1345" s="3"/>
      <c r="F1345" s="3"/>
    </row>
    <row r="1346" spans="1:6" ht="16">
      <c r="A1346" s="4"/>
      <c r="B1346" s="1"/>
      <c r="C1346" s="4"/>
      <c r="D1346" s="5"/>
      <c r="E1346" s="3"/>
      <c r="F1346" s="3"/>
    </row>
    <row r="1347" spans="1:6" ht="16">
      <c r="A1347" s="4"/>
      <c r="B1347" s="1"/>
      <c r="C1347" s="4"/>
      <c r="D1347" s="5"/>
      <c r="E1347" s="3"/>
      <c r="F1347" s="3"/>
    </row>
    <row r="1348" spans="1:6" ht="16">
      <c r="A1348" s="4"/>
      <c r="B1348" s="1"/>
      <c r="C1348" s="4"/>
      <c r="D1348" s="5"/>
      <c r="E1348" s="3"/>
      <c r="F1348" s="3"/>
    </row>
    <row r="1349" spans="1:6" ht="16">
      <c r="A1349" s="4"/>
      <c r="B1349" s="1"/>
      <c r="C1349" s="4"/>
      <c r="D1349" s="5"/>
      <c r="E1349" s="3"/>
      <c r="F1349" s="3"/>
    </row>
    <row r="1350" spans="1:6" ht="16">
      <c r="A1350" s="4"/>
      <c r="B1350" s="1"/>
      <c r="C1350" s="4"/>
      <c r="D1350" s="5"/>
      <c r="E1350" s="3"/>
      <c r="F1350" s="3"/>
    </row>
    <row r="1351" spans="1:6" ht="16">
      <c r="A1351" s="4"/>
      <c r="B1351" s="1"/>
      <c r="C1351" s="4"/>
      <c r="D1351" s="5"/>
      <c r="E1351" s="3"/>
      <c r="F1351" s="3"/>
    </row>
    <row r="1352" spans="1:6" ht="16">
      <c r="A1352" s="4"/>
      <c r="B1352" s="1"/>
      <c r="C1352" s="4"/>
      <c r="D1352" s="5"/>
      <c r="E1352" s="3"/>
      <c r="F1352" s="3"/>
    </row>
    <row r="1353" spans="1:6" ht="16">
      <c r="A1353" s="4"/>
      <c r="B1353" s="1"/>
      <c r="C1353" s="4"/>
      <c r="D1353" s="5"/>
      <c r="E1353" s="3"/>
      <c r="F1353" s="3"/>
    </row>
    <row r="1354" spans="1:6" ht="16">
      <c r="A1354" s="4"/>
      <c r="B1354" s="1"/>
      <c r="C1354" s="4"/>
      <c r="D1354" s="5"/>
      <c r="E1354" s="3"/>
      <c r="F1354" s="3"/>
    </row>
    <row r="1355" spans="1:6" ht="16">
      <c r="A1355" s="4"/>
      <c r="B1355" s="1"/>
      <c r="C1355" s="4"/>
      <c r="D1355" s="5"/>
      <c r="E1355" s="3"/>
      <c r="F1355" s="3"/>
    </row>
    <row r="1356" spans="1:6" ht="16">
      <c r="A1356" s="4"/>
      <c r="B1356" s="1"/>
      <c r="C1356" s="4"/>
      <c r="D1356" s="5"/>
      <c r="E1356" s="3"/>
      <c r="F1356" s="3"/>
    </row>
    <row r="1357" spans="1:6" ht="16">
      <c r="A1357" s="4"/>
      <c r="B1357" s="1"/>
      <c r="C1357" s="4"/>
      <c r="D1357" s="5"/>
      <c r="E1357" s="3"/>
      <c r="F1357" s="3"/>
    </row>
    <row r="1358" spans="1:6" ht="16">
      <c r="A1358" s="4"/>
      <c r="B1358" s="1"/>
      <c r="C1358" s="4"/>
      <c r="D1358" s="5"/>
      <c r="E1358" s="3"/>
      <c r="F1358" s="3"/>
    </row>
    <row r="1359" spans="1:6" ht="16">
      <c r="A1359" s="4"/>
      <c r="B1359" s="1"/>
      <c r="C1359" s="4"/>
      <c r="D1359" s="5"/>
      <c r="E1359" s="3"/>
      <c r="F1359" s="3"/>
    </row>
    <row r="1360" spans="1:6" ht="16">
      <c r="A1360" s="4"/>
      <c r="B1360" s="1"/>
      <c r="C1360" s="4"/>
      <c r="D1360" s="5"/>
      <c r="E1360" s="3"/>
      <c r="F1360" s="3"/>
    </row>
    <row r="1361" spans="1:6" ht="16">
      <c r="A1361" s="4"/>
      <c r="B1361" s="1"/>
      <c r="C1361" s="4"/>
      <c r="D1361" s="5"/>
      <c r="E1361" s="3"/>
      <c r="F1361" s="3"/>
    </row>
    <row r="1362" spans="1:6" ht="16">
      <c r="A1362" s="4"/>
      <c r="B1362" s="1"/>
      <c r="C1362" s="4"/>
      <c r="D1362" s="5"/>
      <c r="E1362" s="3"/>
      <c r="F1362" s="3"/>
    </row>
    <row r="1363" spans="1:6" ht="16">
      <c r="A1363" s="4"/>
      <c r="B1363" s="1"/>
      <c r="C1363" s="4"/>
      <c r="D1363" s="5"/>
      <c r="E1363" s="3"/>
      <c r="F1363" s="3"/>
    </row>
    <row r="1364" spans="1:6" ht="16">
      <c r="A1364" s="4"/>
      <c r="B1364" s="1"/>
      <c r="C1364" s="4"/>
      <c r="D1364" s="5"/>
      <c r="E1364" s="3"/>
      <c r="F1364" s="3"/>
    </row>
    <row r="1365" spans="1:6" ht="16">
      <c r="A1365" s="4"/>
      <c r="B1365" s="1"/>
      <c r="C1365" s="4"/>
      <c r="D1365" s="5"/>
      <c r="E1365" s="3"/>
      <c r="F1365" s="3"/>
    </row>
    <row r="1366" spans="1:6" ht="16">
      <c r="A1366" s="4"/>
      <c r="B1366" s="1"/>
      <c r="C1366" s="4"/>
      <c r="D1366" s="5"/>
      <c r="E1366" s="3"/>
      <c r="F1366" s="3"/>
    </row>
    <row r="1367" spans="1:6" ht="16">
      <c r="A1367" s="4"/>
      <c r="B1367" s="1"/>
      <c r="C1367" s="4"/>
      <c r="D1367" s="5"/>
      <c r="E1367" s="3"/>
      <c r="F1367" s="3"/>
    </row>
    <row r="1368" spans="1:6" ht="16">
      <c r="A1368" s="4"/>
      <c r="B1368" s="1"/>
      <c r="C1368" s="4"/>
      <c r="D1368" s="5"/>
      <c r="E1368" s="3"/>
      <c r="F1368" s="3"/>
    </row>
    <row r="1369" spans="1:6" ht="16">
      <c r="A1369" s="4"/>
      <c r="B1369" s="1"/>
      <c r="C1369" s="4"/>
      <c r="D1369" s="5"/>
      <c r="E1369" s="3"/>
      <c r="F1369" s="3"/>
    </row>
    <row r="1370" spans="1:6" ht="16">
      <c r="A1370" s="4"/>
      <c r="B1370" s="1"/>
      <c r="C1370" s="4"/>
      <c r="D1370" s="5"/>
      <c r="E1370" s="3"/>
      <c r="F1370" s="3"/>
    </row>
    <row r="1371" spans="1:6" ht="16">
      <c r="A1371" s="4"/>
      <c r="B1371" s="1"/>
      <c r="C1371" s="4"/>
      <c r="D1371" s="5"/>
      <c r="E1371" s="3"/>
      <c r="F1371" s="3"/>
    </row>
    <row r="1372" spans="1:6" ht="16">
      <c r="A1372" s="4"/>
      <c r="B1372" s="1"/>
      <c r="C1372" s="4"/>
      <c r="D1372" s="5"/>
      <c r="E1372" s="3"/>
      <c r="F1372" s="3"/>
    </row>
    <row r="1373" spans="1:6" ht="16">
      <c r="A1373" s="4"/>
      <c r="B1373" s="1"/>
      <c r="C1373" s="4"/>
      <c r="D1373" s="5"/>
      <c r="E1373" s="3"/>
      <c r="F1373" s="3"/>
    </row>
    <row r="1374" spans="1:6" ht="16">
      <c r="A1374" s="4"/>
      <c r="B1374" s="1"/>
      <c r="C1374" s="4"/>
      <c r="D1374" s="5"/>
      <c r="E1374" s="3"/>
      <c r="F1374" s="3"/>
    </row>
    <row r="1375" spans="1:6" ht="16">
      <c r="A1375" s="4"/>
      <c r="B1375" s="1"/>
      <c r="C1375" s="4"/>
      <c r="D1375" s="5"/>
      <c r="E1375" s="3"/>
      <c r="F1375" s="3"/>
    </row>
    <row r="1376" spans="1:6" ht="16">
      <c r="A1376" s="4"/>
      <c r="B1376" s="1"/>
      <c r="C1376" s="4"/>
      <c r="D1376" s="5"/>
      <c r="E1376" s="3"/>
      <c r="F1376" s="3"/>
    </row>
    <row r="1377" spans="1:6" ht="16">
      <c r="A1377" s="4"/>
      <c r="B1377" s="1"/>
      <c r="C1377" s="4"/>
      <c r="D1377" s="5"/>
      <c r="E1377" s="3"/>
      <c r="F1377" s="3"/>
    </row>
    <row r="1378" spans="1:6" ht="16">
      <c r="A1378" s="4"/>
      <c r="B1378" s="1"/>
      <c r="C1378" s="4"/>
      <c r="D1378" s="5"/>
      <c r="E1378" s="3"/>
      <c r="F1378" s="3"/>
    </row>
    <row r="1379" spans="1:6" ht="16">
      <c r="A1379" s="4"/>
      <c r="B1379" s="1"/>
      <c r="C1379" s="4"/>
      <c r="D1379" s="5"/>
      <c r="E1379" s="3"/>
      <c r="F1379" s="3"/>
    </row>
    <row r="1380" spans="1:6" ht="16">
      <c r="A1380" s="4"/>
      <c r="B1380" s="1"/>
      <c r="C1380" s="4"/>
      <c r="D1380" s="5"/>
      <c r="E1380" s="3"/>
      <c r="F1380" s="3"/>
    </row>
    <row r="1381" spans="1:6" ht="16">
      <c r="A1381" s="4"/>
      <c r="B1381" s="1"/>
      <c r="C1381" s="4"/>
      <c r="D1381" s="5"/>
      <c r="E1381" s="3"/>
      <c r="F1381" s="3"/>
    </row>
    <row r="1382" spans="1:6" ht="16">
      <c r="A1382" s="4"/>
      <c r="B1382" s="1"/>
      <c r="C1382" s="4"/>
      <c r="D1382" s="5"/>
      <c r="E1382" s="3"/>
      <c r="F1382" s="3"/>
    </row>
    <row r="1383" spans="1:6" ht="16">
      <c r="A1383" s="4"/>
      <c r="B1383" s="1"/>
      <c r="C1383" s="4"/>
      <c r="D1383" s="5"/>
      <c r="E1383" s="3"/>
      <c r="F1383" s="3"/>
    </row>
    <row r="1384" spans="1:6" ht="16">
      <c r="A1384" s="4"/>
      <c r="B1384" s="1"/>
      <c r="C1384" s="4"/>
      <c r="D1384" s="5"/>
      <c r="E1384" s="3"/>
      <c r="F1384" s="3"/>
    </row>
    <row r="1385" spans="1:6" ht="16">
      <c r="A1385" s="4"/>
      <c r="B1385" s="1"/>
      <c r="C1385" s="4"/>
      <c r="D1385" s="5"/>
      <c r="E1385" s="3"/>
      <c r="F1385" s="3"/>
    </row>
    <row r="1386" spans="1:6" ht="16">
      <c r="A1386" s="4"/>
      <c r="B1386" s="1"/>
      <c r="C1386" s="4"/>
      <c r="D1386" s="5"/>
      <c r="E1386" s="3"/>
      <c r="F1386" s="3"/>
    </row>
    <row r="1387" spans="1:6" ht="16">
      <c r="A1387" s="4"/>
      <c r="B1387" s="1"/>
      <c r="C1387" s="4"/>
      <c r="D1387" s="5"/>
      <c r="E1387" s="3"/>
      <c r="F1387" s="3"/>
    </row>
    <row r="1388" spans="1:6" ht="16">
      <c r="A1388" s="4"/>
      <c r="B1388" s="1"/>
      <c r="C1388" s="4"/>
      <c r="D1388" s="5"/>
      <c r="E1388" s="3"/>
      <c r="F1388" s="3"/>
    </row>
    <row r="1389" spans="1:6" ht="16">
      <c r="A1389" s="4"/>
      <c r="B1389" s="1"/>
      <c r="C1389" s="4"/>
      <c r="D1389" s="5"/>
      <c r="E1389" s="3"/>
      <c r="F1389" s="3"/>
    </row>
    <row r="1390" spans="1:6" ht="16">
      <c r="A1390" s="4"/>
      <c r="B1390" s="1"/>
      <c r="C1390" s="4"/>
      <c r="D1390" s="5"/>
      <c r="E1390" s="3"/>
      <c r="F1390" s="3"/>
    </row>
    <row r="1391" spans="1:6" ht="16">
      <c r="A1391" s="4"/>
      <c r="B1391" s="1"/>
      <c r="C1391" s="4"/>
      <c r="D1391" s="5"/>
      <c r="E1391" s="3"/>
      <c r="F1391" s="3"/>
    </row>
    <row r="1392" spans="1:6" ht="16">
      <c r="A1392" s="4"/>
      <c r="B1392" s="1"/>
      <c r="C1392" s="4"/>
      <c r="D1392" s="5"/>
      <c r="E1392" s="3"/>
      <c r="F1392" s="3"/>
    </row>
    <row r="1393" spans="1:6" ht="16">
      <c r="A1393" s="4"/>
      <c r="B1393" s="1"/>
      <c r="C1393" s="4"/>
      <c r="D1393" s="5"/>
      <c r="E1393" s="3"/>
      <c r="F1393" s="3"/>
    </row>
    <row r="1394" spans="1:6" ht="16">
      <c r="A1394" s="4"/>
      <c r="B1394" s="1"/>
      <c r="C1394" s="4"/>
      <c r="D1394" s="5"/>
      <c r="E1394" s="3"/>
      <c r="F1394" s="3"/>
    </row>
    <row r="1395" spans="1:6" ht="16">
      <c r="A1395" s="4"/>
      <c r="B1395" s="1"/>
      <c r="C1395" s="4"/>
      <c r="D1395" s="5"/>
      <c r="E1395" s="3"/>
      <c r="F1395" s="3"/>
    </row>
    <row r="1396" spans="1:6" ht="16">
      <c r="A1396" s="4"/>
      <c r="B1396" s="1"/>
      <c r="C1396" s="4"/>
      <c r="D1396" s="5"/>
      <c r="E1396" s="3"/>
      <c r="F1396" s="3"/>
    </row>
    <row r="1397" spans="1:6" ht="16">
      <c r="A1397" s="4"/>
      <c r="B1397" s="1"/>
      <c r="C1397" s="4"/>
      <c r="D1397" s="5"/>
      <c r="E1397" s="3"/>
      <c r="F1397" s="3"/>
    </row>
    <row r="1398" spans="1:6" ht="16">
      <c r="A1398" s="4"/>
      <c r="B1398" s="1"/>
      <c r="C1398" s="4"/>
      <c r="D1398" s="5"/>
      <c r="E1398" s="3"/>
      <c r="F1398" s="3"/>
    </row>
    <row r="1399" spans="1:6" ht="16">
      <c r="A1399" s="4"/>
      <c r="B1399" s="1"/>
      <c r="C1399" s="4"/>
      <c r="D1399" s="5"/>
      <c r="E1399" s="3"/>
      <c r="F1399" s="3"/>
    </row>
    <row r="1400" spans="1:6" ht="16">
      <c r="A1400" s="4"/>
      <c r="B1400" s="1"/>
      <c r="C1400" s="4"/>
      <c r="D1400" s="5"/>
      <c r="E1400" s="3"/>
      <c r="F1400" s="3"/>
    </row>
    <row r="1401" spans="1:6" ht="16">
      <c r="A1401" s="4"/>
      <c r="B1401" s="1"/>
      <c r="C1401" s="4"/>
      <c r="D1401" s="5"/>
      <c r="E1401" s="3"/>
      <c r="F1401" s="3"/>
    </row>
    <row r="1402" spans="1:6" ht="16">
      <c r="A1402" s="4"/>
      <c r="B1402" s="1"/>
      <c r="C1402" s="4"/>
      <c r="D1402" s="5"/>
      <c r="E1402" s="3"/>
      <c r="F1402" s="3"/>
    </row>
    <row r="1403" spans="1:6" ht="16">
      <c r="A1403" s="4"/>
      <c r="B1403" s="1"/>
      <c r="C1403" s="4"/>
      <c r="D1403" s="5"/>
      <c r="E1403" s="3"/>
      <c r="F1403" s="3"/>
    </row>
    <row r="1404" spans="1:6" ht="16">
      <c r="A1404" s="4"/>
      <c r="B1404" s="1"/>
      <c r="C1404" s="4"/>
      <c r="D1404" s="5"/>
      <c r="E1404" s="3"/>
      <c r="F1404" s="3"/>
    </row>
    <row r="1405" spans="1:6" ht="16">
      <c r="A1405" s="4"/>
      <c r="B1405" s="1"/>
      <c r="C1405" s="4"/>
      <c r="D1405" s="5"/>
      <c r="E1405" s="3"/>
      <c r="F1405" s="3"/>
    </row>
    <row r="1406" spans="1:6" ht="16">
      <c r="A1406" s="4"/>
      <c r="B1406" s="1"/>
      <c r="C1406" s="4"/>
      <c r="D1406" s="5"/>
      <c r="E1406" s="3"/>
      <c r="F1406" s="3"/>
    </row>
    <row r="1407" spans="1:6" ht="16">
      <c r="A1407" s="4"/>
      <c r="B1407" s="1"/>
      <c r="C1407" s="4"/>
      <c r="D1407" s="5"/>
      <c r="E1407" s="3"/>
      <c r="F1407" s="3"/>
    </row>
    <row r="1408" spans="1:6" ht="16">
      <c r="A1408" s="4"/>
      <c r="B1408" s="1"/>
      <c r="C1408" s="4"/>
      <c r="D1408" s="5"/>
      <c r="E1408" s="3"/>
      <c r="F1408" s="3"/>
    </row>
    <row r="1409" spans="1:6" ht="16">
      <c r="A1409" s="4"/>
      <c r="B1409" s="1"/>
      <c r="C1409" s="4"/>
      <c r="D1409" s="5"/>
      <c r="E1409" s="3"/>
      <c r="F1409" s="3"/>
    </row>
    <row r="1410" spans="1:6" ht="16">
      <c r="A1410" s="4"/>
      <c r="B1410" s="1"/>
      <c r="C1410" s="4"/>
      <c r="D1410" s="5"/>
      <c r="E1410" s="3"/>
      <c r="F1410" s="3"/>
    </row>
    <row r="1411" spans="1:6" ht="16">
      <c r="A1411" s="4"/>
      <c r="B1411" s="1"/>
      <c r="C1411" s="4"/>
      <c r="D1411" s="5"/>
      <c r="E1411" s="3"/>
      <c r="F1411" s="3"/>
    </row>
    <row r="1412" spans="1:6" ht="16">
      <c r="A1412" s="4"/>
      <c r="B1412" s="1"/>
      <c r="C1412" s="4"/>
      <c r="D1412" s="5"/>
      <c r="E1412" s="3"/>
      <c r="F1412" s="3"/>
    </row>
    <row r="1413" spans="1:6" ht="16">
      <c r="A1413" s="4"/>
      <c r="B1413" s="1"/>
      <c r="C1413" s="4"/>
      <c r="D1413" s="5"/>
      <c r="E1413" s="3"/>
      <c r="F1413" s="3"/>
    </row>
    <row r="1414" spans="1:6" ht="16">
      <c r="A1414" s="4"/>
      <c r="B1414" s="1"/>
      <c r="C1414" s="4"/>
      <c r="D1414" s="5"/>
      <c r="E1414" s="3"/>
      <c r="F1414" s="3"/>
    </row>
    <row r="1415" spans="1:6" ht="16">
      <c r="A1415" s="4"/>
      <c r="B1415" s="1"/>
      <c r="C1415" s="4"/>
      <c r="D1415" s="5"/>
      <c r="E1415" s="3"/>
      <c r="F1415" s="3"/>
    </row>
    <row r="1416" spans="1:6" ht="16">
      <c r="A1416" s="4"/>
      <c r="B1416" s="1"/>
      <c r="C1416" s="4"/>
      <c r="D1416" s="5"/>
      <c r="E1416" s="3"/>
      <c r="F1416" s="3"/>
    </row>
    <row r="1417" spans="1:6" ht="16">
      <c r="A1417" s="4"/>
      <c r="B1417" s="1"/>
      <c r="C1417" s="4"/>
      <c r="D1417" s="5"/>
      <c r="E1417" s="3"/>
      <c r="F1417" s="3"/>
    </row>
    <row r="1418" spans="1:6" ht="16">
      <c r="A1418" s="4"/>
      <c r="B1418" s="1"/>
      <c r="C1418" s="4"/>
      <c r="D1418" s="5"/>
      <c r="E1418" s="3"/>
      <c r="F1418" s="3"/>
    </row>
    <row r="1419" spans="1:6" ht="16">
      <c r="A1419" s="4"/>
      <c r="B1419" s="1"/>
      <c r="C1419" s="4"/>
      <c r="D1419" s="5"/>
      <c r="E1419" s="3"/>
      <c r="F1419" s="3"/>
    </row>
    <row r="1420" spans="1:6" ht="16">
      <c r="A1420" s="4"/>
      <c r="B1420" s="1"/>
      <c r="C1420" s="4"/>
      <c r="D1420" s="5"/>
      <c r="E1420" s="3"/>
      <c r="F1420" s="3"/>
    </row>
    <row r="1421" spans="1:6" ht="16">
      <c r="A1421" s="4"/>
      <c r="B1421" s="1"/>
      <c r="C1421" s="4"/>
      <c r="D1421" s="5"/>
      <c r="E1421" s="3"/>
      <c r="F1421" s="3"/>
    </row>
    <row r="1422" spans="1:6" ht="16">
      <c r="A1422" s="4"/>
      <c r="B1422" s="1"/>
      <c r="C1422" s="4"/>
      <c r="D1422" s="5"/>
      <c r="E1422" s="3"/>
      <c r="F1422" s="3"/>
    </row>
    <row r="1423" spans="1:6" ht="16">
      <c r="A1423" s="4"/>
      <c r="B1423" s="1"/>
      <c r="C1423" s="4"/>
      <c r="D1423" s="5"/>
      <c r="E1423" s="3"/>
      <c r="F1423" s="3"/>
    </row>
    <row r="1424" spans="1:6" ht="16">
      <c r="A1424" s="4"/>
      <c r="B1424" s="1"/>
      <c r="C1424" s="4"/>
      <c r="D1424" s="5"/>
      <c r="E1424" s="3"/>
      <c r="F1424" s="3"/>
    </row>
    <row r="1425" spans="1:6" ht="16">
      <c r="A1425" s="4"/>
      <c r="B1425" s="1"/>
      <c r="C1425" s="4"/>
      <c r="D1425" s="5"/>
      <c r="E1425" s="3"/>
      <c r="F1425" s="3"/>
    </row>
    <row r="1426" spans="1:6" ht="16">
      <c r="A1426" s="4"/>
      <c r="B1426" s="1"/>
      <c r="C1426" s="4"/>
      <c r="D1426" s="5"/>
      <c r="E1426" s="3"/>
      <c r="F1426" s="3"/>
    </row>
    <row r="1427" spans="1:6" ht="16">
      <c r="A1427" s="4"/>
      <c r="B1427" s="1"/>
      <c r="C1427" s="4"/>
      <c r="D1427" s="5"/>
      <c r="E1427" s="3"/>
      <c r="F1427" s="3"/>
    </row>
    <row r="1428" spans="1:6" ht="16">
      <c r="A1428" s="4"/>
      <c r="B1428" s="1"/>
      <c r="C1428" s="4"/>
      <c r="D1428" s="5"/>
      <c r="E1428" s="3"/>
      <c r="F1428" s="3"/>
    </row>
    <row r="1429" spans="1:6" ht="16">
      <c r="A1429" s="4"/>
      <c r="B1429" s="1"/>
      <c r="C1429" s="4"/>
      <c r="D1429" s="5"/>
      <c r="E1429" s="3"/>
      <c r="F1429" s="3"/>
    </row>
    <row r="1430" spans="1:6" ht="16">
      <c r="A1430" s="4"/>
      <c r="B1430" s="1"/>
      <c r="C1430" s="4"/>
      <c r="D1430" s="5"/>
      <c r="E1430" s="3"/>
      <c r="F1430" s="3"/>
    </row>
    <row r="1431" spans="1:6" ht="16">
      <c r="A1431" s="4"/>
      <c r="B1431" s="1"/>
      <c r="C1431" s="4"/>
      <c r="D1431" s="5"/>
      <c r="E1431" s="3"/>
      <c r="F1431" s="3"/>
    </row>
    <row r="1432" spans="1:6" ht="16">
      <c r="A1432" s="4"/>
      <c r="B1432" s="1"/>
      <c r="C1432" s="4"/>
      <c r="D1432" s="5"/>
      <c r="E1432" s="3"/>
      <c r="F1432" s="3"/>
    </row>
    <row r="1433" spans="1:6" ht="16">
      <c r="A1433" s="4"/>
      <c r="B1433" s="1"/>
      <c r="C1433" s="4"/>
      <c r="D1433" s="5"/>
      <c r="E1433" s="3"/>
      <c r="F1433" s="3"/>
    </row>
    <row r="1434" spans="1:6" ht="16">
      <c r="A1434" s="4"/>
      <c r="B1434" s="1"/>
      <c r="C1434" s="4"/>
      <c r="D1434" s="5"/>
      <c r="E1434" s="3"/>
      <c r="F1434" s="3"/>
    </row>
    <row r="1435" spans="1:6" ht="16">
      <c r="A1435" s="4"/>
      <c r="B1435" s="1"/>
      <c r="C1435" s="4"/>
      <c r="D1435" s="5"/>
      <c r="E1435" s="3"/>
      <c r="F1435" s="3"/>
    </row>
    <row r="1436" spans="1:6" ht="16">
      <c r="A1436" s="4"/>
      <c r="B1436" s="1"/>
      <c r="C1436" s="4"/>
      <c r="D1436" s="5"/>
      <c r="E1436" s="3"/>
      <c r="F1436" s="3"/>
    </row>
    <row r="1437" spans="1:6" ht="16">
      <c r="A1437" s="4"/>
      <c r="B1437" s="1"/>
      <c r="C1437" s="4"/>
      <c r="D1437" s="5"/>
      <c r="E1437" s="3"/>
      <c r="F1437" s="3"/>
    </row>
    <row r="1438" spans="1:6" ht="16">
      <c r="A1438" s="4"/>
      <c r="B1438" s="1"/>
      <c r="C1438" s="4"/>
      <c r="D1438" s="5"/>
      <c r="E1438" s="3"/>
      <c r="F1438" s="3"/>
    </row>
    <row r="1439" spans="1:6" ht="16">
      <c r="A1439" s="4"/>
      <c r="B1439" s="1"/>
      <c r="C1439" s="4"/>
      <c r="D1439" s="5"/>
      <c r="E1439" s="3"/>
      <c r="F1439" s="3"/>
    </row>
    <row r="1440" spans="1:6" ht="16">
      <c r="A1440" s="4"/>
      <c r="B1440" s="1"/>
      <c r="C1440" s="4"/>
      <c r="D1440" s="5"/>
      <c r="E1440" s="3"/>
      <c r="F1440" s="3"/>
    </row>
    <row r="1441" spans="1:6" ht="16">
      <c r="A1441" s="4"/>
      <c r="B1441" s="1"/>
      <c r="C1441" s="4"/>
      <c r="D1441" s="5"/>
      <c r="E1441" s="3"/>
      <c r="F1441" s="3"/>
    </row>
    <row r="1442" spans="1:6" ht="16">
      <c r="A1442" s="4"/>
      <c r="B1442" s="1"/>
      <c r="C1442" s="4"/>
      <c r="D1442" s="5"/>
      <c r="E1442" s="3"/>
      <c r="F1442" s="3"/>
    </row>
    <row r="1443" spans="1:6" ht="16">
      <c r="A1443" s="4"/>
      <c r="B1443" s="1"/>
      <c r="C1443" s="4"/>
      <c r="D1443" s="5"/>
      <c r="E1443" s="3"/>
      <c r="F1443" s="3"/>
    </row>
    <row r="1444" spans="1:6" ht="16">
      <c r="A1444" s="4"/>
      <c r="B1444" s="1"/>
      <c r="C1444" s="4"/>
      <c r="D1444" s="5"/>
      <c r="E1444" s="3"/>
      <c r="F1444" s="3"/>
    </row>
    <row r="1445" spans="1:6" ht="16">
      <c r="A1445" s="4"/>
      <c r="B1445" s="1"/>
      <c r="C1445" s="4"/>
      <c r="D1445" s="5"/>
      <c r="E1445" s="3"/>
      <c r="F1445" s="3"/>
    </row>
    <row r="1446" spans="1:6" ht="16">
      <c r="A1446" s="4"/>
      <c r="B1446" s="1"/>
      <c r="C1446" s="4"/>
      <c r="D1446" s="5"/>
      <c r="E1446" s="3"/>
      <c r="F1446" s="3"/>
    </row>
    <row r="1447" spans="1:6" ht="16">
      <c r="A1447" s="4"/>
      <c r="B1447" s="1"/>
      <c r="C1447" s="4"/>
      <c r="D1447" s="5"/>
      <c r="E1447" s="3"/>
      <c r="F1447" s="3"/>
    </row>
    <row r="1448" spans="1:6" ht="16">
      <c r="A1448" s="4"/>
      <c r="B1448" s="1"/>
      <c r="C1448" s="4"/>
      <c r="D1448" s="5"/>
      <c r="E1448" s="3"/>
      <c r="F1448" s="3"/>
    </row>
    <row r="1449" spans="1:6" ht="16">
      <c r="A1449" s="4"/>
      <c r="B1449" s="1"/>
      <c r="C1449" s="4"/>
      <c r="D1449" s="5"/>
      <c r="E1449" s="3"/>
      <c r="F1449" s="3"/>
    </row>
    <row r="1450" spans="1:6" ht="16">
      <c r="A1450" s="4"/>
      <c r="B1450" s="1"/>
      <c r="C1450" s="4"/>
      <c r="D1450" s="5"/>
      <c r="E1450" s="3"/>
      <c r="F1450" s="3"/>
    </row>
    <row r="1451" spans="1:6" ht="16">
      <c r="A1451" s="4"/>
      <c r="B1451" s="1"/>
      <c r="C1451" s="4"/>
      <c r="D1451" s="5"/>
      <c r="E1451" s="3"/>
      <c r="F1451" s="3"/>
    </row>
    <row r="1452" spans="1:6" ht="16">
      <c r="A1452" s="4"/>
      <c r="B1452" s="1"/>
      <c r="C1452" s="4"/>
      <c r="D1452" s="5"/>
      <c r="E1452" s="3"/>
      <c r="F1452" s="3"/>
    </row>
    <row r="1453" spans="1:6" ht="16">
      <c r="A1453" s="4"/>
      <c r="B1453" s="1"/>
      <c r="C1453" s="4"/>
      <c r="D1453" s="5"/>
      <c r="E1453" s="3"/>
      <c r="F1453" s="3"/>
    </row>
    <row r="1454" spans="1:6" ht="16">
      <c r="A1454" s="4"/>
      <c r="B1454" s="1"/>
      <c r="C1454" s="4"/>
      <c r="D1454" s="5"/>
      <c r="E1454" s="3"/>
      <c r="F1454" s="3"/>
    </row>
    <row r="1455" spans="1:6" ht="16">
      <c r="A1455" s="4"/>
      <c r="B1455" s="1"/>
      <c r="C1455" s="4"/>
      <c r="D1455" s="5"/>
      <c r="E1455" s="3"/>
      <c r="F1455" s="3"/>
    </row>
    <row r="1456" spans="1:6" ht="16">
      <c r="A1456" s="4"/>
      <c r="B1456" s="1"/>
      <c r="C1456" s="4"/>
      <c r="D1456" s="5"/>
      <c r="E1456" s="3"/>
      <c r="F1456" s="3"/>
    </row>
    <row r="1457" spans="1:6" ht="16">
      <c r="A1457" s="4"/>
      <c r="B1457" s="1"/>
      <c r="C1457" s="4"/>
      <c r="D1457" s="5"/>
      <c r="E1457" s="3"/>
      <c r="F1457" s="3"/>
    </row>
    <row r="1458" spans="1:6" ht="16">
      <c r="A1458" s="4"/>
      <c r="B1458" s="1"/>
      <c r="C1458" s="4"/>
      <c r="D1458" s="5"/>
      <c r="E1458" s="3"/>
      <c r="F1458" s="3"/>
    </row>
    <row r="1459" spans="1:6" ht="16">
      <c r="A1459" s="4"/>
      <c r="B1459" s="1"/>
      <c r="C1459" s="4"/>
      <c r="D1459" s="5"/>
      <c r="E1459" s="3"/>
      <c r="F1459" s="3"/>
    </row>
    <row r="1460" spans="1:6" ht="16">
      <c r="A1460" s="4"/>
      <c r="B1460" s="1"/>
      <c r="C1460" s="4"/>
      <c r="D1460" s="5"/>
      <c r="E1460" s="3"/>
      <c r="F1460" s="3"/>
    </row>
    <row r="1461" spans="1:6" ht="16">
      <c r="A1461" s="4"/>
      <c r="B1461" s="1"/>
      <c r="C1461" s="4"/>
      <c r="D1461" s="5"/>
      <c r="E1461" s="3"/>
      <c r="F1461" s="3"/>
    </row>
    <row r="1462" spans="1:6" ht="16">
      <c r="A1462" s="4"/>
      <c r="B1462" s="1"/>
      <c r="C1462" s="4"/>
      <c r="D1462" s="5"/>
      <c r="E1462" s="3"/>
      <c r="F1462" s="3"/>
    </row>
    <row r="1463" spans="1:6" ht="16">
      <c r="A1463" s="4"/>
      <c r="B1463" s="1"/>
      <c r="C1463" s="4"/>
      <c r="D1463" s="5"/>
      <c r="E1463" s="3"/>
      <c r="F1463" s="3"/>
    </row>
    <row r="1464" spans="1:6" ht="16">
      <c r="A1464" s="4"/>
      <c r="B1464" s="1"/>
      <c r="C1464" s="4"/>
      <c r="D1464" s="5"/>
      <c r="E1464" s="3"/>
      <c r="F1464" s="3"/>
    </row>
    <row r="1465" spans="1:6" ht="16">
      <c r="A1465" s="4"/>
      <c r="B1465" s="1"/>
      <c r="C1465" s="4"/>
      <c r="D1465" s="5"/>
      <c r="E1465" s="3"/>
      <c r="F1465" s="3"/>
    </row>
    <row r="1466" spans="1:6" ht="16">
      <c r="A1466" s="4"/>
      <c r="B1466" s="1"/>
      <c r="C1466" s="4"/>
      <c r="D1466" s="5"/>
      <c r="E1466" s="3"/>
      <c r="F1466" s="3"/>
    </row>
    <row r="1467" spans="1:6" ht="16">
      <c r="A1467" s="4"/>
      <c r="B1467" s="1"/>
      <c r="C1467" s="4"/>
      <c r="D1467" s="5"/>
      <c r="E1467" s="3"/>
      <c r="F1467" s="3"/>
    </row>
    <row r="1468" spans="1:6" ht="16">
      <c r="A1468" s="4"/>
      <c r="B1468" s="1"/>
      <c r="C1468" s="4"/>
      <c r="D1468" s="5"/>
      <c r="E1468" s="3"/>
      <c r="F1468" s="3"/>
    </row>
    <row r="1469" spans="1:6" ht="16">
      <c r="A1469" s="4"/>
      <c r="B1469" s="1"/>
      <c r="C1469" s="4"/>
      <c r="D1469" s="5"/>
      <c r="E1469" s="3"/>
      <c r="F1469" s="3"/>
    </row>
    <row r="1470" spans="1:6" ht="16">
      <c r="A1470" s="4"/>
      <c r="B1470" s="1"/>
      <c r="C1470" s="4"/>
      <c r="D1470" s="5"/>
      <c r="E1470" s="3"/>
      <c r="F1470" s="3"/>
    </row>
    <row r="1471" spans="1:6" ht="16">
      <c r="A1471" s="4"/>
      <c r="B1471" s="1"/>
      <c r="C1471" s="4"/>
      <c r="D1471" s="5"/>
      <c r="E1471" s="3"/>
      <c r="F1471" s="3"/>
    </row>
    <row r="1472" spans="1:6" ht="16">
      <c r="A1472" s="4"/>
      <c r="B1472" s="1"/>
      <c r="C1472" s="4"/>
      <c r="D1472" s="5"/>
      <c r="E1472" s="3"/>
      <c r="F1472" s="3"/>
    </row>
    <row r="1473" spans="1:6" ht="16">
      <c r="A1473" s="4"/>
      <c r="B1473" s="1"/>
      <c r="C1473" s="4"/>
      <c r="D1473" s="5"/>
      <c r="E1473" s="3"/>
      <c r="F1473" s="3"/>
    </row>
    <row r="1474" spans="1:6" ht="16">
      <c r="A1474" s="4"/>
      <c r="B1474" s="1"/>
      <c r="C1474" s="4"/>
      <c r="D1474" s="5"/>
      <c r="E1474" s="3"/>
      <c r="F1474" s="3"/>
    </row>
    <row r="1475" spans="1:6" ht="16">
      <c r="A1475" s="4"/>
      <c r="B1475" s="1"/>
      <c r="C1475" s="4"/>
      <c r="D1475" s="5"/>
      <c r="E1475" s="3"/>
      <c r="F1475" s="3"/>
    </row>
    <row r="1476" spans="1:6" ht="16">
      <c r="A1476" s="4"/>
      <c r="B1476" s="1"/>
      <c r="C1476" s="4"/>
      <c r="D1476" s="5"/>
      <c r="E1476" s="3"/>
      <c r="F1476" s="3"/>
    </row>
    <row r="1477" spans="1:6" ht="16">
      <c r="A1477" s="4"/>
      <c r="B1477" s="1"/>
      <c r="C1477" s="4"/>
      <c r="D1477" s="5"/>
      <c r="E1477" s="3"/>
      <c r="F1477" s="3"/>
    </row>
    <row r="1478" spans="1:6" ht="16">
      <c r="A1478" s="4"/>
      <c r="B1478" s="1"/>
      <c r="C1478" s="4"/>
      <c r="D1478" s="5"/>
      <c r="E1478" s="3"/>
      <c r="F1478" s="3"/>
    </row>
    <row r="1479" spans="1:6" ht="16">
      <c r="A1479" s="4"/>
      <c r="B1479" s="1"/>
      <c r="C1479" s="4"/>
      <c r="D1479" s="5"/>
      <c r="E1479" s="3"/>
      <c r="F1479" s="3"/>
    </row>
    <row r="1480" spans="1:6" ht="16">
      <c r="A1480" s="4"/>
      <c r="B1480" s="1"/>
      <c r="C1480" s="4"/>
      <c r="D1480" s="5"/>
      <c r="E1480" s="3"/>
      <c r="F1480" s="3"/>
    </row>
    <row r="1481" spans="1:6" ht="16">
      <c r="A1481" s="4"/>
      <c r="B1481" s="1"/>
      <c r="C1481" s="4"/>
      <c r="D1481" s="5"/>
      <c r="E1481" s="3"/>
      <c r="F1481" s="3"/>
    </row>
    <row r="1482" spans="1:6" ht="16">
      <c r="A1482" s="4"/>
      <c r="B1482" s="1"/>
      <c r="C1482" s="4"/>
      <c r="D1482" s="5"/>
      <c r="E1482" s="3"/>
      <c r="F1482" s="3"/>
    </row>
    <row r="1483" spans="1:6" ht="16">
      <c r="A1483" s="4"/>
      <c r="B1483" s="1"/>
      <c r="C1483" s="4"/>
      <c r="D1483" s="5"/>
      <c r="E1483" s="3"/>
      <c r="F1483" s="3"/>
    </row>
    <row r="1484" spans="1:6" ht="16">
      <c r="A1484" s="4"/>
      <c r="B1484" s="1"/>
      <c r="C1484" s="4"/>
      <c r="D1484" s="5"/>
      <c r="E1484" s="3"/>
      <c r="F1484" s="3"/>
    </row>
    <row r="1485" spans="1:6" ht="16">
      <c r="A1485" s="4"/>
      <c r="B1485" s="1"/>
      <c r="C1485" s="4"/>
      <c r="D1485" s="5"/>
      <c r="E1485" s="3"/>
      <c r="F1485" s="3"/>
    </row>
    <row r="1486" spans="1:6" ht="16">
      <c r="A1486" s="4"/>
      <c r="B1486" s="1"/>
      <c r="C1486" s="4"/>
      <c r="D1486" s="5"/>
      <c r="E1486" s="3"/>
      <c r="F1486" s="3"/>
    </row>
    <row r="1487" spans="1:6" ht="16">
      <c r="A1487" s="4"/>
      <c r="B1487" s="1"/>
      <c r="C1487" s="4"/>
      <c r="D1487" s="5"/>
      <c r="E1487" s="3"/>
      <c r="F1487" s="3"/>
    </row>
    <row r="1488" spans="1:6" ht="16">
      <c r="A1488" s="4"/>
      <c r="B1488" s="1"/>
      <c r="C1488" s="4"/>
      <c r="D1488" s="5"/>
      <c r="E1488" s="3"/>
      <c r="F1488" s="3"/>
    </row>
    <row r="1489" spans="1:6" ht="16">
      <c r="A1489" s="4"/>
      <c r="B1489" s="1"/>
      <c r="C1489" s="4"/>
      <c r="D1489" s="5"/>
      <c r="E1489" s="3"/>
      <c r="F1489" s="3"/>
    </row>
    <row r="1490" spans="1:6" ht="16">
      <c r="A1490" s="4"/>
      <c r="B1490" s="1"/>
      <c r="C1490" s="4"/>
      <c r="D1490" s="5"/>
      <c r="E1490" s="3"/>
      <c r="F1490" s="3"/>
    </row>
    <row r="1491" spans="1:6" ht="16">
      <c r="A1491" s="4"/>
      <c r="B1491" s="1"/>
      <c r="C1491" s="4"/>
      <c r="D1491" s="5"/>
      <c r="E1491" s="3"/>
      <c r="F1491" s="3"/>
    </row>
    <row r="1492" spans="1:6" ht="16">
      <c r="A1492" s="4"/>
      <c r="B1492" s="1"/>
      <c r="C1492" s="4"/>
      <c r="D1492" s="5"/>
      <c r="E1492" s="3"/>
      <c r="F1492" s="3"/>
    </row>
    <row r="1493" spans="1:6" ht="16">
      <c r="A1493" s="4"/>
      <c r="B1493" s="1"/>
      <c r="C1493" s="4"/>
      <c r="D1493" s="5"/>
      <c r="E1493" s="3"/>
      <c r="F1493" s="3"/>
    </row>
    <row r="1494" spans="1:6" ht="16">
      <c r="A1494" s="4"/>
      <c r="B1494" s="1"/>
      <c r="C1494" s="4"/>
      <c r="D1494" s="5"/>
      <c r="E1494" s="3"/>
      <c r="F1494" s="3"/>
    </row>
    <row r="1495" spans="1:6" ht="16">
      <c r="A1495" s="4"/>
      <c r="B1495" s="1"/>
      <c r="C1495" s="4"/>
      <c r="D1495" s="5"/>
      <c r="E1495" s="3"/>
      <c r="F1495" s="3"/>
    </row>
    <row r="1496" spans="1:6" ht="16">
      <c r="A1496" s="4"/>
      <c r="B1496" s="1"/>
      <c r="C1496" s="4"/>
      <c r="D1496" s="5"/>
      <c r="E1496" s="3"/>
      <c r="F1496" s="3"/>
    </row>
    <row r="1497" spans="1:6" ht="16">
      <c r="A1497" s="4"/>
      <c r="B1497" s="1"/>
      <c r="C1497" s="4"/>
      <c r="D1497" s="5"/>
      <c r="E1497" s="3"/>
      <c r="F1497" s="3"/>
    </row>
    <row r="1498" spans="1:6" ht="16">
      <c r="A1498" s="4"/>
      <c r="B1498" s="1"/>
      <c r="C1498" s="4"/>
      <c r="D1498" s="5"/>
      <c r="E1498" s="3"/>
      <c r="F1498" s="3"/>
    </row>
    <row r="1499" spans="1:6" ht="16">
      <c r="A1499" s="4"/>
      <c r="B1499" s="1"/>
      <c r="C1499" s="4"/>
      <c r="D1499" s="5"/>
      <c r="E1499" s="3"/>
      <c r="F1499" s="3"/>
    </row>
    <row r="1500" spans="1:6" ht="16">
      <c r="A1500" s="4"/>
      <c r="B1500" s="1"/>
      <c r="C1500" s="4"/>
      <c r="D1500" s="5"/>
      <c r="E1500" s="3"/>
      <c r="F1500" s="3"/>
    </row>
    <row r="1501" spans="1:6" ht="16">
      <c r="A1501" s="4"/>
      <c r="B1501" s="1"/>
      <c r="C1501" s="4"/>
      <c r="D1501" s="5"/>
      <c r="E1501" s="3"/>
      <c r="F1501" s="3"/>
    </row>
    <row r="1502" spans="1:6" ht="16">
      <c r="A1502" s="4"/>
      <c r="B1502" s="1"/>
      <c r="C1502" s="4"/>
      <c r="D1502" s="5"/>
      <c r="E1502" s="3"/>
      <c r="F1502" s="3"/>
    </row>
    <row r="1503" spans="1:6" ht="16">
      <c r="A1503" s="4"/>
      <c r="B1503" s="1"/>
      <c r="C1503" s="4"/>
      <c r="D1503" s="5"/>
      <c r="E1503" s="3"/>
      <c r="F1503" s="3"/>
    </row>
    <row r="1504" spans="1:6" ht="16">
      <c r="A1504" s="4"/>
      <c r="B1504" s="1"/>
      <c r="C1504" s="4"/>
      <c r="D1504" s="5"/>
      <c r="E1504" s="3"/>
      <c r="F1504" s="3"/>
    </row>
    <row r="1505" spans="1:6" ht="16">
      <c r="A1505" s="4"/>
      <c r="B1505" s="1"/>
      <c r="C1505" s="4"/>
      <c r="D1505" s="5"/>
      <c r="E1505" s="3"/>
      <c r="F1505" s="3"/>
    </row>
    <row r="1506" spans="1:6" ht="16">
      <c r="A1506" s="4"/>
      <c r="B1506" s="1"/>
      <c r="C1506" s="4"/>
      <c r="D1506" s="5"/>
      <c r="E1506" s="3"/>
      <c r="F1506" s="3"/>
    </row>
    <row r="1507" spans="1:6" ht="16">
      <c r="A1507" s="4"/>
      <c r="B1507" s="1"/>
      <c r="C1507" s="4"/>
      <c r="D1507" s="5"/>
      <c r="E1507" s="3"/>
      <c r="F1507" s="3"/>
    </row>
    <row r="1508" spans="1:6" ht="16">
      <c r="A1508" s="4"/>
      <c r="B1508" s="1"/>
      <c r="C1508" s="4"/>
      <c r="D1508" s="5"/>
      <c r="E1508" s="3"/>
      <c r="F1508" s="3"/>
    </row>
    <row r="1509" spans="1:6" ht="16">
      <c r="A1509" s="4"/>
      <c r="B1509" s="1"/>
      <c r="C1509" s="4"/>
      <c r="D1509" s="5"/>
      <c r="E1509" s="3"/>
      <c r="F1509" s="3"/>
    </row>
    <row r="1510" spans="1:6" ht="16">
      <c r="A1510" s="4"/>
      <c r="B1510" s="1"/>
      <c r="C1510" s="4"/>
      <c r="D1510" s="5"/>
      <c r="E1510" s="3"/>
      <c r="F1510" s="3"/>
    </row>
    <row r="1511" spans="1:6" ht="16">
      <c r="A1511" s="4"/>
      <c r="B1511" s="1"/>
      <c r="C1511" s="4"/>
      <c r="D1511" s="5"/>
      <c r="E1511" s="3"/>
      <c r="F1511" s="3"/>
    </row>
    <row r="1512" spans="1:6" ht="16">
      <c r="A1512" s="4"/>
      <c r="B1512" s="1"/>
      <c r="C1512" s="4"/>
      <c r="D1512" s="5"/>
      <c r="E1512" s="3"/>
      <c r="F1512" s="3"/>
    </row>
    <row r="1513" spans="1:6" ht="16">
      <c r="A1513" s="4"/>
      <c r="B1513" s="1"/>
      <c r="C1513" s="4"/>
      <c r="D1513" s="5"/>
      <c r="E1513" s="3"/>
      <c r="F1513" s="3"/>
    </row>
    <row r="1514" spans="1:6" ht="16">
      <c r="A1514" s="4"/>
      <c r="B1514" s="1"/>
      <c r="C1514" s="4"/>
      <c r="D1514" s="5"/>
      <c r="E1514" s="3"/>
      <c r="F1514" s="3"/>
    </row>
    <row r="1515" spans="1:6" ht="16">
      <c r="A1515" s="4"/>
      <c r="B1515" s="1"/>
      <c r="C1515" s="4"/>
      <c r="D1515" s="5"/>
      <c r="E1515" s="3"/>
      <c r="F1515" s="3"/>
    </row>
    <row r="1516" spans="1:6" ht="16">
      <c r="A1516" s="4"/>
      <c r="B1516" s="1"/>
      <c r="C1516" s="4"/>
      <c r="D1516" s="5"/>
      <c r="E1516" s="3"/>
      <c r="F1516" s="3"/>
    </row>
    <row r="1517" spans="1:6" ht="16">
      <c r="A1517" s="4"/>
      <c r="B1517" s="1"/>
      <c r="C1517" s="4"/>
      <c r="D1517" s="5"/>
      <c r="E1517" s="3"/>
      <c r="F1517" s="3"/>
    </row>
    <row r="1518" spans="1:6" ht="16">
      <c r="A1518" s="4"/>
      <c r="B1518" s="1"/>
      <c r="C1518" s="4"/>
      <c r="D1518" s="5"/>
      <c r="E1518" s="3"/>
      <c r="F1518" s="3"/>
    </row>
    <row r="1519" spans="1:6" ht="16">
      <c r="A1519" s="4"/>
      <c r="B1519" s="1"/>
      <c r="C1519" s="4"/>
      <c r="D1519" s="5"/>
      <c r="E1519" s="3"/>
      <c r="F1519" s="3"/>
    </row>
    <row r="1520" spans="1:6" ht="16">
      <c r="A1520" s="4"/>
      <c r="B1520" s="1"/>
      <c r="C1520" s="4"/>
      <c r="D1520" s="5"/>
      <c r="E1520" s="3"/>
      <c r="F1520" s="3"/>
    </row>
    <row r="1521" spans="1:6" ht="16">
      <c r="A1521" s="4"/>
      <c r="B1521" s="1"/>
      <c r="C1521" s="4"/>
      <c r="D1521" s="5"/>
      <c r="E1521" s="3"/>
      <c r="F1521" s="3"/>
    </row>
    <row r="1522" spans="1:6" ht="16">
      <c r="A1522" s="4"/>
      <c r="B1522" s="1"/>
      <c r="C1522" s="4"/>
      <c r="D1522" s="5"/>
      <c r="E1522" s="3"/>
      <c r="F1522" s="3"/>
    </row>
    <row r="1523" spans="1:6" ht="16">
      <c r="A1523" s="4"/>
      <c r="B1523" s="1"/>
      <c r="C1523" s="4"/>
      <c r="D1523" s="5"/>
      <c r="E1523" s="3"/>
      <c r="F1523" s="3"/>
    </row>
    <row r="1524" spans="1:6" ht="16">
      <c r="A1524" s="4"/>
      <c r="B1524" s="1"/>
      <c r="C1524" s="4"/>
      <c r="D1524" s="5"/>
      <c r="E1524" s="3"/>
      <c r="F1524" s="3"/>
    </row>
    <row r="1525" spans="1:6" ht="16">
      <c r="A1525" s="4"/>
      <c r="B1525" s="1"/>
      <c r="C1525" s="4"/>
      <c r="D1525" s="5"/>
      <c r="E1525" s="3"/>
      <c r="F1525" s="3"/>
    </row>
    <row r="1526" spans="1:6" ht="16">
      <c r="A1526" s="4"/>
      <c r="B1526" s="1"/>
      <c r="C1526" s="4"/>
      <c r="D1526" s="5"/>
      <c r="E1526" s="3"/>
      <c r="F1526" s="3"/>
    </row>
    <row r="1527" spans="1:6" ht="16">
      <c r="A1527" s="4"/>
      <c r="B1527" s="1"/>
      <c r="C1527" s="4"/>
      <c r="D1527" s="5"/>
      <c r="E1527" s="3"/>
      <c r="F1527" s="3"/>
    </row>
    <row r="1528" spans="1:6" ht="16">
      <c r="A1528" s="4"/>
      <c r="B1528" s="1"/>
      <c r="C1528" s="4"/>
      <c r="D1528" s="5"/>
      <c r="E1528" s="3"/>
      <c r="F1528" s="3"/>
    </row>
    <row r="1529" spans="1:6" ht="16">
      <c r="A1529" s="4"/>
      <c r="B1529" s="1"/>
      <c r="C1529" s="4"/>
      <c r="D1529" s="5"/>
      <c r="E1529" s="3"/>
      <c r="F1529" s="3"/>
    </row>
    <row r="1530" spans="1:6" ht="16">
      <c r="A1530" s="4"/>
      <c r="B1530" s="1"/>
      <c r="C1530" s="4"/>
      <c r="D1530" s="5"/>
      <c r="E1530" s="3"/>
      <c r="F1530" s="3"/>
    </row>
    <row r="1531" spans="1:6" ht="16">
      <c r="A1531" s="4"/>
      <c r="B1531" s="1"/>
      <c r="C1531" s="4"/>
      <c r="D1531" s="5"/>
      <c r="E1531" s="3"/>
      <c r="F1531" s="3"/>
    </row>
    <row r="1532" spans="1:6" ht="16">
      <c r="A1532" s="4"/>
      <c r="B1532" s="1"/>
      <c r="C1532" s="4"/>
      <c r="D1532" s="5"/>
      <c r="E1532" s="3"/>
      <c r="F1532" s="3"/>
    </row>
    <row r="1533" spans="1:6" ht="16">
      <c r="A1533" s="4"/>
      <c r="B1533" s="1"/>
      <c r="C1533" s="4"/>
      <c r="D1533" s="5"/>
      <c r="E1533" s="3"/>
      <c r="F1533" s="3"/>
    </row>
    <row r="1534" spans="1:6" ht="16">
      <c r="A1534" s="4"/>
      <c r="B1534" s="1"/>
      <c r="C1534" s="4"/>
      <c r="D1534" s="5"/>
      <c r="E1534" s="3"/>
      <c r="F1534" s="3"/>
    </row>
    <row r="1535" spans="1:6" ht="16">
      <c r="A1535" s="4"/>
      <c r="B1535" s="1"/>
      <c r="C1535" s="4"/>
      <c r="D1535" s="5"/>
      <c r="E1535" s="3"/>
      <c r="F1535" s="3"/>
    </row>
    <row r="1536" spans="1:6" ht="16">
      <c r="A1536" s="4"/>
      <c r="B1536" s="1"/>
      <c r="C1536" s="4"/>
      <c r="D1536" s="5"/>
      <c r="E1536" s="3"/>
      <c r="F1536" s="3"/>
    </row>
    <row r="1537" spans="1:6" ht="16">
      <c r="A1537" s="4"/>
      <c r="B1537" s="1"/>
      <c r="C1537" s="4"/>
      <c r="D1537" s="5"/>
      <c r="E1537" s="3"/>
      <c r="F1537" s="3"/>
    </row>
    <row r="1538" spans="1:6" ht="16">
      <c r="A1538" s="4"/>
      <c r="B1538" s="1"/>
      <c r="C1538" s="4"/>
      <c r="D1538" s="5"/>
      <c r="E1538" s="3"/>
      <c r="F1538" s="3"/>
    </row>
    <row r="1539" spans="1:6" ht="16">
      <c r="A1539" s="4"/>
      <c r="B1539" s="1"/>
      <c r="C1539" s="4"/>
      <c r="D1539" s="5"/>
      <c r="E1539" s="3"/>
      <c r="F1539" s="3"/>
    </row>
    <row r="1540" spans="1:6" ht="16">
      <c r="A1540" s="4"/>
      <c r="B1540" s="1"/>
      <c r="C1540" s="4"/>
      <c r="D1540" s="5"/>
      <c r="E1540" s="3"/>
      <c r="F1540" s="3"/>
    </row>
    <row r="1541" spans="1:6" ht="16">
      <c r="A1541" s="4"/>
      <c r="B1541" s="1"/>
      <c r="C1541" s="4"/>
      <c r="D1541" s="5"/>
      <c r="E1541" s="3"/>
      <c r="F1541" s="3"/>
    </row>
    <row r="1542" spans="1:6" ht="16">
      <c r="A1542" s="4"/>
      <c r="B1542" s="1"/>
      <c r="C1542" s="4"/>
      <c r="D1542" s="5"/>
      <c r="E1542" s="3"/>
      <c r="F1542" s="3"/>
    </row>
    <row r="1543" spans="1:6" ht="16">
      <c r="A1543" s="4"/>
      <c r="B1543" s="1"/>
      <c r="C1543" s="4"/>
      <c r="D1543" s="5"/>
      <c r="E1543" s="3"/>
      <c r="F1543" s="3"/>
    </row>
    <row r="1544" spans="1:6" ht="16">
      <c r="A1544" s="4"/>
      <c r="B1544" s="1"/>
      <c r="C1544" s="4"/>
      <c r="D1544" s="5"/>
      <c r="E1544" s="3"/>
      <c r="F1544" s="3"/>
    </row>
    <row r="1545" spans="1:6" ht="16">
      <c r="A1545" s="4"/>
      <c r="B1545" s="1"/>
      <c r="C1545" s="4"/>
      <c r="D1545" s="5"/>
      <c r="E1545" s="3"/>
      <c r="F1545" s="3"/>
    </row>
    <row r="1546" spans="1:6" ht="16">
      <c r="A1546" s="4"/>
      <c r="B1546" s="1"/>
      <c r="C1546" s="4"/>
      <c r="D1546" s="5"/>
      <c r="E1546" s="3"/>
      <c r="F1546" s="3"/>
    </row>
    <row r="1547" spans="1:6" ht="16">
      <c r="A1547" s="4"/>
      <c r="B1547" s="1"/>
      <c r="C1547" s="4"/>
      <c r="D1547" s="5"/>
      <c r="E1547" s="3"/>
      <c r="F1547" s="3"/>
    </row>
    <row r="1548" spans="1:6" ht="16">
      <c r="A1548" s="4"/>
      <c r="B1548" s="1"/>
      <c r="C1548" s="4"/>
      <c r="D1548" s="5"/>
      <c r="E1548" s="3"/>
      <c r="F1548" s="3"/>
    </row>
    <row r="1549" spans="1:6" ht="16">
      <c r="A1549" s="4"/>
      <c r="B1549" s="1"/>
      <c r="C1549" s="4"/>
      <c r="D1549" s="5"/>
      <c r="E1549" s="3"/>
      <c r="F1549" s="3"/>
    </row>
    <row r="1550" spans="1:6" ht="16">
      <c r="A1550" s="4"/>
      <c r="B1550" s="1"/>
      <c r="C1550" s="4"/>
      <c r="D1550" s="5"/>
      <c r="E1550" s="3"/>
      <c r="F1550" s="3"/>
    </row>
    <row r="1551" spans="1:6" ht="16">
      <c r="A1551" s="4"/>
      <c r="B1551" s="1"/>
      <c r="C1551" s="4"/>
      <c r="D1551" s="5"/>
      <c r="E1551" s="3"/>
      <c r="F1551" s="3"/>
    </row>
    <row r="1552" spans="1:6" ht="16">
      <c r="A1552" s="4"/>
      <c r="B1552" s="1"/>
      <c r="C1552" s="4"/>
      <c r="D1552" s="5"/>
      <c r="E1552" s="3"/>
      <c r="F1552" s="3"/>
    </row>
    <row r="1553" spans="1:7" ht="16">
      <c r="A1553" s="4"/>
      <c r="B1553" s="1"/>
      <c r="C1553" s="4"/>
      <c r="D1553" s="5"/>
      <c r="E1553" s="3"/>
      <c r="F1553" s="3"/>
    </row>
    <row r="1554" spans="1:7" ht="16">
      <c r="A1554" s="4"/>
      <c r="B1554" s="1"/>
      <c r="C1554" s="4"/>
      <c r="D1554" s="5"/>
      <c r="E1554" s="3"/>
      <c r="F1554" s="3"/>
    </row>
    <row r="1555" spans="1:7" ht="16">
      <c r="A1555" s="4"/>
      <c r="B1555" s="1"/>
      <c r="C1555" s="4"/>
      <c r="D1555" s="5"/>
      <c r="E1555" s="3"/>
      <c r="F1555" s="3"/>
    </row>
    <row r="1556" spans="1:7" ht="16">
      <c r="A1556" s="4"/>
      <c r="B1556" s="1"/>
      <c r="C1556" s="4"/>
      <c r="D1556" s="5"/>
      <c r="E1556" s="3"/>
      <c r="F1556" s="3"/>
    </row>
    <row r="1557" spans="1:7" ht="16">
      <c r="A1557" s="4"/>
      <c r="B1557" s="1"/>
      <c r="C1557" s="4"/>
      <c r="D1557" s="5"/>
      <c r="E1557" s="3"/>
      <c r="F1557" s="3"/>
    </row>
    <row r="1558" spans="1:7" ht="16">
      <c r="A1558" s="4"/>
      <c r="B1558" s="1"/>
      <c r="C1558" s="4"/>
      <c r="D1558" s="5"/>
      <c r="E1558" s="3"/>
      <c r="F1558" s="3"/>
      <c r="G1558" s="3"/>
    </row>
    <row r="1559" spans="1:7" ht="16">
      <c r="A1559" s="4"/>
      <c r="B1559" s="1"/>
      <c r="C1559" s="4"/>
      <c r="D1559" s="5"/>
      <c r="E1559" s="3"/>
      <c r="F1559" s="3"/>
    </row>
    <row r="1560" spans="1:7" ht="16">
      <c r="A1560" s="4"/>
      <c r="B1560" s="1"/>
      <c r="C1560" s="4"/>
      <c r="D1560" s="5"/>
      <c r="E1560" s="3"/>
      <c r="F1560" s="3"/>
    </row>
  </sheetData>
  <sortState xmlns:xlrd2="http://schemas.microsoft.com/office/spreadsheetml/2017/richdata2" ref="A2:G1560">
    <sortCondition ref="E2:E1560"/>
  </sortState>
  <hyperlinks>
    <hyperlink ref="D2" r:id="rId1" display="https://pubmed.ncbi.nlm.nih.gov/37532126" xr:uid="{53AABAE7-B43D-5940-81F1-84B8BDFF80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001"/>
  <sheetViews>
    <sheetView topLeftCell="R1" zoomScale="130" zoomScaleNormal="130" workbookViewId="0">
      <pane ySplit="1" topLeftCell="A25" activePane="bottomLeft" state="frozen"/>
      <selection activeCell="U1" sqref="U1"/>
      <selection pane="bottomLeft" activeCell="U73" sqref="U73"/>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9.1640625" customWidth="1"/>
    <col min="15" max="15" width="6.83203125" customWidth="1"/>
    <col min="16" max="17" width="10.5" customWidth="1"/>
    <col min="18" max="18" width="13.6640625" customWidth="1"/>
    <col min="19" max="20" width="10.5" customWidth="1"/>
    <col min="21" max="21" width="28" style="64" customWidth="1"/>
    <col min="22" max="22" width="20.6640625" customWidth="1"/>
    <col min="23" max="23" width="13.5" style="64" customWidth="1"/>
    <col min="24" max="24" width="17.5" style="89" customWidth="1"/>
    <col min="25" max="25" width="17.6640625" style="89" customWidth="1"/>
    <col min="26" max="26" width="15" style="89" customWidth="1"/>
    <col min="27" max="27" width="8" style="64" customWidth="1"/>
    <col min="28" max="28" width="6.6640625" customWidth="1"/>
    <col min="29" max="29" width="5.5" customWidth="1"/>
    <col min="30" max="30" width="5.1640625" customWidth="1"/>
    <col min="31" max="31" width="8" customWidth="1"/>
    <col min="32" max="32" width="11.6640625" customWidth="1"/>
    <col min="33" max="33" width="7" customWidth="1"/>
    <col min="34" max="34" width="7.6640625" customWidth="1"/>
    <col min="35" max="35" width="8.1640625" customWidth="1"/>
    <col min="36" max="47" width="5.33203125" customWidth="1"/>
    <col min="48" max="49" width="8" customWidth="1"/>
    <col min="50" max="50" width="8.1640625" customWidth="1"/>
    <col min="51" max="52" width="10.5" customWidth="1"/>
  </cols>
  <sheetData>
    <row r="1" spans="1:79" ht="15.75" customHeight="1">
      <c r="A1" s="2" t="s">
        <v>0</v>
      </c>
      <c r="B1" s="2" t="s">
        <v>3</v>
      </c>
      <c r="C1" s="2" t="s">
        <v>1</v>
      </c>
      <c r="D1" s="2" t="s">
        <v>2633</v>
      </c>
      <c r="E1" s="2" t="s">
        <v>2634</v>
      </c>
      <c r="F1" s="2" t="s">
        <v>2635</v>
      </c>
      <c r="G1" s="2" t="s">
        <v>4</v>
      </c>
      <c r="H1" s="2" t="s">
        <v>5</v>
      </c>
      <c r="I1" s="2" t="s">
        <v>6</v>
      </c>
      <c r="J1" s="10"/>
      <c r="K1" s="2"/>
      <c r="M1" s="2"/>
      <c r="N1" s="2"/>
      <c r="O1" s="2"/>
      <c r="Q1" s="2"/>
    </row>
    <row r="2" spans="1:79" ht="15.75" customHeight="1">
      <c r="A2" s="2">
        <v>28392330</v>
      </c>
      <c r="B2" s="11" t="s">
        <v>2636</v>
      </c>
      <c r="C2" s="2" t="s">
        <v>512</v>
      </c>
      <c r="D2" s="2" t="s">
        <v>2637</v>
      </c>
      <c r="E2" s="2" t="s">
        <v>2638</v>
      </c>
      <c r="F2" s="2">
        <v>2017</v>
      </c>
      <c r="G2" s="2" t="s">
        <v>10</v>
      </c>
      <c r="I2" s="2"/>
      <c r="J2" s="12" t="s">
        <v>2642</v>
      </c>
      <c r="K2" s="2"/>
      <c r="L2" s="2"/>
      <c r="M2" s="2"/>
      <c r="N2" s="2"/>
      <c r="O2" s="2"/>
      <c r="Q2" s="2"/>
      <c r="X2" s="89" t="s">
        <v>3393</v>
      </c>
      <c r="Y2" s="89" t="s">
        <v>3409</v>
      </c>
      <c r="Z2" s="89" t="s">
        <v>3410</v>
      </c>
      <c r="AB2" s="70" t="s">
        <v>3684</v>
      </c>
      <c r="AY2" s="70"/>
    </row>
    <row r="3" spans="1:79" ht="27" customHeight="1">
      <c r="A3" s="2">
        <v>31380705</v>
      </c>
      <c r="B3" s="11" t="s">
        <v>2639</v>
      </c>
      <c r="C3" s="2" t="s">
        <v>546</v>
      </c>
      <c r="D3" s="2" t="s">
        <v>2640</v>
      </c>
      <c r="E3" s="2" t="s">
        <v>2641</v>
      </c>
      <c r="F3" s="2">
        <v>2019</v>
      </c>
      <c r="G3" s="2" t="s">
        <v>10</v>
      </c>
      <c r="I3" s="2"/>
      <c r="J3" s="13" t="s">
        <v>62</v>
      </c>
      <c r="K3" s="10">
        <f>SUM(K5:K20)</f>
        <v>19</v>
      </c>
      <c r="L3" s="7" t="s">
        <v>58</v>
      </c>
      <c r="M3" s="10">
        <f>SUM(M5:M20)</f>
        <v>20</v>
      </c>
      <c r="N3" s="10" t="s">
        <v>54</v>
      </c>
      <c r="O3" s="10">
        <f>SUM(O5:O20)</f>
        <v>146</v>
      </c>
      <c r="Q3" s="2" t="s">
        <v>3643</v>
      </c>
      <c r="U3" s="95" t="s">
        <v>3637</v>
      </c>
      <c r="V3" s="96"/>
      <c r="W3" s="97" t="s">
        <v>3699</v>
      </c>
      <c r="X3" s="98" t="s">
        <v>3701</v>
      </c>
      <c r="Y3" s="98" t="s">
        <v>3700</v>
      </c>
      <c r="Z3" s="99" t="s">
        <v>3707</v>
      </c>
      <c r="AA3" s="82"/>
      <c r="AB3" t="str" cm="1">
        <f t="array" ref="AB3:AB75">_xlfn.UNIQUE('Included studies 2023 update'!C:C)</f>
        <v>Pubmed Link</v>
      </c>
      <c r="AC3" s="57" t="s">
        <v>3644</v>
      </c>
      <c r="AD3" s="57" t="s">
        <v>3374</v>
      </c>
      <c r="AE3" s="57" t="s">
        <v>3377</v>
      </c>
      <c r="AF3" s="58" t="s">
        <v>3645</v>
      </c>
      <c r="AG3" s="58" t="s">
        <v>3388</v>
      </c>
      <c r="AH3" s="58" t="s">
        <v>3389</v>
      </c>
      <c r="AI3" s="83" t="s">
        <v>3657</v>
      </c>
      <c r="AJ3" s="83" t="s">
        <v>3665</v>
      </c>
      <c r="AK3" s="83" t="s">
        <v>3666</v>
      </c>
      <c r="AL3" s="84" t="s">
        <v>3667</v>
      </c>
      <c r="AM3" s="84" t="s">
        <v>3668</v>
      </c>
      <c r="AN3" s="84" t="s">
        <v>3669</v>
      </c>
      <c r="AO3" s="84" t="s">
        <v>3675</v>
      </c>
      <c r="AP3" s="84" t="s">
        <v>3677</v>
      </c>
      <c r="AQ3" s="84" t="s">
        <v>3676</v>
      </c>
      <c r="AR3" s="84" t="s">
        <v>3670</v>
      </c>
      <c r="AS3" s="84" t="s">
        <v>3672</v>
      </c>
      <c r="AT3" s="84" t="s">
        <v>3671</v>
      </c>
      <c r="AU3" s="84" t="s">
        <v>3673</v>
      </c>
      <c r="AV3" s="83" t="s">
        <v>3660</v>
      </c>
      <c r="AW3" s="83" t="s">
        <v>3658</v>
      </c>
      <c r="AX3" s="3" t="s">
        <v>3708</v>
      </c>
      <c r="AY3" s="3" t="s">
        <v>3709</v>
      </c>
      <c r="AZ3" s="3" t="s">
        <v>3710</v>
      </c>
      <c r="BA3" s="3" t="s">
        <v>3711</v>
      </c>
      <c r="BB3" s="3" t="s">
        <v>3712</v>
      </c>
      <c r="BC3" s="3" t="s">
        <v>3713</v>
      </c>
      <c r="BD3" s="3" t="s">
        <v>3714</v>
      </c>
      <c r="BE3" s="3" t="s">
        <v>3715</v>
      </c>
      <c r="BF3" s="3" t="s">
        <v>3716</v>
      </c>
      <c r="BG3" s="3" t="s">
        <v>3717</v>
      </c>
      <c r="BH3" s="3" t="s">
        <v>3718</v>
      </c>
      <c r="BI3" s="3" t="s">
        <v>3719</v>
      </c>
      <c r="BJ3" s="3" t="s">
        <v>3720</v>
      </c>
      <c r="BK3" s="3" t="s">
        <v>3721</v>
      </c>
      <c r="BL3" s="3" t="s">
        <v>3722</v>
      </c>
      <c r="BM3" s="3" t="s">
        <v>3723</v>
      </c>
      <c r="BN3" s="3" t="s">
        <v>3724</v>
      </c>
      <c r="BO3" s="3" t="s">
        <v>3725</v>
      </c>
      <c r="BP3" s="135" t="s">
        <v>3748</v>
      </c>
      <c r="BQ3" s="135" t="s">
        <v>3749</v>
      </c>
      <c r="BR3" s="135" t="s">
        <v>3750</v>
      </c>
      <c r="BS3" s="135" t="s">
        <v>3751</v>
      </c>
      <c r="BT3" s="84"/>
      <c r="BU3" s="84"/>
      <c r="BV3" s="84"/>
      <c r="BW3" s="84"/>
      <c r="BX3" s="84"/>
      <c r="BY3" s="84"/>
      <c r="BZ3" s="83"/>
      <c r="CA3" s="83"/>
    </row>
    <row r="4" spans="1:79" ht="13" customHeight="1">
      <c r="A4" s="2">
        <v>11593320</v>
      </c>
      <c r="B4" s="11" t="s">
        <v>2643</v>
      </c>
      <c r="C4" s="2" t="s">
        <v>243</v>
      </c>
      <c r="D4" s="2" t="s">
        <v>2644</v>
      </c>
      <c r="E4" s="2" t="s">
        <v>2645</v>
      </c>
      <c r="F4" s="2">
        <v>2001</v>
      </c>
      <c r="G4" s="2" t="s">
        <v>10</v>
      </c>
      <c r="I4" s="2"/>
      <c r="J4" s="8" t="s">
        <v>2649</v>
      </c>
      <c r="L4" s="8" t="s">
        <v>2649</v>
      </c>
      <c r="M4" s="2"/>
      <c r="N4" s="8" t="s">
        <v>2649</v>
      </c>
      <c r="Q4" s="2" cm="1">
        <f t="array" ref="Q4:Q31">_xlfn.UNIQUE(_xlfn._xlws.FILTER('Included studies 2023 update'!A:A,('Included studies 2023 update'!E:E="No")))</f>
        <v>28392330</v>
      </c>
      <c r="R4">
        <f>IF(ISNUMBER(Q4), _xlfn.XLOOKUP(Q4,'Included studies 2023 update'!A:A,'Included studies 2023 update'!K:K)+_xlfn.XLOOKUP(Q4,'Included studies 2023 update'!A:A,'Included studies 2023 update'!L:L),"")</f>
        <v>273</v>
      </c>
      <c r="S4">
        <f>SUM(R:R)</f>
        <v>4241</v>
      </c>
      <c r="U4" s="95" t="s">
        <v>3638</v>
      </c>
      <c r="V4" s="100" t="s">
        <v>3652</v>
      </c>
      <c r="W4" s="101">
        <f>'Screening 2023 update'!M26</f>
        <v>28</v>
      </c>
      <c r="X4" s="102">
        <f>COUNTIFS('Included studies 2023 update'!$E:$E,"No",'Included studies 2023 update'!$H:$H,X2)</f>
        <v>25</v>
      </c>
      <c r="Y4" s="102">
        <f>COUNTIFS('Included studies 2023 update'!$E:$E,"No",'Included studies 2023 update'!$H:$H,Y2)</f>
        <v>8</v>
      </c>
      <c r="Z4" s="103">
        <f>COUNTIFS('Included studies 2023 update'!$E:$E,"No",'Included studies 2023 update'!$H:$H,Z2)</f>
        <v>7</v>
      </c>
      <c r="AA4" s="82"/>
      <c r="AB4" t="str">
        <v>https://pubmed.ncbi.nlm.nih.gov/28392330/</v>
      </c>
      <c r="AC4">
        <f>IF(ISTEXT(AB4),_xlfn.XLOOKUP(AB4,'Included studies 2023 update'!C:C,'Included studies 2023 update'!J:J),"")</f>
        <v>273</v>
      </c>
      <c r="AD4" t="str">
        <f>IF(ISTEXT(AB4),_xlfn.XLOOKUP(AB4,'Included studies 2023 update'!C:C,'Included studies 2023 update'!E:E),"")</f>
        <v>No</v>
      </c>
      <c r="AE4" t="str">
        <f>IF(ISTEXT(AB4),_xlfn.XLOOKUP(AB4,'Included studies 2023 update'!C:C,'Included studies 2023 update'!I:I),"")</f>
        <v>Pediatric</v>
      </c>
      <c r="AF4" t="str">
        <f>IF(ISTEXT(AB4),_xlfn.XLOOKUP(AB4,'Included studies 2023 update'!C:C,'Included studies 2023 update'!U:U),"")</f>
        <v>ACY</v>
      </c>
      <c r="AG4" t="str">
        <f>IF(ISTEXT(AB4),_xlfn.XLOOKUP(AB4,'Included studies 2023 update'!C:C,'Included studies 2023 update'!X:X),"")</f>
        <v>Plasma</v>
      </c>
      <c r="AH4">
        <f>IF(ISTEXT(AB4),_xlfn.XLOOKUP(AB4,'Included studies 2023 update'!C:C,'Included studies 2023 update'!Y:Y),"")</f>
        <v>1000</v>
      </c>
      <c r="AI4" t="str">
        <f>IF(ISTEXT($AB4),_xlfn.XLOOKUP($AB4,'Included studies 2023 update'!$C:$C,'Included studies 2023 update'!Z:Z),"")</f>
        <v>Retrospective</v>
      </c>
      <c r="AJ4">
        <f>IF(ISTEXT($AB4),_xlfn.XLOOKUP($AB4,'Included studies 2023 update'!$C:$C,'Included studies 2023 update'!AA:AA),"")</f>
        <v>0</v>
      </c>
      <c r="AK4">
        <f>IF(ISTEXT($AB4),_xlfn.XLOOKUP($AB4,'Included studies 2023 update'!$C:$C,'Included studies 2023 update'!AB:AB),"")</f>
        <v>0</v>
      </c>
      <c r="AL4">
        <f>IF(ISTEXT($AB4),_xlfn.XLOOKUP($AB4,'Included studies 2023 update'!$C:$C,'Included studies 2023 update'!AC:AC),"")</f>
        <v>0</v>
      </c>
      <c r="AM4">
        <f>IF(ISTEXT($AB4),_xlfn.XLOOKUP($AB4,'Included studies 2023 update'!$C:$C,'Included studies 2023 update'!AD:AD),"")</f>
        <v>0</v>
      </c>
      <c r="AN4">
        <f>IF(ISTEXT($AB4),_xlfn.XLOOKUP($AB4,'Included studies 2023 update'!$C:$C,'Included studies 2023 update'!AE:AE),"")</f>
        <v>0</v>
      </c>
      <c r="AO4">
        <f>IF(ISTEXT($AB4),_xlfn.XLOOKUP($AB4,'Included studies 2023 update'!$C:$C,'Included studies 2023 update'!AF:AF),"")</f>
        <v>0</v>
      </c>
      <c r="AP4">
        <f>IF(ISTEXT($AB4),_xlfn.XLOOKUP($AB4,'Included studies 2023 update'!$C:$C,'Included studies 2023 update'!AG:AG),"")</f>
        <v>0</v>
      </c>
      <c r="AQ4">
        <f>IF(ISTEXT($AB4),_xlfn.XLOOKUP($AB4,'Included studies 2023 update'!$C:$C,'Included studies 2023 update'!AH:AH),"")</f>
        <v>0</v>
      </c>
      <c r="AR4">
        <f>IF(ISTEXT($AB4),_xlfn.XLOOKUP($AB4,'Included studies 2023 update'!$C:$C,'Included studies 2023 update'!AI:AI),"")</f>
        <v>0</v>
      </c>
      <c r="AS4" s="85">
        <f>IF(ISTEXT($AB4),_xlfn.XLOOKUP($AB4,'Included studies 2023 update'!$C:$C,'Included studies 2023 update'!AJ:AJ),"")</f>
        <v>145</v>
      </c>
      <c r="AT4" s="85">
        <f>IF(ISTEXT($AB4),_xlfn.XLOOKUP($AB4,'Included studies 2023 update'!$C:$C,'Included studies 2023 update'!AK:AK),"")</f>
        <v>126</v>
      </c>
      <c r="AU4">
        <f>IF(ISTEXT($AB4),_xlfn.XLOOKUP($AB4,'Included studies 2023 update'!$C:$C,'Included studies 2023 update'!AL:AL),"")</f>
        <v>0</v>
      </c>
      <c r="AV4">
        <f>IF(ISTEXT($AB4),_xlfn.XLOOKUP($AB4,'Included studies 2023 update'!$C:$C,'Included studies 2023 update'!AM:AM),"")</f>
        <v>180</v>
      </c>
      <c r="AW4" t="str">
        <f>IF(ISTEXT($AB4),_xlfn.XLOOKUP($AB4,'Included studies 2023 update'!$C:$C,'Included studies 2023 update'!AN:AN),"")</f>
        <v>Unclear or ND</v>
      </c>
      <c r="AX4">
        <f>IF(ISTEXT($AB4),_xlfn.XLOOKUP($AB4,'Included studies 2023 update'!$C:$C,'Included studies 2023 update'!AP:AP),"")</f>
        <v>0</v>
      </c>
      <c r="AY4">
        <f>IF(ISTEXT($AB4),_xlfn.XLOOKUP($AB4,'Included studies 2023 update'!$C:$C,'Included studies 2023 update'!AQ:AQ),"")</f>
        <v>0</v>
      </c>
      <c r="AZ4">
        <f>IF(ISTEXT($AB4),_xlfn.XLOOKUP($AB4,'Included studies 2023 update'!$C:$C,'Included studies 2023 update'!AR:AR),"")</f>
        <v>0</v>
      </c>
      <c r="BA4">
        <f>IF(ISTEXT($AB4),_xlfn.XLOOKUP($AB4,'Included studies 2023 update'!$C:$C,'Included studies 2023 update'!AS:AS),"")</f>
        <v>0</v>
      </c>
      <c r="BB4">
        <f>IF(ISTEXT($AB4),_xlfn.XLOOKUP($AB4,'Included studies 2023 update'!$C:$C,'Included studies 2023 update'!AT:AT),"")</f>
        <v>0</v>
      </c>
      <c r="BC4">
        <f>IF(ISTEXT($AB4),_xlfn.XLOOKUP($AB4,'Included studies 2023 update'!$C:$C,'Included studies 2023 update'!AU:AU),"")</f>
        <v>0</v>
      </c>
      <c r="BD4">
        <f>IF(ISTEXT($AB4),_xlfn.XLOOKUP($AB4,'Included studies 2023 update'!$C:$C,'Included studies 2023 update'!AV:AV),"")</f>
        <v>0</v>
      </c>
      <c r="BE4">
        <f>IF(ISTEXT($AB4),_xlfn.XLOOKUP($AB4,'Included studies 2023 update'!$C:$C,'Included studies 2023 update'!AW:AW),"")</f>
        <v>0</v>
      </c>
      <c r="BF4">
        <f>IF(ISTEXT($AB4),_xlfn.XLOOKUP($AB4,'Included studies 2023 update'!$C:$C,'Included studies 2023 update'!AX:AX),"")</f>
        <v>142</v>
      </c>
      <c r="BG4">
        <f>IF(ISTEXT($AB4),_xlfn.XLOOKUP($AB4,'Included studies 2023 update'!$C:$C,'Included studies 2023 update'!AY:AY),"")</f>
        <v>0</v>
      </c>
      <c r="BH4">
        <f>IF(ISTEXT($AB4),_xlfn.XLOOKUP($AB4,'Included studies 2023 update'!$C:$C,'Included studies 2023 update'!AZ:AZ),"")</f>
        <v>131</v>
      </c>
      <c r="BI4">
        <f>IF(ISTEXT($AB4),_xlfn.XLOOKUP($AB4,'Included studies 2023 update'!$C:$C,'Included studies 2023 update'!BA:BA),"")</f>
        <v>0</v>
      </c>
      <c r="BJ4">
        <f>IF(ISTEXT($AB4),_xlfn.XLOOKUP($AB4,'Included studies 2023 update'!$C:$C,'Included studies 2023 update'!BB:BB),"")</f>
        <v>0</v>
      </c>
      <c r="BK4">
        <f>IF(ISTEXT($AB4),_xlfn.XLOOKUP($AB4,'Included studies 2023 update'!$C:$C,'Included studies 2023 update'!BC:BC),"")</f>
        <v>0</v>
      </c>
      <c r="BL4">
        <f>IF(ISTEXT($AB4),_xlfn.XLOOKUP($AB4,'Included studies 2023 update'!$C:$C,'Included studies 2023 update'!BD:BD),"")</f>
        <v>0</v>
      </c>
      <c r="BM4">
        <f>IF(ISTEXT($AB4),_xlfn.XLOOKUP($AB4,'Included studies 2023 update'!$C:$C,'Included studies 2023 update'!BE:BE),"")</f>
        <v>0</v>
      </c>
      <c r="BN4">
        <f>IF(ISTEXT($AB4),_xlfn.XLOOKUP($AB4,'Included studies 2023 update'!$C:$C,'Included studies 2023 update'!BF:BF),"")</f>
        <v>46</v>
      </c>
      <c r="BO4">
        <f>IF(ISTEXT($AB4),_xlfn.XLOOKUP($AB4,'Included studies 2023 update'!$C:$C,'Included studies 2023 update'!BG:BG),"")</f>
        <v>227</v>
      </c>
      <c r="BP4">
        <f>IF(ISTEXT($AB4),_xlfn.XLOOKUP($AB4,'Included studies 2023 update'!$C:$C,'Included studies 2023 update'!BH:BH),"")</f>
        <v>45</v>
      </c>
      <c r="BQ4">
        <f>IF(ISTEXT($AB4),_xlfn.XLOOKUP($AB4,'Included studies 2023 update'!$C:$C,'Included studies 2023 update'!BI:BI),"")</f>
        <v>52</v>
      </c>
      <c r="BR4">
        <f>IF(ISTEXT($AB4),_xlfn.XLOOKUP($AB4,'Included studies 2023 update'!$C:$C,'Included studies 2023 update'!BJ:BJ),"")</f>
        <v>3</v>
      </c>
      <c r="BS4">
        <f>IF(ISTEXT($AB4),_xlfn.XLOOKUP($AB4,'Included studies 2023 update'!$C:$C,'Included studies 2023 update'!BK:BK),"")</f>
        <v>0</v>
      </c>
    </row>
    <row r="5" spans="1:79" ht="13" customHeight="1">
      <c r="A5" s="2">
        <v>26226409</v>
      </c>
      <c r="B5" s="11" t="s">
        <v>2646</v>
      </c>
      <c r="C5" s="2" t="s">
        <v>392</v>
      </c>
      <c r="D5" s="2" t="s">
        <v>2647</v>
      </c>
      <c r="E5" s="2" t="s">
        <v>2648</v>
      </c>
      <c r="F5" s="2">
        <v>2015</v>
      </c>
      <c r="G5" s="2" t="s">
        <v>10</v>
      </c>
      <c r="I5" s="2"/>
      <c r="J5" s="14" t="s">
        <v>38</v>
      </c>
      <c r="K5" s="2">
        <f t="shared" ref="K5:K20" si="0">COUNTIF($H:$H,J5)</f>
        <v>1</v>
      </c>
      <c r="L5" s="14" t="s">
        <v>2653</v>
      </c>
      <c r="M5" s="2">
        <f t="shared" ref="M5:M19" si="1">COUNTIF($H:$H,L5)</f>
        <v>1</v>
      </c>
      <c r="N5" s="14" t="s">
        <v>53</v>
      </c>
      <c r="O5" s="2">
        <f t="shared" ref="O5:O15" si="2">COUNTIF($H:$H,N5)</f>
        <v>135</v>
      </c>
      <c r="Q5" s="2">
        <v>31380705</v>
      </c>
      <c r="R5">
        <f>IF(ISNUMBER(Q5), _xlfn.XLOOKUP(Q5,'Included studies 2023 update'!A:A,'Included studies 2023 update'!K:K)+_xlfn.XLOOKUP(Q5,'Included studies 2023 update'!A:A,'Included studies 2023 update'!L:L),"")</f>
        <v>30</v>
      </c>
      <c r="U5" s="104" t="s">
        <v>3654</v>
      </c>
      <c r="V5" s="105" t="s">
        <v>3653</v>
      </c>
      <c r="W5" s="106" t="str" cm="1">
        <f t="array" ref="W5">""&amp;TEXT(AVERAGEIF(AD4:AD104,"No",AC4:AC104),"0")&amp;" ("&amp;TEXT(MIN(_xlfn._xlws.FILTER(AC4:AC104,AD4:AD104="No")),"0")&amp;"-"&amp;TEXT(MAX(_xlfn._xlws.FILTER(AC4:AC104,AD4:AD104="No")),"0")&amp;")"</f>
        <v>151 (25-738)</v>
      </c>
      <c r="X5" s="106" t="str" cm="1">
        <f t="array" ref="X5">""&amp;TEXT(AVERAGE(_xlfn._xlws.FILTER('Included studies 2023 update'!$J:$J,('Included studies 2023 update'!$E:$E="No")*('Included studies 2023 update'!$H:$H=X2))),"0")&amp;" ("&amp;TEXT(MIN(_xlfn._xlws.FILTER('Included studies 2023 update'!$J:$J,('Included studies 2023 update'!$E:$E="No")*('Included studies 2023 update'!$H:$H=X2))),"0")&amp;"-"&amp;TEXT(MAX(_xlfn._xlws.FILTER('Included studies 2023 update'!$J:$J,('Included studies 2023 update'!$E:$E="No")*('Included studies 2023 update'!$H:$H=X2))),"0")&amp;")"</f>
        <v>162 (26-738)</v>
      </c>
      <c r="Y5" s="106" t="str" cm="1">
        <f t="array" ref="Y5">""&amp;TEXT(AVERAGE(_xlfn._xlws.FILTER('Included studies 2023 update'!$J:$J,('Included studies 2023 update'!$E:$E="No")*('Included studies 2023 update'!$H:$H=Y2))),"0")&amp;" ("&amp;TEXT(MIN(_xlfn._xlws.FILTER('Included studies 2023 update'!$J:$J,('Included studies 2023 update'!$E:$E="No")*('Included studies 2023 update'!$H:$H=Y2))),"0")&amp;"-"&amp;TEXT(MAX(_xlfn._xlws.FILTER('Included studies 2023 update'!$J:$J,('Included studies 2023 update'!$E:$E="No")*('Included studies 2023 update'!$H:$H=Y2))),"0")&amp;")"</f>
        <v>191 (25-738)</v>
      </c>
      <c r="Z5" s="107" t="str" cm="1">
        <f t="array" ref="Z5">""&amp;TEXT(AVERAGE(_xlfn._xlws.FILTER('Included studies 2023 update'!$J:$J,('Included studies 2023 update'!$E:$E="No")*('Included studies 2023 update'!$H:$H=Z2))),"0")&amp;" ("&amp;TEXT(MIN(_xlfn._xlws.FILTER('Included studies 2023 update'!$J:$J,('Included studies 2023 update'!$E:$E="No")*('Included studies 2023 update'!$H:$H=Z2))),"0")&amp;"-"&amp;TEXT(MAX(_xlfn._xlws.FILTER('Included studies 2023 update'!$J:$J,('Included studies 2023 update'!$E:$E="No")*('Included studies 2023 update'!$H:$H=Z2))),"0")&amp;")"</f>
        <v>229 (26-738)</v>
      </c>
      <c r="AA5" s="82"/>
      <c r="AB5" t="str">
        <v>https://pubmed.ncbi.nlm.nih.gov/31380705/</v>
      </c>
      <c r="AC5">
        <f>IF(ISTEXT(AB5),_xlfn.XLOOKUP(AB5,'Included studies 2023 update'!C:C,'Included studies 2023 update'!J:J),"")</f>
        <v>30</v>
      </c>
      <c r="AD5" t="str">
        <f>IF(ISTEXT(AB5),_xlfn.XLOOKUP(AB5,'Included studies 2023 update'!C:C,'Included studies 2023 update'!E:E),"")</f>
        <v>No</v>
      </c>
      <c r="AE5" t="str">
        <f>IF(ISTEXT(AB5),_xlfn.XLOOKUP(AB5,'Included studies 2023 update'!C:C,'Included studies 2023 update'!I:I),"")</f>
        <v>Pediatric</v>
      </c>
      <c r="AF5" t="str">
        <f>IF(ISTEXT(AB5),_xlfn.XLOOKUP(AB5,'Included studies 2023 update'!C:C,'Included studies 2023 update'!U:U),"")</f>
        <v>Unclear or ND</v>
      </c>
      <c r="AG5" t="str">
        <f>IF(ISTEXT(AB5),_xlfn.XLOOKUP(AB5,'Included studies 2023 update'!C:C,'Included studies 2023 update'!X:X),"")</f>
        <v>Whole blood</v>
      </c>
      <c r="AH5">
        <f>IF(ISTEXT(AB5),_xlfn.XLOOKUP(AB5,'Included studies 2023 update'!C:C,'Included studies 2023 update'!Y:Y),"")</f>
        <v>120</v>
      </c>
      <c r="AI5" t="str">
        <f>IF(ISTEXT(AB5),_xlfn.XLOOKUP(AB5,'Included studies 2023 update'!C:C,'Included studies 2023 update'!Z:Z),"")</f>
        <v>Prospective</v>
      </c>
      <c r="AJ5">
        <f>IF(ISTEXT($AB5),_xlfn.XLOOKUP($AB5,'Included studies 2023 update'!$C:$C,'Included studies 2023 update'!AA:AA),"")</f>
        <v>19</v>
      </c>
      <c r="AK5">
        <f>IF(ISTEXT($AB5),_xlfn.XLOOKUP($AB5,'Included studies 2023 update'!$C:$C,'Included studies 2023 update'!AB:AB),"")</f>
        <v>0</v>
      </c>
      <c r="AL5">
        <f>IF(ISTEXT($AB5),_xlfn.XLOOKUP($AB5,'Included studies 2023 update'!$C:$C,'Included studies 2023 update'!AC:AC),"")</f>
        <v>1</v>
      </c>
      <c r="AM5">
        <f>IF(ISTEXT($AB5),_xlfn.XLOOKUP($AB5,'Included studies 2023 update'!$C:$C,'Included studies 2023 update'!AD:AD),"")</f>
        <v>2</v>
      </c>
      <c r="AN5">
        <f>IF(ISTEXT($AB5),_xlfn.XLOOKUP($AB5,'Included studies 2023 update'!$C:$C,'Included studies 2023 update'!AE:AE),"")</f>
        <v>8</v>
      </c>
      <c r="AO5">
        <f>IF(ISTEXT($AB5),_xlfn.XLOOKUP($AB5,'Included studies 2023 update'!$C:$C,'Included studies 2023 update'!AF:AF),"")</f>
        <v>0</v>
      </c>
      <c r="AP5">
        <f>IF(ISTEXT($AB5),_xlfn.XLOOKUP($AB5,'Included studies 2023 update'!$C:$C,'Included studies 2023 update'!AG:AG),"")</f>
        <v>0</v>
      </c>
      <c r="AQ5">
        <f>IF(ISTEXT($AB5),_xlfn.XLOOKUP($AB5,'Included studies 2023 update'!$C:$C,'Included studies 2023 update'!AH:AH),"")</f>
        <v>0</v>
      </c>
      <c r="AR5">
        <f>IF(ISTEXT($AB5),_xlfn.XLOOKUP($AB5,'Included studies 2023 update'!$C:$C,'Included studies 2023 update'!AI:AI),"")</f>
        <v>0</v>
      </c>
      <c r="AS5" s="85">
        <f>IF(ISTEXT($AB5),_xlfn.XLOOKUP($AB5,'Included studies 2023 update'!$C:$C,'Included studies 2023 update'!AJ:AJ),"")</f>
        <v>0</v>
      </c>
      <c r="AT5" s="85">
        <f>IF(ISTEXT($AB5),_xlfn.XLOOKUP($AB5,'Included studies 2023 update'!$C:$C,'Included studies 2023 update'!AK:AK),"")</f>
        <v>0</v>
      </c>
      <c r="AU5">
        <f>IF(ISTEXT($AB5),_xlfn.XLOOKUP($AB5,'Included studies 2023 update'!$C:$C,'Included studies 2023 update'!AL:AL),"")</f>
        <v>0</v>
      </c>
      <c r="AV5">
        <f>IF(ISTEXT($AB5),_xlfn.XLOOKUP($AB5,'Included studies 2023 update'!$C:$C,'Included studies 2023 update'!AM:AM),"")</f>
        <v>144</v>
      </c>
      <c r="AW5" t="str">
        <f>IF(ISTEXT($AB5),_xlfn.XLOOKUP($AB5,'Included studies 2023 update'!$C:$C,'Included studies 2023 update'!AN:AN),"")</f>
        <v>Other</v>
      </c>
      <c r="AX5">
        <f>IF(ISTEXT($AB5),_xlfn.XLOOKUP($AB5,'Included studies 2023 update'!$C:$C,'Included studies 2023 update'!AP:AP),"")</f>
        <v>8</v>
      </c>
      <c r="AY5">
        <f>IF(ISTEXT($AB5),_xlfn.XLOOKUP($AB5,'Included studies 2023 update'!$C:$C,'Included studies 2023 update'!AQ:AQ),"")</f>
        <v>0</v>
      </c>
      <c r="AZ5">
        <f>IF(ISTEXT($AB5),_xlfn.XLOOKUP($AB5,'Included studies 2023 update'!$C:$C,'Included studies 2023 update'!AR:AR),"")</f>
        <v>0</v>
      </c>
      <c r="BA5">
        <f>IF(ISTEXT($AB5),_xlfn.XLOOKUP($AB5,'Included studies 2023 update'!$C:$C,'Included studies 2023 update'!AS:AS),"")</f>
        <v>0</v>
      </c>
      <c r="BB5">
        <f>IF(ISTEXT($AB5),_xlfn.XLOOKUP($AB5,'Included studies 2023 update'!$C:$C,'Included studies 2023 update'!AT:AT),"")</f>
        <v>0</v>
      </c>
      <c r="BC5">
        <f>IF(ISTEXT($AB5),_xlfn.XLOOKUP($AB5,'Included studies 2023 update'!$C:$C,'Included studies 2023 update'!AU:AU),"")</f>
        <v>0</v>
      </c>
      <c r="BD5">
        <f>IF(ISTEXT($AB5),_xlfn.XLOOKUP($AB5,'Included studies 2023 update'!$C:$C,'Included studies 2023 update'!AV:AV),"")</f>
        <v>0</v>
      </c>
      <c r="BE5">
        <f>IF(ISTEXT($AB5),_xlfn.XLOOKUP($AB5,'Included studies 2023 update'!$C:$C,'Included studies 2023 update'!AW:AW),"")</f>
        <v>0</v>
      </c>
      <c r="BF5">
        <f>IF(ISTEXT($AB5),_xlfn.XLOOKUP($AB5,'Included studies 2023 update'!$C:$C,'Included studies 2023 update'!AX:AX),"")</f>
        <v>0</v>
      </c>
      <c r="BG5">
        <f>IF(ISTEXT($AB5),_xlfn.XLOOKUP($AB5,'Included studies 2023 update'!$C:$C,'Included studies 2023 update'!AY:AY),"")</f>
        <v>0</v>
      </c>
      <c r="BH5">
        <f>IF(ISTEXT($AB5),_xlfn.XLOOKUP($AB5,'Included studies 2023 update'!$C:$C,'Included studies 2023 update'!AZ:AZ),"")</f>
        <v>18</v>
      </c>
      <c r="BI5">
        <f>IF(ISTEXT($AB5),_xlfn.XLOOKUP($AB5,'Included studies 2023 update'!$C:$C,'Included studies 2023 update'!BA:BA),"")</f>
        <v>0</v>
      </c>
      <c r="BJ5">
        <f>IF(ISTEXT($AB5),_xlfn.XLOOKUP($AB5,'Included studies 2023 update'!$C:$C,'Included studies 2023 update'!BB:BB),"")</f>
        <v>0</v>
      </c>
      <c r="BK5">
        <f>IF(ISTEXT($AB5),_xlfn.XLOOKUP($AB5,'Included studies 2023 update'!$C:$C,'Included studies 2023 update'!BC:BC),"")</f>
        <v>3</v>
      </c>
      <c r="BL5">
        <f>IF(ISTEXT($AB5),_xlfn.XLOOKUP($AB5,'Included studies 2023 update'!$C:$C,'Included studies 2023 update'!BD:BD),"")</f>
        <v>0</v>
      </c>
      <c r="BM5">
        <f>IF(ISTEXT($AB5),_xlfn.XLOOKUP($AB5,'Included studies 2023 update'!$C:$C,'Included studies 2023 update'!BE:BE),"")</f>
        <v>0</v>
      </c>
      <c r="BN5">
        <f>IF(ISTEXT($AB5),_xlfn.XLOOKUP($AB5,'Included studies 2023 update'!$C:$C,'Included studies 2023 update'!BF:BF),"")</f>
        <v>0</v>
      </c>
      <c r="BO5">
        <f>IF(ISTEXT($AB5),_xlfn.XLOOKUP($AB5,'Included studies 2023 update'!$C:$C,'Included studies 2023 update'!BG:BG),"")</f>
        <v>30</v>
      </c>
      <c r="BP5">
        <f>IF(ISTEXT($AB5),_xlfn.XLOOKUP($AB5,'Included studies 2023 update'!$C:$C,'Included studies 2023 update'!BH:BH),"")</f>
        <v>29</v>
      </c>
      <c r="BQ5">
        <f>IF(ISTEXT($AB5),_xlfn.XLOOKUP($AB5,'Included studies 2023 update'!$C:$C,'Included studies 2023 update'!BI:BI),"")</f>
        <v>1</v>
      </c>
      <c r="BR5">
        <f>IF(ISTEXT($AB5),_xlfn.XLOOKUP($AB5,'Included studies 2023 update'!$C:$C,'Included studies 2023 update'!BJ:BJ),"")</f>
        <v>0</v>
      </c>
      <c r="BS5">
        <f>IF(ISTEXT($AB5),_xlfn.XLOOKUP($AB5,'Included studies 2023 update'!$C:$C,'Included studies 2023 update'!BK:BK),"")</f>
        <v>0</v>
      </c>
    </row>
    <row r="6" spans="1:79" ht="13" customHeight="1">
      <c r="A6" s="2">
        <v>29297965</v>
      </c>
      <c r="B6" s="11" t="s">
        <v>2650</v>
      </c>
      <c r="C6" s="2" t="s">
        <v>506</v>
      </c>
      <c r="D6" s="2" t="s">
        <v>2651</v>
      </c>
      <c r="E6" s="2" t="s">
        <v>2652</v>
      </c>
      <c r="F6" s="2">
        <v>2018</v>
      </c>
      <c r="G6" s="2" t="s">
        <v>10</v>
      </c>
      <c r="I6" s="2"/>
      <c r="J6" s="14" t="s">
        <v>29</v>
      </c>
      <c r="K6" s="2">
        <f t="shared" si="0"/>
        <v>3</v>
      </c>
      <c r="L6" s="14" t="s">
        <v>2657</v>
      </c>
      <c r="M6" s="2">
        <f t="shared" si="1"/>
        <v>1</v>
      </c>
      <c r="N6" s="14" t="s">
        <v>2658</v>
      </c>
      <c r="O6" s="2">
        <f t="shared" si="2"/>
        <v>1</v>
      </c>
      <c r="Q6" s="2">
        <v>11593320</v>
      </c>
      <c r="R6">
        <f>IF(ISNUMBER(Q6), _xlfn.XLOOKUP(Q6,'Included studies 2023 update'!A:A,'Included studies 2023 update'!K:K)+_xlfn.XLOOKUP(Q6,'Included studies 2023 update'!A:A,'Included studies 2023 update'!L:L),"")</f>
        <v>30</v>
      </c>
      <c r="U6" s="164" t="s">
        <v>3639</v>
      </c>
      <c r="V6" s="108" t="s">
        <v>3407</v>
      </c>
      <c r="W6" s="109" t="str">
        <f>""&amp;TEXT(COUNTIFS(AD:AD,"No",AE:AE,V6),"0")&amp;" ("&amp;TEXT(COUNTIFS(AD:AD,"No",AE:AE,V6)/SUM(COUNTIFS(AD:AD,"No",AE:AE,V$6),COUNTIFS(AD:AD,"No",AE:AE,V$7),COUNTIFS(AD:AD,"No",AE:AE,V$8)),"0.0%")&amp;")"</f>
        <v>9 (32.1%)</v>
      </c>
      <c r="X6" s="109" t="str" cm="1">
        <f t="array" ref="X6">""&amp;TEXT(SUM(IF(_xlfn._xlws.FILTER(_xlfn._xlws.FILTER('Included studies 2023 update'!$I:$I,('Included studies 2023 update'!$E:$E="No")*('Included studies 2023 update'!$H:$H=X$2)),_xlfn._xlws.FILTER('Included studies 2023 update'!$I:$I,('Included studies 2023 update'!$E:$E="No")*('Included studies 2023 update'!$H:$H=X$2))=$V6,0)=0,0,1)),"0")&amp;" ("&amp;TEXT(SUM(IF(_xlfn._xlws.FILTER(_xlfn._xlws.FILTER('Included studies 2023 update'!$I:$I,('Included studies 2023 update'!$E:$E="No")*('Included studies 2023 update'!$H:$H=X$2)),_xlfn._xlws.FILTER('Included studies 2023 update'!$I:$I,('Included studies 2023 update'!$E:$E="No")*('Included studies 2023 update'!$H:$H=X$2))=$V6,0)=0,0,1))/SUM(SUM(IF(_xlfn._xlws.FILTER(_xlfn._xlws.FILTER('Included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6" s="109" t="str" cm="1">
        <f t="array" ref="Y6">""&amp;TEXT(SUM(IF(_xlfn._xlws.FILTER(_xlfn._xlws.FILTER('Included studies 2023 update'!$I:$I,('Included studies 2023 update'!$E:$E="No")*('Included studies 2023 update'!$H:$H=Y$2)),_xlfn._xlws.FILTER('Included studies 2023 update'!$I:$I,('Included studies 2023 update'!$E:$E="No")*('Included studies 2023 update'!$H:$H=Y$2))=$V6,0)=0,0,1)),"0")&amp;" ("&amp;TEXT(SUM(IF(_xlfn._xlws.FILTER(_xlfn._xlws.FILTER('Included studies 2023 update'!$I:$I,('Included studies 2023 update'!$E:$E="No")*('Included studies 2023 update'!$H:$H=Y$2)),_xlfn._xlws.FILTER('Included studies 2023 update'!$I:$I,('Included studies 2023 update'!$E:$E="No")*('Included studies 2023 update'!$H:$H=Y$2))=$V6,0)=0,0,1))/SUM(SUM(IF(_xlfn._xlws.FILTER(_xlfn._xlws.FILTER('Included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6" s="109" t="str" cm="1">
        <f t="array" ref="Z6">""&amp;TEXT(SUM(IF(_xlfn._xlws.FILTER(_xlfn._xlws.FILTER('Included studies 2023 update'!$I:$I,('Included studies 2023 update'!$E:$E="No")*('Included studies 2023 update'!$H:$H=Z$2)),_xlfn._xlws.FILTER('Included studies 2023 update'!$I:$I,('Included studies 2023 update'!$E:$E="No")*('Included studies 2023 update'!$H:$H=Z$2))=$V6,0)=0,0,1)),"0")&amp;" ("&amp;TEXT(SUM(IF(_xlfn._xlws.FILTER(_xlfn._xlws.FILTER('Included studies 2023 update'!$I:$I,('Included studies 2023 update'!$E:$E="No")*('Included studies 2023 update'!$H:$H=Z$2)),_xlfn._xlws.FILTER('Included studies 2023 update'!$I:$I,('Included studies 2023 update'!$E:$E="No")*('Included studies 2023 update'!$H:$H=Z$2))=$V6,0)=0,0,1))/SUM(SUM(IF(_xlfn._xlws.FILTER(_xlfn._xlws.FILTER('Included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6" s="82"/>
      <c r="AB6" t="str">
        <v>https://pubmed.ncbi.nlm.nih.gov/11593320/</v>
      </c>
      <c r="AC6">
        <f>IF(ISTEXT(AB6),_xlfn.XLOOKUP(AB6,'Included studies 2023 update'!C:C,'Included studies 2023 update'!J:J),"")</f>
        <v>30</v>
      </c>
      <c r="AD6" t="str">
        <f>IF(ISTEXT(AB6),_xlfn.XLOOKUP(AB6,'Included studies 2023 update'!C:C,'Included studies 2023 update'!E:E),"")</f>
        <v>No</v>
      </c>
      <c r="AE6" t="str">
        <f>IF(ISTEXT(AB6),_xlfn.XLOOKUP(AB6,'Included studies 2023 update'!C:C,'Included studies 2023 update'!I:I),"")</f>
        <v>Pediatric</v>
      </c>
      <c r="AF6" t="str">
        <f>IF(ISTEXT(AB6),_xlfn.XLOOKUP(AB6,'Included studies 2023 update'!C:C,'Included studies 2023 update'!U:U),"")</f>
        <v>GAN</v>
      </c>
      <c r="AG6" t="str">
        <f>IF(ISTEXT(AB6),_xlfn.XLOOKUP(AB6,'Included studies 2023 update'!C:C,'Included studies 2023 update'!X:X),"")</f>
        <v>Plasma</v>
      </c>
      <c r="AH6">
        <f>IF(ISTEXT(AB6),_xlfn.XLOOKUP(AB6,'Included studies 2023 update'!C:C,'Included studies 2023 update'!Y:Y),"")</f>
        <v>10</v>
      </c>
      <c r="AI6" t="str">
        <f>IF(ISTEXT(AB6),_xlfn.XLOOKUP(AB6,'Included studies 2023 update'!C:C,'Included studies 2023 update'!Z:Z),"")</f>
        <v>Prospective</v>
      </c>
      <c r="AJ6">
        <f>IF(ISTEXT($AB6),_xlfn.XLOOKUP($AB6,'Included studies 2023 update'!$C:$C,'Included studies 2023 update'!AA:AA),"")</f>
        <v>9</v>
      </c>
      <c r="AK6">
        <f>IF(ISTEXT($AB6),_xlfn.XLOOKUP($AB6,'Included studies 2023 update'!$C:$C,'Included studies 2023 update'!AB:AB),"")</f>
        <v>4</v>
      </c>
      <c r="AL6">
        <f>IF(ISTEXT($AB6),_xlfn.XLOOKUP($AB6,'Included studies 2023 update'!$C:$C,'Included studies 2023 update'!AC:AC),"")</f>
        <v>0</v>
      </c>
      <c r="AM6">
        <f>IF(ISTEXT($AB6),_xlfn.XLOOKUP($AB6,'Included studies 2023 update'!$C:$C,'Included studies 2023 update'!AD:AD),"")</f>
        <v>0</v>
      </c>
      <c r="AN6">
        <f>IF(ISTEXT($AB6),_xlfn.XLOOKUP($AB6,'Included studies 2023 update'!$C:$C,'Included studies 2023 update'!AE:AE),"")</f>
        <v>0</v>
      </c>
      <c r="AO6">
        <f>IF(ISTEXT($AB6),_xlfn.XLOOKUP($AB6,'Included studies 2023 update'!$C:$C,'Included studies 2023 update'!AF:AF),"")</f>
        <v>0</v>
      </c>
      <c r="AP6">
        <f>IF(ISTEXT($AB6),_xlfn.XLOOKUP($AB6,'Included studies 2023 update'!$C:$C,'Included studies 2023 update'!AG:AG),"")</f>
        <v>0</v>
      </c>
      <c r="AQ6">
        <f>IF(ISTEXT($AB6),_xlfn.XLOOKUP($AB6,'Included studies 2023 update'!$C:$C,'Included studies 2023 update'!AH:AH),"")</f>
        <v>0</v>
      </c>
      <c r="AR6">
        <f>IF(ISTEXT($AB6),_xlfn.XLOOKUP($AB6,'Included studies 2023 update'!$C:$C,'Included studies 2023 update'!AI:AI),"")</f>
        <v>7</v>
      </c>
      <c r="AS6" s="85">
        <f>IF(ISTEXT($AB6),_xlfn.XLOOKUP($AB6,'Included studies 2023 update'!$C:$C,'Included studies 2023 update'!AJ:AJ),"")</f>
        <v>0</v>
      </c>
      <c r="AT6" s="85">
        <f>IF(ISTEXT($AB6),_xlfn.XLOOKUP($AB6,'Included studies 2023 update'!$C:$C,'Included studies 2023 update'!AK:AK),"")</f>
        <v>0</v>
      </c>
      <c r="AU6">
        <f>IF(ISTEXT($AB6),_xlfn.XLOOKUP($AB6,'Included studies 2023 update'!$C:$C,'Included studies 2023 update'!AL:AL),"")</f>
        <v>10</v>
      </c>
      <c r="AV6">
        <f>IF(ISTEXT($AB6),_xlfn.XLOOKUP($AB6,'Included studies 2023 update'!$C:$C,'Included studies 2023 update'!AM:AM),"")</f>
        <v>84</v>
      </c>
      <c r="AW6" t="str">
        <f>IF(ISTEXT($AB6),_xlfn.XLOOKUP($AB6,'Included studies 2023 update'!$C:$C,'Included studies 2023 update'!AN:AN),"")</f>
        <v>1x per 2 weeks</v>
      </c>
      <c r="AX6" t="str">
        <f>IF(ISTEXT($AB6),_xlfn.XLOOKUP($AB6,'Included studies 2023 update'!$C:$C,'Included studies 2023 update'!AP:AP),"")</f>
        <v>Unclear or ND</v>
      </c>
      <c r="AY6" t="str">
        <f>IF(ISTEXT($AB6),_xlfn.XLOOKUP($AB6,'Included studies 2023 update'!$C:$C,'Included studies 2023 update'!AQ:AQ),"")</f>
        <v>Unclear or ND</v>
      </c>
      <c r="AZ6" t="str">
        <f>IF(ISTEXT($AB6),_xlfn.XLOOKUP($AB6,'Included studies 2023 update'!$C:$C,'Included studies 2023 update'!AR:AR),"")</f>
        <v>Unclear or ND</v>
      </c>
      <c r="BA6" t="str">
        <f>IF(ISTEXT($AB6),_xlfn.XLOOKUP($AB6,'Included studies 2023 update'!$C:$C,'Included studies 2023 update'!AS:AS),"")</f>
        <v>Unclear or ND</v>
      </c>
      <c r="BB6" t="str">
        <f>IF(ISTEXT($AB6),_xlfn.XLOOKUP($AB6,'Included studies 2023 update'!$C:$C,'Included studies 2023 update'!AT:AT),"")</f>
        <v>Unclear or ND</v>
      </c>
      <c r="BC6" t="str">
        <f>IF(ISTEXT($AB6),_xlfn.XLOOKUP($AB6,'Included studies 2023 update'!$C:$C,'Included studies 2023 update'!AU:AU),"")</f>
        <v>Unclear or ND</v>
      </c>
      <c r="BD6" t="str">
        <f>IF(ISTEXT($AB6),_xlfn.XLOOKUP($AB6,'Included studies 2023 update'!$C:$C,'Included studies 2023 update'!AV:AV),"")</f>
        <v>Unclear or ND</v>
      </c>
      <c r="BE6" t="str">
        <f>IF(ISTEXT($AB6),_xlfn.XLOOKUP($AB6,'Included studies 2023 update'!$C:$C,'Included studies 2023 update'!AW:AW),"")</f>
        <v>Unclear or ND</v>
      </c>
      <c r="BF6" t="str">
        <f>IF(ISTEXT($AB6),_xlfn.XLOOKUP($AB6,'Included studies 2023 update'!$C:$C,'Included studies 2023 update'!AX:AX),"")</f>
        <v>Unclear or ND</v>
      </c>
      <c r="BG6" t="str">
        <f>IF(ISTEXT($AB6),_xlfn.XLOOKUP($AB6,'Included studies 2023 update'!$C:$C,'Included studies 2023 update'!AY:AY),"")</f>
        <v>Unclear or ND</v>
      </c>
      <c r="BH6" t="str">
        <f>IF(ISTEXT($AB6),_xlfn.XLOOKUP($AB6,'Included studies 2023 update'!$C:$C,'Included studies 2023 update'!AZ:AZ),"")</f>
        <v>Unclear or ND</v>
      </c>
      <c r="BI6" t="str">
        <f>IF(ISTEXT($AB6),_xlfn.XLOOKUP($AB6,'Included studies 2023 update'!$C:$C,'Included studies 2023 update'!BA:BA),"")</f>
        <v>Unclear or ND</v>
      </c>
      <c r="BJ6">
        <f>IF(ISTEXT($AB6),_xlfn.XLOOKUP($AB6,'Included studies 2023 update'!$C:$C,'Included studies 2023 update'!BB:BB),"")</f>
        <v>0</v>
      </c>
      <c r="BK6" t="str">
        <f>IF(ISTEXT($AB6),_xlfn.XLOOKUP($AB6,'Included studies 2023 update'!$C:$C,'Included studies 2023 update'!BC:BC),"")</f>
        <v>Unclear or ND</v>
      </c>
      <c r="BL6" t="str">
        <f>IF(ISTEXT($AB6),_xlfn.XLOOKUP($AB6,'Included studies 2023 update'!$C:$C,'Included studies 2023 update'!BD:BD),"")</f>
        <v>Unclear or ND</v>
      </c>
      <c r="BM6">
        <f>IF(ISTEXT($AB6),_xlfn.XLOOKUP($AB6,'Included studies 2023 update'!$C:$C,'Included studies 2023 update'!BE:BE),"")</f>
        <v>0</v>
      </c>
      <c r="BN6" t="str">
        <f>IF(ISTEXT($AB6),_xlfn.XLOOKUP($AB6,'Included studies 2023 update'!$C:$C,'Included studies 2023 update'!BF:BF),"")</f>
        <v>Unclear or ND</v>
      </c>
      <c r="BO6" t="str">
        <f>IF(ISTEXT($AB6),_xlfn.XLOOKUP($AB6,'Included studies 2023 update'!$C:$C,'Included studies 2023 update'!BG:BG),"")</f>
        <v>Unclear or ND</v>
      </c>
      <c r="BP6">
        <f>IF(ISTEXT($AB6),_xlfn.XLOOKUP($AB6,'Included studies 2023 update'!$C:$C,'Included studies 2023 update'!BH:BH),"")</f>
        <v>30</v>
      </c>
      <c r="BQ6">
        <f>IF(ISTEXT($AB6),_xlfn.XLOOKUP($AB6,'Included studies 2023 update'!$C:$C,'Included studies 2023 update'!BI:BI),"")</f>
        <v>0</v>
      </c>
      <c r="BR6">
        <f>IF(ISTEXT($AB6),_xlfn.XLOOKUP($AB6,'Included studies 2023 update'!$C:$C,'Included studies 2023 update'!BJ:BJ),"")</f>
        <v>0</v>
      </c>
      <c r="BS6">
        <f>IF(ISTEXT($AB6),_xlfn.XLOOKUP($AB6,'Included studies 2023 update'!$C:$C,'Included studies 2023 update'!BK:BK),"")</f>
        <v>0</v>
      </c>
    </row>
    <row r="7" spans="1:79" ht="13" customHeight="1">
      <c r="A7" s="2">
        <v>27522040</v>
      </c>
      <c r="B7" s="11" t="s">
        <v>2654</v>
      </c>
      <c r="C7" s="2" t="s">
        <v>494</v>
      </c>
      <c r="D7" s="2" t="s">
        <v>2655</v>
      </c>
      <c r="E7" s="2" t="s">
        <v>2656</v>
      </c>
      <c r="F7" s="2">
        <v>2016</v>
      </c>
      <c r="G7" s="2" t="s">
        <v>10</v>
      </c>
      <c r="I7" s="2"/>
      <c r="J7" s="14" t="s">
        <v>2662</v>
      </c>
      <c r="K7" s="2">
        <f t="shared" si="0"/>
        <v>1</v>
      </c>
      <c r="L7" s="14" t="s">
        <v>2663</v>
      </c>
      <c r="M7" s="2">
        <f t="shared" si="1"/>
        <v>1</v>
      </c>
      <c r="N7" s="14" t="s">
        <v>2664</v>
      </c>
      <c r="O7" s="2">
        <f t="shared" si="2"/>
        <v>1</v>
      </c>
      <c r="Q7" s="2">
        <v>26226409</v>
      </c>
      <c r="R7">
        <f>IF(ISNUMBER(Q7), _xlfn.XLOOKUP(Q7,'Included studies 2023 update'!A:A,'Included studies 2023 update'!K:K)+_xlfn.XLOOKUP(Q7,'Included studies 2023 update'!A:A,'Included studies 2023 update'!L:L),"")</f>
        <v>236</v>
      </c>
      <c r="U7" s="164"/>
      <c r="V7" s="108" t="s">
        <v>3394</v>
      </c>
      <c r="W7" s="109" t="str">
        <f>""&amp;TEXT(COUNTIFS(AD:AD,"No",AE:AE,V7),"0")&amp;" ("&amp;TEXT(COUNTIFS(AD:AD,"No",AE:AE,V7)/SUM(COUNTIFS(AD:AD,"No",AE:AE,V$6),COUNTIFS(AD:AD,"No",AE:AE,V$7),COUNTIFS(AD:AD,"No",AE:AE,V$8)),"0.0%")&amp;")"</f>
        <v>8 (28.6%)</v>
      </c>
      <c r="X7" s="109" t="str" cm="1">
        <f t="array" ref="X7">""&amp;TEXT(SUM(IF(_xlfn._xlws.FILTER(_xlfn._xlws.FILTER('Included studies 2023 update'!$I:$I,('Included studies 2023 update'!$E:$E="No")*('Included studies 2023 update'!$H:$H=X$2)),_xlfn._xlws.FILTER('Included studies 2023 update'!$I:$I,('Included studies 2023 update'!$E:$E="No")*('Included studies 2023 update'!$H:$H=X$2))=$V7,0)=0,0,1)),"0")&amp;" ("&amp;TEXT(SUM(IF(_xlfn._xlws.FILTER(_xlfn._xlws.FILTER('Included studies 2023 update'!$I:$I,('Included studies 2023 update'!$E:$E="No")*('Included studies 2023 update'!$H:$H=X$2)),_xlfn._xlws.FILTER('Included studies 2023 update'!$I:$I,('Included studies 2023 update'!$E:$E="No")*('Included studies 2023 update'!$H:$H=X$2))=$V7,0)=0,0,1))/SUM(SUM(IF(_xlfn._xlws.FILTER(_xlfn._xlws.FILTER('Included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7" s="109" t="str" cm="1">
        <f t="array" ref="Y7">""&amp;TEXT(SUM(IF(_xlfn._xlws.FILTER(_xlfn._xlws.FILTER('Included studies 2023 update'!$I:$I,('Included studies 2023 update'!$E:$E="No")*('Included studies 2023 update'!$H:$H=Y$2)),_xlfn._xlws.FILTER('Included studies 2023 update'!$I:$I,('Included studies 2023 update'!$E:$E="No")*('Included studies 2023 update'!$H:$H=Y$2))=$V7,0)=0,0,1)),"0")&amp;" ("&amp;TEXT(SUM(IF(_xlfn._xlws.FILTER(_xlfn._xlws.FILTER('Included studies 2023 update'!$I:$I,('Included studies 2023 update'!$E:$E="No")*('Included studies 2023 update'!$H:$H=Y$2)),_xlfn._xlws.FILTER('Included studies 2023 update'!$I:$I,('Included studies 2023 update'!$E:$E="No")*('Included studies 2023 update'!$H:$H=Y$2))=$V7,0)=0,0,1))/SUM(SUM(IF(_xlfn._xlws.FILTER(_xlfn._xlws.FILTER('Included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2 (25.0%)</v>
      </c>
      <c r="Z7" s="109" t="str" cm="1">
        <f t="array" ref="Z7">""&amp;TEXT(SUM(IF(_xlfn._xlws.FILTER(_xlfn._xlws.FILTER('Included studies 2023 update'!$I:$I,('Included studies 2023 update'!$E:$E="No")*('Included studies 2023 update'!$H:$H=Z$2)),_xlfn._xlws.FILTER('Included studies 2023 update'!$I:$I,('Included studies 2023 update'!$E:$E="No")*('Included studies 2023 update'!$H:$H=Z$2))=$V7,0)=0,0,1)),"0")&amp;" ("&amp;TEXT(SUM(IF(_xlfn._xlws.FILTER(_xlfn._xlws.FILTER('Included studies 2023 update'!$I:$I,('Included studies 2023 update'!$E:$E="No")*('Included studies 2023 update'!$H:$H=Z$2)),_xlfn._xlws.FILTER('Included studies 2023 update'!$I:$I,('Included studies 2023 update'!$E:$E="No")*('Included studies 2023 update'!$H:$H=Z$2))=$V7,0)=0,0,1))/SUM(SUM(IF(_xlfn._xlws.FILTER(_xlfn._xlws.FILTER('Included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1 (14.3%)</v>
      </c>
      <c r="AA7" s="82"/>
      <c r="AB7" t="str">
        <v>https://pubmed.ncbi.nlm.nih.gov/26226409/</v>
      </c>
      <c r="AC7">
        <f>IF(ISTEXT(AB7),_xlfn.XLOOKUP(AB7,'Included studies 2023 update'!C:C,'Included studies 2023 update'!J:J),"")</f>
        <v>236</v>
      </c>
      <c r="AD7" t="str">
        <f>IF(ISTEXT(AB7),_xlfn.XLOOKUP(AB7,'Included studies 2023 update'!C:C,'Included studies 2023 update'!E:E),"")</f>
        <v>No</v>
      </c>
      <c r="AE7" t="str">
        <f>IF(ISTEXT(AB7),_xlfn.XLOOKUP(AB7,'Included studies 2023 update'!C:C,'Included studies 2023 update'!I:I),"")</f>
        <v>Adult</v>
      </c>
      <c r="AF7" t="str">
        <f>IF(ISTEXT(AB7),_xlfn.XLOOKUP(AB7,'Included studies 2023 update'!C:C,'Included studies 2023 update'!U:U),"")</f>
        <v>Unclear or ND</v>
      </c>
      <c r="AG7" t="str">
        <f>IF(ISTEXT(AB7),_xlfn.XLOOKUP(AB7,'Included studies 2023 update'!C:C,'Included studies 2023 update'!X:X),"")</f>
        <v>Plasma</v>
      </c>
      <c r="AH7">
        <v>125</v>
      </c>
      <c r="AI7" t="str">
        <f>IF(ISTEXT(AB7),_xlfn.XLOOKUP(AB7,'Included studies 2023 update'!C:C,'Included studies 2023 update'!Z:Z),"")</f>
        <v>Retrospective</v>
      </c>
      <c r="AJ7">
        <f>IF(ISTEXT($AB7),_xlfn.XLOOKUP($AB7,'Included studies 2023 update'!$C:$C,'Included studies 2023 update'!AA:AA),"")</f>
        <v>91</v>
      </c>
      <c r="AK7">
        <f>IF(ISTEXT($AB7),_xlfn.XLOOKUP($AB7,'Included studies 2023 update'!$C:$C,'Included studies 2023 update'!AB:AB),"")</f>
        <v>142</v>
      </c>
      <c r="AL7">
        <f>IF(ISTEXT($AB7),_xlfn.XLOOKUP($AB7,'Included studies 2023 update'!$C:$C,'Included studies 2023 update'!AC:AC),"")</f>
        <v>0</v>
      </c>
      <c r="AM7">
        <f>IF(ISTEXT($AB7),_xlfn.XLOOKUP($AB7,'Included studies 2023 update'!$C:$C,'Included studies 2023 update'!AD:AD),"")</f>
        <v>0</v>
      </c>
      <c r="AN7">
        <f>IF(ISTEXT($AB7),_xlfn.XLOOKUP($AB7,'Included studies 2023 update'!$C:$C,'Included studies 2023 update'!AE:AE),"")</f>
        <v>0</v>
      </c>
      <c r="AO7">
        <f>IF(ISTEXT($AB7),_xlfn.XLOOKUP($AB7,'Included studies 2023 update'!$C:$C,'Included studies 2023 update'!AF:AF),"")</f>
        <v>0</v>
      </c>
      <c r="AP7">
        <f>IF(ISTEXT($AB7),_xlfn.XLOOKUP($AB7,'Included studies 2023 update'!$C:$C,'Included studies 2023 update'!AG:AG),"")</f>
        <v>0</v>
      </c>
      <c r="AQ7">
        <f>IF(ISTEXT($AB7),_xlfn.XLOOKUP($AB7,'Included studies 2023 update'!$C:$C,'Included studies 2023 update'!AH:AH),"")</f>
        <v>0</v>
      </c>
      <c r="AR7">
        <f>IF(ISTEXT($AB7),_xlfn.XLOOKUP($AB7,'Included studies 2023 update'!$C:$C,'Included studies 2023 update'!AI:AI),"")</f>
        <v>0</v>
      </c>
      <c r="AS7" s="85">
        <f>IF(ISTEXT($AB7),_xlfn.XLOOKUP($AB7,'Included studies 2023 update'!$C:$C,'Included studies 2023 update'!AJ:AJ),"")</f>
        <v>0</v>
      </c>
      <c r="AT7" s="85">
        <f>IF(ISTEXT($AB7),_xlfn.XLOOKUP($AB7,'Included studies 2023 update'!$C:$C,'Included studies 2023 update'!AK:AK),"")</f>
        <v>0</v>
      </c>
      <c r="AU7">
        <f>IF(ISTEXT($AB7),_xlfn.XLOOKUP($AB7,'Included studies 2023 update'!$C:$C,'Included studies 2023 update'!AL:AL),"")</f>
        <v>72</v>
      </c>
      <c r="AV7">
        <f>IF(ISTEXT($AB7),_xlfn.XLOOKUP($AB7,'Included studies 2023 update'!$C:$C,'Included studies 2023 update'!AM:AM),"")</f>
        <v>28</v>
      </c>
      <c r="AW7" t="str">
        <f>IF(ISTEXT($AB7),_xlfn.XLOOKUP($AB7,'Included studies 2023 update'!$C:$C,'Included studies 2023 update'!AN:AN),"")</f>
        <v>Other</v>
      </c>
      <c r="AX7" t="str">
        <f>IF(ISTEXT($AB7),_xlfn.XLOOKUP($AB7,'Included studies 2023 update'!$C:$C,'Included studies 2023 update'!AP:AP),"")</f>
        <v>Unclear or ND</v>
      </c>
      <c r="AY7" t="str">
        <f>IF(ISTEXT($AB7),_xlfn.XLOOKUP($AB7,'Included studies 2023 update'!$C:$C,'Included studies 2023 update'!AQ:AQ),"")</f>
        <v>Unclear or ND</v>
      </c>
      <c r="AZ7" t="str">
        <f>IF(ISTEXT($AB7),_xlfn.XLOOKUP($AB7,'Included studies 2023 update'!$C:$C,'Included studies 2023 update'!AR:AR),"")</f>
        <v>Unclear or ND</v>
      </c>
      <c r="BA7" t="str">
        <f>IF(ISTEXT($AB7),_xlfn.XLOOKUP($AB7,'Included studies 2023 update'!$C:$C,'Included studies 2023 update'!AS:AS),"")</f>
        <v>Unclear or ND</v>
      </c>
      <c r="BB7" t="str">
        <f>IF(ISTEXT($AB7),_xlfn.XLOOKUP($AB7,'Included studies 2023 update'!$C:$C,'Included studies 2023 update'!AT:AT),"")</f>
        <v>Unclear or ND</v>
      </c>
      <c r="BC7" t="str">
        <f>IF(ISTEXT($AB7),_xlfn.XLOOKUP($AB7,'Included studies 2023 update'!$C:$C,'Included studies 2023 update'!AU:AU),"")</f>
        <v>Unclear or ND</v>
      </c>
      <c r="BD7" t="str">
        <f>IF(ISTEXT($AB7),_xlfn.XLOOKUP($AB7,'Included studies 2023 update'!$C:$C,'Included studies 2023 update'!AV:AV),"")</f>
        <v>Unclear or ND</v>
      </c>
      <c r="BE7" t="str">
        <f>IF(ISTEXT($AB7),_xlfn.XLOOKUP($AB7,'Included studies 2023 update'!$C:$C,'Included studies 2023 update'!AW:AW),"")</f>
        <v>Unclear or ND</v>
      </c>
      <c r="BF7" t="str">
        <f>IF(ISTEXT($AB7),_xlfn.XLOOKUP($AB7,'Included studies 2023 update'!$C:$C,'Included studies 2023 update'!AX:AX),"")</f>
        <v>Unclear or ND</v>
      </c>
      <c r="BG7" t="str">
        <f>IF(ISTEXT($AB7),_xlfn.XLOOKUP($AB7,'Included studies 2023 update'!$C:$C,'Included studies 2023 update'!AY:AY),"")</f>
        <v>Unclear or ND</v>
      </c>
      <c r="BH7" t="str">
        <f>IF(ISTEXT($AB7),_xlfn.XLOOKUP($AB7,'Included studies 2023 update'!$C:$C,'Included studies 2023 update'!AZ:AZ),"")</f>
        <v>Unclear or ND</v>
      </c>
      <c r="BI7" t="str">
        <f>IF(ISTEXT($AB7),_xlfn.XLOOKUP($AB7,'Included studies 2023 update'!$C:$C,'Included studies 2023 update'!BA:BA),"")</f>
        <v>Unclear or ND</v>
      </c>
      <c r="BJ7">
        <f>IF(ISTEXT($AB7),_xlfn.XLOOKUP($AB7,'Included studies 2023 update'!$C:$C,'Included studies 2023 update'!BB:BB),"")</f>
        <v>0</v>
      </c>
      <c r="BK7" t="str">
        <f>IF(ISTEXT($AB7),_xlfn.XLOOKUP($AB7,'Included studies 2023 update'!$C:$C,'Included studies 2023 update'!BC:BC),"")</f>
        <v>Unclear or ND</v>
      </c>
      <c r="BL7" t="str">
        <f>IF(ISTEXT($AB7),_xlfn.XLOOKUP($AB7,'Included studies 2023 update'!$C:$C,'Included studies 2023 update'!BD:BD),"")</f>
        <v>Unclear or ND</v>
      </c>
      <c r="BM7">
        <f>IF(ISTEXT($AB7),_xlfn.XLOOKUP($AB7,'Included studies 2023 update'!$C:$C,'Included studies 2023 update'!BE:BE),"")</f>
        <v>0</v>
      </c>
      <c r="BN7">
        <f>IF(ISTEXT($AB7),_xlfn.XLOOKUP($AB7,'Included studies 2023 update'!$C:$C,'Included studies 2023 update'!BF:BF),"")</f>
        <v>97</v>
      </c>
      <c r="BO7">
        <f>IF(ISTEXT($AB7),_xlfn.XLOOKUP($AB7,'Included studies 2023 update'!$C:$C,'Included studies 2023 update'!BG:BG),"")</f>
        <v>139</v>
      </c>
      <c r="BP7">
        <f>IF(ISTEXT($AB7),_xlfn.XLOOKUP($AB7,'Included studies 2023 update'!$C:$C,'Included studies 2023 update'!BH:BH),"")</f>
        <v>0</v>
      </c>
      <c r="BQ7">
        <f>IF(ISTEXT($AB7),_xlfn.XLOOKUP($AB7,'Included studies 2023 update'!$C:$C,'Included studies 2023 update'!BI:BI),"")</f>
        <v>64</v>
      </c>
      <c r="BR7">
        <f>IF(ISTEXT($AB7),_xlfn.XLOOKUP($AB7,'Included studies 2023 update'!$C:$C,'Included studies 2023 update'!BJ:BJ),"")</f>
        <v>0</v>
      </c>
      <c r="BS7">
        <f>IF(ISTEXT($AB7),_xlfn.XLOOKUP($AB7,'Included studies 2023 update'!$C:$C,'Included studies 2023 update'!BK:BK),"")</f>
        <v>172</v>
      </c>
    </row>
    <row r="8" spans="1:79" ht="13" customHeight="1">
      <c r="A8" s="2">
        <v>31075291</v>
      </c>
      <c r="B8" s="11" t="s">
        <v>2659</v>
      </c>
      <c r="C8" s="2" t="s">
        <v>265</v>
      </c>
      <c r="D8" s="2" t="s">
        <v>2660</v>
      </c>
      <c r="E8" s="2" t="s">
        <v>2661</v>
      </c>
      <c r="F8" s="2">
        <v>2019</v>
      </c>
      <c r="G8" s="2" t="s">
        <v>10</v>
      </c>
      <c r="I8" s="2"/>
      <c r="J8" s="14" t="s">
        <v>2668</v>
      </c>
      <c r="K8" s="2">
        <f t="shared" si="0"/>
        <v>1</v>
      </c>
      <c r="L8" s="14" t="s">
        <v>111</v>
      </c>
      <c r="M8" s="2">
        <f t="shared" si="1"/>
        <v>4</v>
      </c>
      <c r="N8" s="14" t="s">
        <v>2669</v>
      </c>
      <c r="O8" s="2">
        <f t="shared" si="2"/>
        <v>1</v>
      </c>
      <c r="Q8" s="2">
        <v>27522040</v>
      </c>
      <c r="R8">
        <f>IF(ISNUMBER(Q8), _xlfn.XLOOKUP(Q8,'Included studies 2023 update'!A:A,'Included studies 2023 update'!K:K)+_xlfn.XLOOKUP(Q8,'Included studies 2023 update'!A:A,'Included studies 2023 update'!L:L),"")</f>
        <v>130</v>
      </c>
      <c r="U8" s="164"/>
      <c r="V8" s="110" t="s">
        <v>3425</v>
      </c>
      <c r="W8" s="109" t="str">
        <f>""&amp;TEXT(COUNTIFS(AD:AD,"No",AE:AE,V8),"0")&amp;" ("&amp;TEXT(COUNTIFS(AD:AD,"No",AE:AE,V8)/SUM(COUNTIFS(AD:AD,"No",AE:AE,V$6),COUNTIFS(AD:AD,"No",AE:AE,V$7),COUNTIFS(AD:AD,"No",AE:AE,V$8)),"0.0%")&amp;")"</f>
        <v>11 (39.3%)</v>
      </c>
      <c r="X8" s="109" t="str" cm="1">
        <f t="array" ref="X8">""&amp;TEXT(SUM(IF(_xlfn._xlws.FILTER(_xlfn._xlws.FILTER('Included studies 2023 update'!$I:$I,('Included studies 2023 update'!$E:$E="No")*('Included studies 2023 update'!$H:$H=X$2)),_xlfn._xlws.FILTER('Included studies 2023 update'!$I:$I,('Included studies 2023 update'!$E:$E="No")*('Included studies 2023 update'!$H:$H=X$2))=$V8,0)=0,0,1)),"0")&amp;" ("&amp;TEXT(SUM(IF(_xlfn._xlws.FILTER(_xlfn._xlws.FILTER('Included studies 2023 update'!$I:$I,('Included studies 2023 update'!$E:$E="No")*('Included studies 2023 update'!$H:$H=X$2)),_xlfn._xlws.FILTER('Included studies 2023 update'!$I:$I,('Included studies 2023 update'!$E:$E="No")*('Included studies 2023 update'!$H:$H=X$2))=$V8,0)=0,0,1))/SUM(SUM(IF(_xlfn._xlws.FILTER(_xlfn._xlws.FILTER('Included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11 (44.0%)</v>
      </c>
      <c r="Y8" s="109" t="str" cm="1">
        <f t="array" ref="Y8">""&amp;TEXT(SUM(IF(_xlfn._xlws.FILTER(_xlfn._xlws.FILTER('Included studies 2023 update'!$I:$I,('Included studies 2023 update'!$E:$E="No")*('Included studies 2023 update'!$H:$H=Y$2)),_xlfn._xlws.FILTER('Included studies 2023 update'!$I:$I,('Included studies 2023 update'!$E:$E="No")*('Included studies 2023 update'!$H:$H=Y$2))=$V8,0)=0,0,1)),"0")&amp;" ("&amp;TEXT(SUM(IF(_xlfn._xlws.FILTER(_xlfn._xlws.FILTER('Included studies 2023 update'!$I:$I,('Included studies 2023 update'!$E:$E="No")*('Included studies 2023 update'!$H:$H=Y$2)),_xlfn._xlws.FILTER('Included studies 2023 update'!$I:$I,('Included studies 2023 update'!$E:$E="No")*('Included studies 2023 update'!$H:$H=Y$2))=$V8,0)=0,0,1))/SUM(SUM(IF(_xlfn._xlws.FILTER(_xlfn._xlws.FILTER('Included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8" s="109" t="str" cm="1">
        <f t="array" ref="Z8">""&amp;TEXT(SUM(IF(_xlfn._xlws.FILTER(_xlfn._xlws.FILTER('Included studies 2023 update'!$I:$I,('Included studies 2023 update'!$E:$E="No")*('Included studies 2023 update'!$H:$H=Z$2)),_xlfn._xlws.FILTER('Included studies 2023 update'!$I:$I,('Included studies 2023 update'!$E:$E="No")*('Included studies 2023 update'!$H:$H=Z$2))=$V8,0)=0,0,1)),"0")&amp;" ("&amp;TEXT(SUM(IF(_xlfn._xlws.FILTER(_xlfn._xlws.FILTER('Included studies 2023 update'!$I:$I,('Included studies 2023 update'!$E:$E="No")*('Included studies 2023 update'!$H:$H=Z$2)),_xlfn._xlws.FILTER('Included studies 2023 update'!$I:$I,('Included studies 2023 update'!$E:$E="No")*('Included studies 2023 update'!$H:$H=Z$2))=$V8,0)=0,0,1))/SUM(SUM(IF(_xlfn._xlws.FILTER(_xlfn._xlws.FILTER('Included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8" s="82"/>
      <c r="AB8" t="str">
        <v>https://pubmed.ncbi.nlm.nih.gov/27522040/</v>
      </c>
      <c r="AC8">
        <f>IF(ISTEXT(AB8),_xlfn.XLOOKUP(AB8,'Included studies 2023 update'!C:C,'Included studies 2023 update'!J:J),"")</f>
        <v>130</v>
      </c>
      <c r="AD8" t="str">
        <f>IF(ISTEXT(AB8),_xlfn.XLOOKUP(AB8,'Included studies 2023 update'!C:C,'Included studies 2023 update'!E:E),"")</f>
        <v>No</v>
      </c>
      <c r="AE8" t="str">
        <f>IF(ISTEXT(AB8),_xlfn.XLOOKUP(AB8,'Included studies 2023 update'!C:C,'Included studies 2023 update'!I:I),"")</f>
        <v>Adult</v>
      </c>
      <c r="AF8" t="str">
        <f>IF(ISTEXT(AB8),_xlfn.XLOOKUP(AB8,'Included studies 2023 update'!C:C,'Included studies 2023 update'!U:U),"")</f>
        <v>ACY</v>
      </c>
      <c r="AG8" t="str">
        <f>IF(ISTEXT(AB8),_xlfn.XLOOKUP(AB8,'Included studies 2023 update'!C:C,'Included studies 2023 update'!X:X),"")</f>
        <v>Unclear or ND</v>
      </c>
      <c r="AH8" t="str">
        <f>IF(ISTEXT(AB8),_xlfn.XLOOKUP(AB8,'Included studies 2023 update'!C:C,'Included studies 2023 update'!Y:Y),"")</f>
        <v>Unclear or ND</v>
      </c>
      <c r="AI8" t="str">
        <f>IF(ISTEXT(AB8),_xlfn.XLOOKUP(AB8,'Included studies 2023 update'!C:C,'Included studies 2023 update'!Z:Z),"")</f>
        <v>Retrospective</v>
      </c>
      <c r="AJ8">
        <f>IF(ISTEXT($AB8),_xlfn.XLOOKUP($AB8,'Included studies 2023 update'!$C:$C,'Included studies 2023 update'!AA:AA),"")</f>
        <v>66</v>
      </c>
      <c r="AK8">
        <f>IF(ISTEXT($AB8),_xlfn.XLOOKUP($AB8,'Included studies 2023 update'!$C:$C,'Included studies 2023 update'!AB:AB),"")</f>
        <v>0</v>
      </c>
      <c r="AL8">
        <f>IF(ISTEXT($AB8),_xlfn.XLOOKUP($AB8,'Included studies 2023 update'!$C:$C,'Included studies 2023 update'!AC:AC),"")</f>
        <v>5</v>
      </c>
      <c r="AM8">
        <f>IF(ISTEXT($AB8),_xlfn.XLOOKUP($AB8,'Included studies 2023 update'!$C:$C,'Included studies 2023 update'!AD:AD),"")</f>
        <v>0</v>
      </c>
      <c r="AN8">
        <f>IF(ISTEXT($AB8),_xlfn.XLOOKUP($AB8,'Included studies 2023 update'!$C:$C,'Included studies 2023 update'!AE:AE),"")</f>
        <v>7</v>
      </c>
      <c r="AO8">
        <f>IF(ISTEXT($AB8),_xlfn.XLOOKUP($AB8,'Included studies 2023 update'!$C:$C,'Included studies 2023 update'!AF:AF),"")</f>
        <v>16</v>
      </c>
      <c r="AP8">
        <f>IF(ISTEXT($AB8),_xlfn.XLOOKUP($AB8,'Included studies 2023 update'!$C:$C,'Included studies 2023 update'!AG:AG),"")</f>
        <v>11</v>
      </c>
      <c r="AQ8">
        <f>IF(ISTEXT($AB8),_xlfn.XLOOKUP($AB8,'Included studies 2023 update'!$C:$C,'Included studies 2023 update'!AH:AH),"")</f>
        <v>0</v>
      </c>
      <c r="AR8">
        <f>IF(ISTEXT($AB8),_xlfn.XLOOKUP($AB8,'Included studies 2023 update'!$C:$C,'Included studies 2023 update'!AI:AI),"")</f>
        <v>0</v>
      </c>
      <c r="AS8" s="85">
        <f>IF(ISTEXT($AB8),_xlfn.XLOOKUP($AB8,'Included studies 2023 update'!$C:$C,'Included studies 2023 update'!AJ:AJ),"")</f>
        <v>0</v>
      </c>
      <c r="AT8" s="85">
        <f>IF(ISTEXT($AB8),_xlfn.XLOOKUP($AB8,'Included studies 2023 update'!$C:$C,'Included studies 2023 update'!AK:AK),"")</f>
        <v>0</v>
      </c>
      <c r="AU8">
        <f>IF(ISTEXT($AB8),_xlfn.XLOOKUP($AB8,'Included studies 2023 update'!$C:$C,'Included studies 2023 update'!AL:AL),"")</f>
        <v>0</v>
      </c>
      <c r="AV8">
        <f>IF(ISTEXT($AB8),_xlfn.XLOOKUP($AB8,'Included studies 2023 update'!$C:$C,'Included studies 2023 update'!AM:AM),"")</f>
        <v>100</v>
      </c>
      <c r="AW8" t="str">
        <f>IF(ISTEXT($AB8),_xlfn.XLOOKUP($AB8,'Included studies 2023 update'!$C:$C,'Included studies 2023 update'!AN:AN),"")</f>
        <v>1x per week</v>
      </c>
      <c r="AX8">
        <f>IF(ISTEXT($AB8),_xlfn.XLOOKUP($AB8,'Included studies 2023 update'!$C:$C,'Included studies 2023 update'!AP:AP),"")</f>
        <v>0</v>
      </c>
      <c r="AY8">
        <f>IF(ISTEXT($AB8),_xlfn.XLOOKUP($AB8,'Included studies 2023 update'!$C:$C,'Included studies 2023 update'!AQ:AQ),"")</f>
        <v>0</v>
      </c>
      <c r="AZ8">
        <f>IF(ISTEXT($AB8),_xlfn.XLOOKUP($AB8,'Included studies 2023 update'!$C:$C,'Included studies 2023 update'!AR:AR),"")</f>
        <v>0</v>
      </c>
      <c r="BA8">
        <f>IF(ISTEXT($AB8),_xlfn.XLOOKUP($AB8,'Included studies 2023 update'!$C:$C,'Included studies 2023 update'!AS:AS),"")</f>
        <v>0</v>
      </c>
      <c r="BB8">
        <f>IF(ISTEXT($AB8),_xlfn.XLOOKUP($AB8,'Included studies 2023 update'!$C:$C,'Included studies 2023 update'!AT:AT),"")</f>
        <v>0</v>
      </c>
      <c r="BC8">
        <f>IF(ISTEXT($AB8),_xlfn.XLOOKUP($AB8,'Included studies 2023 update'!$C:$C,'Included studies 2023 update'!AU:AU),"")</f>
        <v>0</v>
      </c>
      <c r="BD8">
        <f>IF(ISTEXT($AB8),_xlfn.XLOOKUP($AB8,'Included studies 2023 update'!$C:$C,'Included studies 2023 update'!AV:AV),"")</f>
        <v>0</v>
      </c>
      <c r="BE8">
        <f>IF(ISTEXT($AB8),_xlfn.XLOOKUP($AB8,'Included studies 2023 update'!$C:$C,'Included studies 2023 update'!AW:AW),"")</f>
        <v>0</v>
      </c>
      <c r="BF8">
        <f>IF(ISTEXT($AB8),_xlfn.XLOOKUP($AB8,'Included studies 2023 update'!$C:$C,'Included studies 2023 update'!AX:AX),"")</f>
        <v>0</v>
      </c>
      <c r="BG8">
        <f>IF(ISTEXT($AB8),_xlfn.XLOOKUP($AB8,'Included studies 2023 update'!$C:$C,'Included studies 2023 update'!AY:AY),"")</f>
        <v>0</v>
      </c>
      <c r="BH8">
        <f>IF(ISTEXT($AB8),_xlfn.XLOOKUP($AB8,'Included studies 2023 update'!$C:$C,'Included studies 2023 update'!AZ:AZ),"")</f>
        <v>0</v>
      </c>
      <c r="BI8">
        <f>IF(ISTEXT($AB8),_xlfn.XLOOKUP($AB8,'Included studies 2023 update'!$C:$C,'Included studies 2023 update'!BA:BA),"")</f>
        <v>0</v>
      </c>
      <c r="BJ8">
        <f>IF(ISTEXT($AB8),_xlfn.XLOOKUP($AB8,'Included studies 2023 update'!$C:$C,'Included studies 2023 update'!BB:BB),"")</f>
        <v>53</v>
      </c>
      <c r="BK8">
        <f>IF(ISTEXT($AB8),_xlfn.XLOOKUP($AB8,'Included studies 2023 update'!$C:$C,'Included studies 2023 update'!BC:BC),"")</f>
        <v>0</v>
      </c>
      <c r="BL8">
        <f>IF(ISTEXT($AB8),_xlfn.XLOOKUP($AB8,'Included studies 2023 update'!$C:$C,'Included studies 2023 update'!BD:BD),"")</f>
        <v>0</v>
      </c>
      <c r="BM8">
        <f>IF(ISTEXT($AB8),_xlfn.XLOOKUP($AB8,'Included studies 2023 update'!$C:$C,'Included studies 2023 update'!BE:BE),"")</f>
        <v>59</v>
      </c>
      <c r="BN8" t="str">
        <f>IF(ISTEXT($AB8),_xlfn.XLOOKUP($AB8,'Included studies 2023 update'!$C:$C,'Included studies 2023 update'!BF:BF),"")</f>
        <v>Unclear or ND</v>
      </c>
      <c r="BO8" t="str">
        <f>IF(ISTEXT($AB8),_xlfn.XLOOKUP($AB8,'Included studies 2023 update'!$C:$C,'Included studies 2023 update'!BG:BG),"")</f>
        <v>Unclear or ND</v>
      </c>
      <c r="BP8">
        <f>IF(ISTEXT($AB8),_xlfn.XLOOKUP($AB8,'Included studies 2023 update'!$C:$C,'Included studies 2023 update'!BH:BH),"")</f>
        <v>43</v>
      </c>
      <c r="BQ8">
        <f>IF(ISTEXT($AB8),_xlfn.XLOOKUP($AB8,'Included studies 2023 update'!$C:$C,'Included studies 2023 update'!BI:BI),"")</f>
        <v>0</v>
      </c>
      <c r="BR8">
        <f>IF(ISTEXT($AB8),_xlfn.XLOOKUP($AB8,'Included studies 2023 update'!$C:$C,'Included studies 2023 update'!BJ:BJ),"")</f>
        <v>70</v>
      </c>
      <c r="BS8">
        <f>IF(ISTEXT($AB8),_xlfn.XLOOKUP($AB8,'Included studies 2023 update'!$C:$C,'Included studies 2023 update'!BK:BK),"")</f>
        <v>0</v>
      </c>
    </row>
    <row r="9" spans="1:79" ht="13" customHeight="1">
      <c r="A9" s="2">
        <v>24315842</v>
      </c>
      <c r="B9" s="11" t="s">
        <v>2665</v>
      </c>
      <c r="C9" s="2" t="s">
        <v>492</v>
      </c>
      <c r="D9" s="2" t="s">
        <v>2666</v>
      </c>
      <c r="E9" s="2" t="s">
        <v>2667</v>
      </c>
      <c r="F9" s="2">
        <v>2014</v>
      </c>
      <c r="G9" s="2" t="s">
        <v>10</v>
      </c>
      <c r="I9" s="2"/>
      <c r="J9" s="14" t="s">
        <v>2673</v>
      </c>
      <c r="K9" s="2">
        <f t="shared" si="0"/>
        <v>1</v>
      </c>
      <c r="L9" s="14" t="s">
        <v>2674</v>
      </c>
      <c r="M9" s="2">
        <f t="shared" si="1"/>
        <v>1</v>
      </c>
      <c r="N9" s="14" t="s">
        <v>2675</v>
      </c>
      <c r="O9" s="2">
        <f t="shared" si="2"/>
        <v>1</v>
      </c>
      <c r="Q9" s="2">
        <v>21549850</v>
      </c>
      <c r="R9">
        <f>IF(ISNUMBER(Q9), _xlfn.XLOOKUP(Q9,'Included studies 2023 update'!A:A,'Included studies 2023 update'!K:K)+_xlfn.XLOOKUP(Q9,'Included studies 2023 update'!A:A,'Included studies 2023 update'!L:L),"")</f>
        <v>82</v>
      </c>
      <c r="U9" s="165" t="s">
        <v>3657</v>
      </c>
      <c r="V9" s="130" t="s">
        <v>3661</v>
      </c>
      <c r="W9" s="111" t="str">
        <f>""&amp;TEXT(COUNTIFS(AD:AD,"No",AI:AI,V9),"0")&amp;" ("&amp;TEXT(COUNTIFS(AD:AD,"No",AI:AI,V9)/SUM(COUNTIFS(AD:AD,"No",AI:AI,$V$9),COUNTIFS(AD:AD,"No",AI:AI,$V$10)),"0.0%")&amp;")"</f>
        <v>16 (57.1%)</v>
      </c>
      <c r="X9" s="112" t="str" cm="1">
        <f t="array" ref="X9">""&amp;TEXT(SUM(IF(_xlfn._xlws.FILTER(_xlfn._xlws.FILTER('Included studies 2023 update'!$Z:$Z,('Included studies 2023 update'!$E:$E="No")*('Included studies 2023 update'!$H:$H=X$2)),_xlfn._xlws.FILTER('Included studies 2023 update'!$Z:$Z,('Included studies 2023 update'!$E:$E="No")*('Included studies 2023 update'!$H:$H=X$2))=$V9,0)=0,0,1)),"0")&amp;" ("&amp;TEXT(SUM(IF(_xlfn._xlws.FILTER(_xlfn._xlws.FILTER('Included studies 2023 update'!$Z:$Z,('Included studies 2023 update'!$E:$E="No")*('Included studies 2023 update'!$H:$H=X$2)),_xlfn._xlws.FILTER('Included studies 2023 update'!$Z:$Z,('Included studies 2023 update'!$E:$E="No")*('Included studies 2023 update'!$H:$H=X$2))=$V9,0)=0,0,1))/SUM(SUM(IF(_xlfn._xlws.FILTER(_xlfn._xlws.FILTER('Included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15 (60.0%)</v>
      </c>
      <c r="Y9" s="112" t="str" cm="1">
        <f t="array" ref="Y9">""&amp;TEXT(SUM(IF(_xlfn._xlws.FILTER(_xlfn._xlws.FILTER('Included studies 2023 update'!$Z:$Z,('Included studies 2023 update'!$E:$E="No")*('Included studies 2023 update'!$H:$H=Y$2)),_xlfn._xlws.FILTER('Included studies 2023 update'!$Z:$Z,('Included studies 2023 update'!$E:$E="No")*('Included studies 2023 update'!$H:$H=Y$2))=$V9,0)=0,0,1)),"0")&amp;" ("&amp;TEXT(SUM(IF(_xlfn._xlws.FILTER(_xlfn._xlws.FILTER('Included studies 2023 update'!$Z:$Z,('Included studies 2023 update'!$E:$E="No")*('Included studies 2023 update'!$H:$H=Y$2)),_xlfn._xlws.FILTER('Included studies 2023 update'!$Z:$Z,('Included studies 2023 update'!$E:$E="No")*('Included studies 2023 update'!$H:$H=Y$2))=$V9,0)=0,0,1))/SUM(SUM(IF(_xlfn._xlws.FILTER(_xlfn._xlws.FILTER('Included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5 (62.5%)</v>
      </c>
      <c r="Z9" s="112" t="str" cm="1">
        <f t="array" ref="Z9">""&amp;TEXT(SUM(IF(_xlfn._xlws.FILTER(_xlfn._xlws.FILTER('Included studies 2023 update'!$Z:$Z,('Included studies 2023 update'!$E:$E="No")*('Included studies 2023 update'!$H:$H=Z$2)),_xlfn._xlws.FILTER('Included studies 2023 update'!$Z:$Z,('Included studies 2023 update'!$E:$E="No")*('Included studies 2023 update'!$H:$H=Z$2))=$V9,0)=0,0,1)),"0")&amp;" ("&amp;TEXT(SUM(IF(_xlfn._xlws.FILTER(_xlfn._xlws.FILTER('Included studies 2023 update'!$Z:$Z,('Included studies 2023 update'!$E:$E="No")*('Included studies 2023 update'!$H:$H=Z$2)),_xlfn._xlws.FILTER('Included studies 2023 update'!$Z:$Z,('Included studies 2023 update'!$E:$E="No")*('Included studies 2023 update'!$H:$H=Z$2))=$V9,0)=0,0,1))/SUM(SUM(IF(_xlfn._xlws.FILTER(_xlfn._xlws.FILTER('Included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4 (57.1%)</v>
      </c>
      <c r="AA9" s="82"/>
      <c r="AB9" t="str">
        <v>https://pubmed.ncbi.nlm.nih.gov/21549850/</v>
      </c>
      <c r="AC9">
        <f>IF(ISTEXT(AB9),_xlfn.XLOOKUP(AB9,'Included studies 2023 update'!C:C,'Included studies 2023 update'!J:J),"")</f>
        <v>82</v>
      </c>
      <c r="AD9" t="str">
        <f>IF(ISTEXT(AB9),_xlfn.XLOOKUP(AB9,'Included studies 2023 update'!C:C,'Included studies 2023 update'!E:E),"")</f>
        <v>No</v>
      </c>
      <c r="AE9" t="str">
        <f>IF(ISTEXT(AB9),_xlfn.XLOOKUP(AB9,'Included studies 2023 update'!C:C,'Included studies 2023 update'!I:I),"")</f>
        <v>Both</v>
      </c>
      <c r="AF9" t="str">
        <f>IF(ISTEXT(AB9),_xlfn.XLOOKUP(AB9,'Included studies 2023 update'!C:C,'Included studies 2023 update'!U:U),"")</f>
        <v>ACY</v>
      </c>
      <c r="AG9" t="str">
        <f>IF(ISTEXT(AB9),_xlfn.XLOOKUP(AB9,'Included studies 2023 update'!C:C,'Included studies 2023 update'!X:X),"")</f>
        <v>Whole blood</v>
      </c>
      <c r="AH9">
        <f>IF(ISTEXT(AB9),_xlfn.XLOOKUP(AB9,'Included studies 2023 update'!C:C,'Included studies 2023 update'!Y:Y),"")</f>
        <v>500</v>
      </c>
      <c r="AI9" t="str">
        <f>IF(ISTEXT(AB9),_xlfn.XLOOKUP(AB9,'Included studies 2023 update'!C:C,'Included studies 2023 update'!Z:Z),"")</f>
        <v>Prospective</v>
      </c>
      <c r="AJ9" t="str">
        <f>IF(ISTEXT($AB9),_xlfn.XLOOKUP($AB9,'Included studies 2023 update'!$C:$C,'Included studies 2023 update'!AA:AA),"")</f>
        <v>ND</v>
      </c>
      <c r="AK9" t="str">
        <f>IF(ISTEXT($AB9),_xlfn.XLOOKUP($AB9,'Included studies 2023 update'!$C:$C,'Included studies 2023 update'!AB:AB),"")</f>
        <v>ND</v>
      </c>
      <c r="AL9" t="str">
        <f>IF(ISTEXT($AB9),_xlfn.XLOOKUP($AB9,'Included studies 2023 update'!$C:$C,'Included studies 2023 update'!AC:AC),"")</f>
        <v>ND</v>
      </c>
      <c r="AM9" t="str">
        <f>IF(ISTEXT($AB9),_xlfn.XLOOKUP($AB9,'Included studies 2023 update'!$C:$C,'Included studies 2023 update'!AD:AD),"")</f>
        <v>ND</v>
      </c>
      <c r="AN9" t="str">
        <f>IF(ISTEXT($AB9),_xlfn.XLOOKUP($AB9,'Included studies 2023 update'!$C:$C,'Included studies 2023 update'!AE:AE),"")</f>
        <v>ND</v>
      </c>
      <c r="AO9" t="str">
        <f>IF(ISTEXT($AB9),_xlfn.XLOOKUP($AB9,'Included studies 2023 update'!$C:$C,'Included studies 2023 update'!AF:AF),"")</f>
        <v>ND</v>
      </c>
      <c r="AP9" t="str">
        <f>IF(ISTEXT($AB9),_xlfn.XLOOKUP($AB9,'Included studies 2023 update'!$C:$C,'Included studies 2023 update'!AG:AG),"")</f>
        <v>ND</v>
      </c>
      <c r="AQ9" t="str">
        <f>IF(ISTEXT($AB9),_xlfn.XLOOKUP($AB9,'Included studies 2023 update'!$C:$C,'Included studies 2023 update'!AH:AH),"")</f>
        <v>ND</v>
      </c>
      <c r="AR9" t="str">
        <f>IF(ISTEXT($AB9),_xlfn.XLOOKUP($AB9,'Included studies 2023 update'!$C:$C,'Included studies 2023 update'!AI:AI),"")</f>
        <v>ND</v>
      </c>
      <c r="AS9" s="85" t="str">
        <f>IF(ISTEXT($AB9),_xlfn.XLOOKUP($AB9,'Included studies 2023 update'!$C:$C,'Included studies 2023 update'!AJ:AJ),"")</f>
        <v>ND</v>
      </c>
      <c r="AT9" s="85" t="str">
        <f>IF(ISTEXT($AB9),_xlfn.XLOOKUP($AB9,'Included studies 2023 update'!$C:$C,'Included studies 2023 update'!AK:AK),"")</f>
        <v>ND</v>
      </c>
      <c r="AU9" t="str">
        <f>IF(ISTEXT($AB9),_xlfn.XLOOKUP($AB9,'Included studies 2023 update'!$C:$C,'Included studies 2023 update'!AL:AL),"")</f>
        <v>ND</v>
      </c>
      <c r="AV9">
        <f>IF(ISTEXT($AB9),_xlfn.XLOOKUP($AB9,'Included studies 2023 update'!$C:$C,'Included studies 2023 update'!AM:AM),"")</f>
        <v>28</v>
      </c>
      <c r="AW9" t="str">
        <f>IF(ISTEXT($AB9),_xlfn.XLOOKUP($AB9,'Included studies 2023 update'!$C:$C,'Included studies 2023 update'!AN:AN),"")</f>
        <v>1x per week</v>
      </c>
      <c r="AX9" t="str">
        <f>IF(ISTEXT($AB9),_xlfn.XLOOKUP($AB9,'Included studies 2023 update'!$C:$C,'Included studies 2023 update'!AP:AP),"")</f>
        <v>Unclear or ND</v>
      </c>
      <c r="AY9" t="str">
        <f>IF(ISTEXT($AB9),_xlfn.XLOOKUP($AB9,'Included studies 2023 update'!$C:$C,'Included studies 2023 update'!AQ:AQ),"")</f>
        <v>Unclear or ND</v>
      </c>
      <c r="AZ9" t="str">
        <f>IF(ISTEXT($AB9),_xlfn.XLOOKUP($AB9,'Included studies 2023 update'!$C:$C,'Included studies 2023 update'!AR:AR),"")</f>
        <v>Unclear or ND</v>
      </c>
      <c r="BA9" t="str">
        <f>IF(ISTEXT($AB9),_xlfn.XLOOKUP($AB9,'Included studies 2023 update'!$C:$C,'Included studies 2023 update'!AS:AS),"")</f>
        <v>Unclear or ND</v>
      </c>
      <c r="BB9" t="str">
        <f>IF(ISTEXT($AB9),_xlfn.XLOOKUP($AB9,'Included studies 2023 update'!$C:$C,'Included studies 2023 update'!AT:AT),"")</f>
        <v>Unclear or ND</v>
      </c>
      <c r="BC9" t="str">
        <f>IF(ISTEXT($AB9),_xlfn.XLOOKUP($AB9,'Included studies 2023 update'!$C:$C,'Included studies 2023 update'!AU:AU),"")</f>
        <v>Unclear or ND</v>
      </c>
      <c r="BD9" t="str">
        <f>IF(ISTEXT($AB9),_xlfn.XLOOKUP($AB9,'Included studies 2023 update'!$C:$C,'Included studies 2023 update'!AV:AV),"")</f>
        <v>Unclear or ND</v>
      </c>
      <c r="BE9" t="str">
        <f>IF(ISTEXT($AB9),_xlfn.XLOOKUP($AB9,'Included studies 2023 update'!$C:$C,'Included studies 2023 update'!AW:AW),"")</f>
        <v>Unclear or ND</v>
      </c>
      <c r="BF9" t="str">
        <f>IF(ISTEXT($AB9),_xlfn.XLOOKUP($AB9,'Included studies 2023 update'!$C:$C,'Included studies 2023 update'!AX:AX),"")</f>
        <v>Unclear or ND</v>
      </c>
      <c r="BG9" t="str">
        <f>IF(ISTEXT($AB9),_xlfn.XLOOKUP($AB9,'Included studies 2023 update'!$C:$C,'Included studies 2023 update'!AY:AY),"")</f>
        <v>Unclear or ND</v>
      </c>
      <c r="BH9" t="str">
        <f>IF(ISTEXT($AB9),_xlfn.XLOOKUP($AB9,'Included studies 2023 update'!$C:$C,'Included studies 2023 update'!AZ:AZ),"")</f>
        <v>Unclear or ND</v>
      </c>
      <c r="BI9" t="str">
        <f>IF(ISTEXT($AB9),_xlfn.XLOOKUP($AB9,'Included studies 2023 update'!$C:$C,'Included studies 2023 update'!BA:BA),"")</f>
        <v>Unclear or ND</v>
      </c>
      <c r="BJ9" t="str">
        <f>IF(ISTEXT($AB9),_xlfn.XLOOKUP($AB9,'Included studies 2023 update'!$C:$C,'Included studies 2023 update'!BB:BB),"")</f>
        <v>Unclear or ND</v>
      </c>
      <c r="BK9" t="str">
        <f>IF(ISTEXT($AB9),_xlfn.XLOOKUP($AB9,'Included studies 2023 update'!$C:$C,'Included studies 2023 update'!BC:BC),"")</f>
        <v>Unclear or ND</v>
      </c>
      <c r="BL9" t="str">
        <f>IF(ISTEXT($AB9),_xlfn.XLOOKUP($AB9,'Included studies 2023 update'!$C:$C,'Included studies 2023 update'!BD:BD),"")</f>
        <v>Unclear or ND</v>
      </c>
      <c r="BM9" t="str">
        <f>IF(ISTEXT($AB9),_xlfn.XLOOKUP($AB9,'Included studies 2023 update'!$C:$C,'Included studies 2023 update'!BE:BE),"")</f>
        <v>Unclear or ND</v>
      </c>
      <c r="BN9" t="str">
        <f>IF(ISTEXT($AB9),_xlfn.XLOOKUP($AB9,'Included studies 2023 update'!$C:$C,'Included studies 2023 update'!BF:BF),"")</f>
        <v>Unclear or ND</v>
      </c>
      <c r="BO9" t="str">
        <f>IF(ISTEXT($AB9),_xlfn.XLOOKUP($AB9,'Included studies 2023 update'!$C:$C,'Included studies 2023 update'!BG:BG),"")</f>
        <v>Unclear or ND</v>
      </c>
      <c r="BP9">
        <f>IF(ISTEXT($AB9),_xlfn.XLOOKUP($AB9,'Included studies 2023 update'!$C:$C,'Included studies 2023 update'!BH:BH),"")</f>
        <v>0</v>
      </c>
      <c r="BQ9">
        <f>IF(ISTEXT($AB9),_xlfn.XLOOKUP($AB9,'Included studies 2023 update'!$C:$C,'Included studies 2023 update'!BI:BI),"")</f>
        <v>54</v>
      </c>
      <c r="BR9">
        <f>IF(ISTEXT($AB9),_xlfn.XLOOKUP($AB9,'Included studies 2023 update'!$C:$C,'Included studies 2023 update'!BJ:BJ),"")</f>
        <v>0</v>
      </c>
      <c r="BS9">
        <f>IF(ISTEXT($AB9),_xlfn.XLOOKUP($AB9,'Included studies 2023 update'!$C:$C,'Included studies 2023 update'!BK:BK),"")</f>
        <v>28</v>
      </c>
    </row>
    <row r="10" spans="1:79" ht="13" customHeight="1">
      <c r="A10" s="2">
        <v>21549850</v>
      </c>
      <c r="B10" s="11" t="s">
        <v>2670</v>
      </c>
      <c r="C10" s="2" t="s">
        <v>432</v>
      </c>
      <c r="D10" s="2" t="s">
        <v>2671</v>
      </c>
      <c r="E10" s="2" t="s">
        <v>2672</v>
      </c>
      <c r="F10" s="2">
        <v>2011</v>
      </c>
      <c r="G10" s="2" t="s">
        <v>10</v>
      </c>
      <c r="I10" s="2"/>
      <c r="J10" s="14" t="s">
        <v>2679</v>
      </c>
      <c r="K10" s="2">
        <f t="shared" si="0"/>
        <v>1</v>
      </c>
      <c r="L10" s="14" t="s">
        <v>2680</v>
      </c>
      <c r="M10" s="2">
        <f t="shared" si="1"/>
        <v>1</v>
      </c>
      <c r="N10" s="14" t="s">
        <v>2681</v>
      </c>
      <c r="O10" s="2">
        <f t="shared" si="2"/>
        <v>1</v>
      </c>
      <c r="Q10" s="2">
        <v>26984480</v>
      </c>
      <c r="R10">
        <f>IF(ISNUMBER(Q10), _xlfn.XLOOKUP(Q10,'Included studies 2023 update'!A:A,'Included studies 2023 update'!K:K)+_xlfn.XLOOKUP(Q10,'Included studies 2023 update'!A:A,'Included studies 2023 update'!L:L),"")</f>
        <v>92</v>
      </c>
      <c r="U10" s="164"/>
      <c r="V10" s="131" t="s">
        <v>3659</v>
      </c>
      <c r="W10" s="132" t="str">
        <f>""&amp;TEXT(COUNTIFS(AD:AD,"No",AI:AI,V10),"0")&amp;" ("&amp;TEXT(COUNTIFS(AD:AD,"No",AI:AI,V10)/SUM(COUNTIFS(AD:AD,"No",AI:AI,$V$9),COUNTIFS(AD:AD,"No",AI:AI,$V$10)),"0.0%")&amp;")"</f>
        <v>12 (42.9%)</v>
      </c>
      <c r="X10" s="118" t="str" cm="1">
        <f t="array" ref="X10">""&amp;TEXT(SUM(IF(_xlfn._xlws.FILTER(_xlfn._xlws.FILTER('Included studies 2023 update'!$Z:$Z,('Included studies 2023 update'!$E:$E="No")*('Included studies 2023 update'!$H:$H=X$2)),_xlfn._xlws.FILTER('Included studies 2023 update'!$Z:$Z,('Included studies 2023 update'!$E:$E="No")*('Included studies 2023 update'!$H:$H=X$2))=$V10,0)=0,0,1)),"0")&amp;" ("&amp;TEXT(SUM(IF(_xlfn._xlws.FILTER(_xlfn._xlws.FILTER('Included studies 2023 update'!$Z:$Z,('Included studies 2023 update'!$E:$E="No")*('Included studies 2023 update'!$H:$H=X$2)),_xlfn._xlws.FILTER('Included studies 2023 update'!$Z:$Z,('Included studies 2023 update'!$E:$E="No")*('Included studies 2023 update'!$H:$H=X$2))=$V10,0)=0,0,1))/SUM(SUM(IF(_xlfn._xlws.FILTER(_xlfn._xlws.FILTER('Included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10 (40.0%)</v>
      </c>
      <c r="Y10" s="118" t="str" cm="1">
        <f t="array" ref="Y10">""&amp;TEXT(SUM(IF(_xlfn._xlws.FILTER(_xlfn._xlws.FILTER('Included studies 2023 update'!$Z:$Z,('Included studies 2023 update'!$E:$E="No")*('Included studies 2023 update'!$H:$H=Y$2)),_xlfn._xlws.FILTER('Included studies 2023 update'!$Z:$Z,('Included studies 2023 update'!$E:$E="No")*('Included studies 2023 update'!$H:$H=Y$2))=$V10,0)=0,0,1)),"0")&amp;" ("&amp;TEXT(SUM(IF(_xlfn._xlws.FILTER(_xlfn._xlws.FILTER('Included studies 2023 update'!$Z:$Z,('Included studies 2023 update'!$E:$E="No")*('Included studies 2023 update'!$H:$H=Y$2)),_xlfn._xlws.FILTER('Included studies 2023 update'!$Z:$Z,('Included studies 2023 update'!$E:$E="No")*('Included studies 2023 update'!$H:$H=Y$2))=$V10,0)=0,0,1))/SUM(SUM(IF(_xlfn._xlws.FILTER(_xlfn._xlws.FILTER('Included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3 (37.5%)</v>
      </c>
      <c r="Z10" s="118" t="str" cm="1">
        <f t="array" ref="Z10">""&amp;TEXT(SUM(IF(_xlfn._xlws.FILTER(_xlfn._xlws.FILTER('Included studies 2023 update'!$Z:$Z,('Included studies 2023 update'!$E:$E="No")*('Included studies 2023 update'!$H:$H=Z$2)),_xlfn._xlws.FILTER('Included studies 2023 update'!$Z:$Z,('Included studies 2023 update'!$E:$E="No")*('Included studies 2023 update'!$H:$H=Z$2))=$V10,0)=0,0,1)),"0")&amp;" ("&amp;TEXT(SUM(IF(_xlfn._xlws.FILTER(_xlfn._xlws.FILTER('Included studies 2023 update'!$Z:$Z,('Included studies 2023 update'!$E:$E="No")*('Included studies 2023 update'!$H:$H=Z$2)),_xlfn._xlws.FILTER('Included studies 2023 update'!$Z:$Z,('Included studies 2023 update'!$E:$E="No")*('Included studies 2023 update'!$H:$H=Z$2))=$V10,0)=0,0,1))/SUM(SUM(IF(_xlfn._xlws.FILTER(_xlfn._xlws.FILTER('Included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3 (42.9%)</v>
      </c>
      <c r="AA10" s="82"/>
      <c r="AB10" t="str">
        <v>https://pubmed.ncbi.nlm.nih.gov/26984480/</v>
      </c>
      <c r="AC10">
        <f>IF(ISTEXT(AB10),_xlfn.XLOOKUP(AB10,'Included studies 2023 update'!C:C,'Included studies 2023 update'!J:J),"")</f>
        <v>92</v>
      </c>
      <c r="AD10" t="str">
        <f>IF(ISTEXT(AB10),_xlfn.XLOOKUP(AB10,'Included studies 2023 update'!C:C,'Included studies 2023 update'!E:E),"")</f>
        <v>No</v>
      </c>
      <c r="AE10" t="str">
        <f>IF(ISTEXT(AB10),_xlfn.XLOOKUP(AB10,'Included studies 2023 update'!C:C,'Included studies 2023 update'!I:I),"")</f>
        <v>Adult</v>
      </c>
      <c r="AF10" t="str">
        <f>IF(ISTEXT(AB10),_xlfn.XLOOKUP(AB10,'Included studies 2023 update'!C:C,'Included studies 2023 update'!U:U),"")</f>
        <v>GAN</v>
      </c>
      <c r="AG10" t="str">
        <f>IF(ISTEXT(AB10),_xlfn.XLOOKUP(AB10,'Included studies 2023 update'!C:C,'Included studies 2023 update'!X:X),"")</f>
        <v>Plasma</v>
      </c>
      <c r="AH10">
        <f>IF(ISTEXT(AB10),_xlfn.XLOOKUP(AB10,'Included studies 2023 update'!C:C,'Included studies 2023 update'!Y:Y),"")</f>
        <v>200</v>
      </c>
      <c r="AI10" t="str">
        <f>IF(ISTEXT(AB10),_xlfn.XLOOKUP(AB10,'Included studies 2023 update'!C:C,'Included studies 2023 update'!Z:Z),"")</f>
        <v>Retrospective</v>
      </c>
      <c r="AJ10">
        <f>IF(ISTEXT($AB10),_xlfn.XLOOKUP($AB10,'Included studies 2023 update'!$C:$C,'Included studies 2023 update'!AA:AA),"")</f>
        <v>0</v>
      </c>
      <c r="AK10">
        <f>IF(ISTEXT($AB10),_xlfn.XLOOKUP($AB10,'Included studies 2023 update'!$C:$C,'Included studies 2023 update'!AB:AB),"")</f>
        <v>0</v>
      </c>
      <c r="AL10">
        <f>IF(ISTEXT($AB10),_xlfn.XLOOKUP($AB10,'Included studies 2023 update'!$C:$C,'Included studies 2023 update'!AC:AC),"")</f>
        <v>0</v>
      </c>
      <c r="AM10">
        <f>IF(ISTEXT($AB10),_xlfn.XLOOKUP($AB10,'Included studies 2023 update'!$C:$C,'Included studies 2023 update'!AD:AD),"")</f>
        <v>0</v>
      </c>
      <c r="AN10">
        <f>IF(ISTEXT($AB10),_xlfn.XLOOKUP($AB10,'Included studies 2023 update'!$C:$C,'Included studies 2023 update'!AE:AE),"")</f>
        <v>0</v>
      </c>
      <c r="AO10">
        <f>IF(ISTEXT($AB10),_xlfn.XLOOKUP($AB10,'Included studies 2023 update'!$C:$C,'Included studies 2023 update'!AF:AF),"")</f>
        <v>0</v>
      </c>
      <c r="AP10">
        <f>IF(ISTEXT($AB10),_xlfn.XLOOKUP($AB10,'Included studies 2023 update'!$C:$C,'Included studies 2023 update'!AG:AG),"")</f>
        <v>18</v>
      </c>
      <c r="AQ10">
        <f>IF(ISTEXT($AB10),_xlfn.XLOOKUP($AB10,'Included studies 2023 update'!$C:$C,'Included studies 2023 update'!AH:AH),"")</f>
        <v>61</v>
      </c>
      <c r="AR10">
        <f>IF(ISTEXT($AB10),_xlfn.XLOOKUP($AB10,'Included studies 2023 update'!$C:$C,'Included studies 2023 update'!AI:AI),"")</f>
        <v>0</v>
      </c>
      <c r="AS10" s="85">
        <f>IF(ISTEXT($AB10),_xlfn.XLOOKUP($AB10,'Included studies 2023 update'!$C:$C,'Included studies 2023 update'!AJ:AJ),"")</f>
        <v>0</v>
      </c>
      <c r="AT10" s="85">
        <f>IF(ISTEXT($AB10),_xlfn.XLOOKUP($AB10,'Included studies 2023 update'!$C:$C,'Included studies 2023 update'!AK:AK),"")</f>
        <v>0</v>
      </c>
      <c r="AU10">
        <f>IF(ISTEXT($AB10),_xlfn.XLOOKUP($AB10,'Included studies 2023 update'!$C:$C,'Included studies 2023 update'!AL:AL),"")</f>
        <v>13</v>
      </c>
      <c r="AV10" t="str">
        <f>IF(ISTEXT($AB10),_xlfn.XLOOKUP($AB10,'Included studies 2023 update'!$C:$C,'Included studies 2023 update'!AM:AM),"")</f>
        <v>Unclear</v>
      </c>
      <c r="AW10" t="str">
        <f>IF(ISTEXT($AB10),_xlfn.XLOOKUP($AB10,'Included studies 2023 update'!$C:$C,'Included studies 2023 update'!AN:AN),"")</f>
        <v>1x per week</v>
      </c>
      <c r="AX10" t="str">
        <f>IF(ISTEXT($AB10),_xlfn.XLOOKUP($AB10,'Included studies 2023 update'!$C:$C,'Included studies 2023 update'!AP:AP),"")</f>
        <v>Unclear or ND</v>
      </c>
      <c r="AY10" t="str">
        <f>IF(ISTEXT($AB10),_xlfn.XLOOKUP($AB10,'Included studies 2023 update'!$C:$C,'Included studies 2023 update'!AQ:AQ),"")</f>
        <v>Unclear or ND</v>
      </c>
      <c r="AZ10" t="str">
        <f>IF(ISTEXT($AB10),_xlfn.XLOOKUP($AB10,'Included studies 2023 update'!$C:$C,'Included studies 2023 update'!AR:AR),"")</f>
        <v>Unclear or ND</v>
      </c>
      <c r="BA10" t="str">
        <f>IF(ISTEXT($AB10),_xlfn.XLOOKUP($AB10,'Included studies 2023 update'!$C:$C,'Included studies 2023 update'!AS:AS),"")</f>
        <v>Unclear or ND</v>
      </c>
      <c r="BB10" t="str">
        <f>IF(ISTEXT($AB10),_xlfn.XLOOKUP($AB10,'Included studies 2023 update'!$C:$C,'Included studies 2023 update'!AT:AT),"")</f>
        <v>Unclear or ND</v>
      </c>
      <c r="BC10" t="str">
        <f>IF(ISTEXT($AB10),_xlfn.XLOOKUP($AB10,'Included studies 2023 update'!$C:$C,'Included studies 2023 update'!AU:AU),"")</f>
        <v>Unclear or ND</v>
      </c>
      <c r="BD10" t="str">
        <f>IF(ISTEXT($AB10),_xlfn.XLOOKUP($AB10,'Included studies 2023 update'!$C:$C,'Included studies 2023 update'!AV:AV),"")</f>
        <v>Unclear or ND</v>
      </c>
      <c r="BE10" t="str">
        <f>IF(ISTEXT($AB10),_xlfn.XLOOKUP($AB10,'Included studies 2023 update'!$C:$C,'Included studies 2023 update'!AW:AW),"")</f>
        <v>Unclear or ND</v>
      </c>
      <c r="BF10" t="str">
        <f>IF(ISTEXT($AB10),_xlfn.XLOOKUP($AB10,'Included studies 2023 update'!$C:$C,'Included studies 2023 update'!AX:AX),"")</f>
        <v>Unclear or ND</v>
      </c>
      <c r="BG10" t="str">
        <f>IF(ISTEXT($AB10),_xlfn.XLOOKUP($AB10,'Included studies 2023 update'!$C:$C,'Included studies 2023 update'!AY:AY),"")</f>
        <v>Unclear or ND</v>
      </c>
      <c r="BH10" t="str">
        <f>IF(ISTEXT($AB10),_xlfn.XLOOKUP($AB10,'Included studies 2023 update'!$C:$C,'Included studies 2023 update'!AZ:AZ),"")</f>
        <v>Unclear or ND</v>
      </c>
      <c r="BI10" t="str">
        <f>IF(ISTEXT($AB10),_xlfn.XLOOKUP($AB10,'Included studies 2023 update'!$C:$C,'Included studies 2023 update'!BA:BA),"")</f>
        <v>Unclear or ND</v>
      </c>
      <c r="BJ10" t="str">
        <f>IF(ISTEXT($AB10),_xlfn.XLOOKUP($AB10,'Included studies 2023 update'!$C:$C,'Included studies 2023 update'!BB:BB),"")</f>
        <v>Unclear or ND</v>
      </c>
      <c r="BK10" t="str">
        <f>IF(ISTEXT($AB10),_xlfn.XLOOKUP($AB10,'Included studies 2023 update'!$C:$C,'Included studies 2023 update'!BC:BC),"")</f>
        <v>Unclear or ND</v>
      </c>
      <c r="BL10" t="str">
        <f>IF(ISTEXT($AB10),_xlfn.XLOOKUP($AB10,'Included studies 2023 update'!$C:$C,'Included studies 2023 update'!BD:BD),"")</f>
        <v>Unclear or ND</v>
      </c>
      <c r="BM10" t="str">
        <f>IF(ISTEXT($AB10),_xlfn.XLOOKUP($AB10,'Included studies 2023 update'!$C:$C,'Included studies 2023 update'!BE:BE),"")</f>
        <v>Unclear or ND</v>
      </c>
      <c r="BN10" t="str">
        <f>IF(ISTEXT($AB10),_xlfn.XLOOKUP($AB10,'Included studies 2023 update'!$C:$C,'Included studies 2023 update'!BF:BF),"")</f>
        <v>Unclear or ND</v>
      </c>
      <c r="BO10" t="str">
        <f>IF(ISTEXT($AB10),_xlfn.XLOOKUP($AB10,'Included studies 2023 update'!$C:$C,'Included studies 2023 update'!BG:BG),"")</f>
        <v>Unclear or ND</v>
      </c>
      <c r="BP10">
        <f>IF(ISTEXT($AB10),_xlfn.XLOOKUP($AB10,'Included studies 2023 update'!$C:$C,'Included studies 2023 update'!BH:BH),"")</f>
        <v>0</v>
      </c>
      <c r="BQ10">
        <f>IF(ISTEXT($AB10),_xlfn.XLOOKUP($AB10,'Included studies 2023 update'!$C:$C,'Included studies 2023 update'!BI:BI),"")</f>
        <v>92</v>
      </c>
      <c r="BR10">
        <f>IF(ISTEXT($AB10),_xlfn.XLOOKUP($AB10,'Included studies 2023 update'!$C:$C,'Included studies 2023 update'!BJ:BJ),"")</f>
        <v>0</v>
      </c>
      <c r="BS10">
        <f>IF(ISTEXT($AB10),_xlfn.XLOOKUP($AB10,'Included studies 2023 update'!$C:$C,'Included studies 2023 update'!BK:BK),"")</f>
        <v>0</v>
      </c>
    </row>
    <row r="11" spans="1:79" ht="13" customHeight="1">
      <c r="A11" s="2">
        <v>11035370</v>
      </c>
      <c r="B11" s="11" t="s">
        <v>2676</v>
      </c>
      <c r="C11" s="2" t="s">
        <v>352</v>
      </c>
      <c r="D11" s="2" t="s">
        <v>2677</v>
      </c>
      <c r="E11" s="2" t="s">
        <v>2678</v>
      </c>
      <c r="F11" s="2">
        <v>2000</v>
      </c>
      <c r="G11" s="2" t="s">
        <v>10</v>
      </c>
      <c r="I11" s="2"/>
      <c r="J11" s="14" t="s">
        <v>2685</v>
      </c>
      <c r="K11" s="2">
        <f t="shared" si="0"/>
        <v>1</v>
      </c>
      <c r="L11" s="14" t="s">
        <v>2686</v>
      </c>
      <c r="M11" s="2">
        <f t="shared" si="1"/>
        <v>1</v>
      </c>
      <c r="N11" s="14" t="s">
        <v>2687</v>
      </c>
      <c r="O11" s="2">
        <f t="shared" si="2"/>
        <v>1</v>
      </c>
      <c r="Q11" s="2">
        <v>18541204</v>
      </c>
      <c r="R11">
        <f>IF(ISNUMBER(Q11), _xlfn.XLOOKUP(Q11,'Included studies 2023 update'!A:A,'Included studies 2023 update'!K:K)+_xlfn.XLOOKUP(Q11,'Included studies 2023 update'!A:A,'Included studies 2023 update'!L:L),"")</f>
        <v>58</v>
      </c>
      <c r="U11" s="165" t="s">
        <v>3746</v>
      </c>
      <c r="V11" s="102" t="s">
        <v>3685</v>
      </c>
      <c r="W11" s="113" t="str">
        <f>""&amp;TEXT(SUM(AJ:AJ),"0")&amp;" ("&amp;TEXT(SUM(AJ:AJ)/(SUM(AJ:AU)-SUM(AJ:AJ)),"0.0%")&amp;")"</f>
        <v>306 (6.2%)</v>
      </c>
      <c r="X11" s="113" t="str" cm="1">
        <f t="array" ref="X11">""&amp;TEXT(SUM(_xlfn._xlws.FILTER('Included studies 2023 update'!$AA:$AA,('Included studies 2023 update'!$E:$E="No")*('Included studies 2023 update'!$H:$H=X$2))),"0")&amp;" ("&amp;TEXT(SUM(_xlfn._xlws.FILTER('Included studies 2023 update'!$AA:$AA,('Included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221 (4.4%)</v>
      </c>
      <c r="Y11" s="113" t="str" cm="1">
        <f t="array" ref="Y11">""&amp;TEXT(SUM(_xlfn._xlws.FILTER('Included studies 2023 update'!$AA:$AA,('Included studies 2023 update'!$E:$E="No")*('Included studies 2023 update'!$H:$H=Y$2))),"0")&amp;" ("&amp;TEXT(SUM(_xlfn._xlws.FILTER('Included studies 2023 update'!$AA:$AA,('Included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160 (12.5%)</v>
      </c>
      <c r="Z11" s="113" t="str" cm="1">
        <f t="array" ref="Z11">""&amp;TEXT(SUM(_xlfn._xlws.FILTER('Included studies 2023 update'!$AA:$AA,('Included studies 2023 update'!$E:$E="No")*('Included studies 2023 update'!$H:$H=Z$2))),"0")&amp;" ("&amp;TEXT(SUM(_xlfn._xlws.FILTER('Included studies 2023 update'!$AA:$AA,('Included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207 (15.5%)</v>
      </c>
      <c r="AA11"/>
      <c r="AB11" t="str">
        <v>https://pubmed.ncbi.nlm.nih.gov/18541204/</v>
      </c>
      <c r="AC11">
        <f>IF(ISTEXT(AB11),_xlfn.XLOOKUP(AB11,'Included studies 2023 update'!C:C,'Included studies 2023 update'!J:J),"")</f>
        <v>58</v>
      </c>
      <c r="AD11" t="str">
        <f>IF(ISTEXT(AB11),_xlfn.XLOOKUP(AB11,'Included studies 2023 update'!C:C,'Included studies 2023 update'!E:E),"")</f>
        <v>No</v>
      </c>
      <c r="AE11" t="str">
        <f>IF(ISTEXT(AB11),_xlfn.XLOOKUP(AB11,'Included studies 2023 update'!C:C,'Included studies 2023 update'!I:I),"")</f>
        <v>Pediatric</v>
      </c>
      <c r="AF11" t="str">
        <f>IF(ISTEXT(AB11),_xlfn.XLOOKUP(AB11,'Included studies 2023 update'!C:C,'Included studies 2023 update'!U:U),"")</f>
        <v>ACY</v>
      </c>
      <c r="AG11" t="str">
        <f>IF(ISTEXT(AB11),_xlfn.XLOOKUP(AB11,'Included studies 2023 update'!C:C,'Included studies 2023 update'!X:X),"")</f>
        <v>Plasma</v>
      </c>
      <c r="AH11">
        <f>IF(ISTEXT(AB11),_xlfn.XLOOKUP(AB11,'Included studies 2023 update'!C:C,'Included studies 2023 update'!Y:Y),"")</f>
        <v>1000</v>
      </c>
      <c r="AI11" t="str">
        <f>IF(ISTEXT(AB11),_xlfn.XLOOKUP(AB11,'Included studies 2023 update'!C:C,'Included studies 2023 update'!Z:Z),"")</f>
        <v>Prospective</v>
      </c>
      <c r="AJ11">
        <f>IF(ISTEXT($AB11),_xlfn.XLOOKUP($AB11,'Included studies 2023 update'!$C:$C,'Included studies 2023 update'!AA:AA),"")</f>
        <v>0</v>
      </c>
      <c r="AK11">
        <f>IF(ISTEXT($AB11),_xlfn.XLOOKUP($AB11,'Included studies 2023 update'!$C:$C,'Included studies 2023 update'!AB:AB),"")</f>
        <v>0</v>
      </c>
      <c r="AL11">
        <f>IF(ISTEXT($AB11),_xlfn.XLOOKUP($AB11,'Included studies 2023 update'!$C:$C,'Included studies 2023 update'!AC:AC),"")</f>
        <v>0</v>
      </c>
      <c r="AM11">
        <f>IF(ISTEXT($AB11),_xlfn.XLOOKUP($AB11,'Included studies 2023 update'!$C:$C,'Included studies 2023 update'!AD:AD),"")</f>
        <v>0</v>
      </c>
      <c r="AN11">
        <f>IF(ISTEXT($AB11),_xlfn.XLOOKUP($AB11,'Included studies 2023 update'!$C:$C,'Included studies 2023 update'!AE:AE),"")</f>
        <v>0</v>
      </c>
      <c r="AO11">
        <f>IF(ISTEXT($AB11),_xlfn.XLOOKUP($AB11,'Included studies 2023 update'!$C:$C,'Included studies 2023 update'!AF:AF),"")</f>
        <v>0</v>
      </c>
      <c r="AP11">
        <f>IF(ISTEXT($AB11),_xlfn.XLOOKUP($AB11,'Included studies 2023 update'!$C:$C,'Included studies 2023 update'!AG:AG),"")</f>
        <v>0</v>
      </c>
      <c r="AQ11">
        <f>IF(ISTEXT($AB11),_xlfn.XLOOKUP($AB11,'Included studies 2023 update'!$C:$C,'Included studies 2023 update'!AH:AH),"")</f>
        <v>0</v>
      </c>
      <c r="AR11">
        <f>IF(ISTEXT($AB11),_xlfn.XLOOKUP($AB11,'Included studies 2023 update'!$C:$C,'Included studies 2023 update'!AI:AI),"")</f>
        <v>0</v>
      </c>
      <c r="AS11" s="85">
        <f>IF(ISTEXT($AB11),_xlfn.XLOOKUP($AB11,'Included studies 2023 update'!$C:$C,'Included studies 2023 update'!AJ:AJ),"")</f>
        <v>28</v>
      </c>
      <c r="AT11" s="85">
        <f>IF(ISTEXT($AB11),_xlfn.XLOOKUP($AB11,'Included studies 2023 update'!$C:$C,'Included studies 2023 update'!AK:AK),"")</f>
        <v>30</v>
      </c>
      <c r="AU11">
        <f>IF(ISTEXT($AB11),_xlfn.XLOOKUP($AB11,'Included studies 2023 update'!$C:$C,'Included studies 2023 update'!AL:AL),"")</f>
        <v>0</v>
      </c>
      <c r="AV11">
        <f>IF(ISTEXT($AB11),_xlfn.XLOOKUP($AB11,'Included studies 2023 update'!$C:$C,'Included studies 2023 update'!AM:AM),"")</f>
        <v>120</v>
      </c>
      <c r="AW11" t="str">
        <f>IF(ISTEXT($AB11),_xlfn.XLOOKUP($AB11,'Included studies 2023 update'!$C:$C,'Included studies 2023 update'!AN:AN),"")</f>
        <v>1x per week</v>
      </c>
      <c r="AX11">
        <f>IF(ISTEXT($AB11),_xlfn.XLOOKUP($AB11,'Included studies 2023 update'!$C:$C,'Included studies 2023 update'!AP:AP),"")</f>
        <v>58</v>
      </c>
      <c r="AY11">
        <f>IF(ISTEXT($AB11),_xlfn.XLOOKUP($AB11,'Included studies 2023 update'!$C:$C,'Included studies 2023 update'!AQ:AQ),"")</f>
        <v>0</v>
      </c>
      <c r="AZ11">
        <f>IF(ISTEXT($AB11),_xlfn.XLOOKUP($AB11,'Included studies 2023 update'!$C:$C,'Included studies 2023 update'!AR:AR),"")</f>
        <v>0</v>
      </c>
      <c r="BA11">
        <f>IF(ISTEXT($AB11),_xlfn.XLOOKUP($AB11,'Included studies 2023 update'!$C:$C,'Included studies 2023 update'!AS:AS),"")</f>
        <v>0</v>
      </c>
      <c r="BB11">
        <f>IF(ISTEXT($AB11),_xlfn.XLOOKUP($AB11,'Included studies 2023 update'!$C:$C,'Included studies 2023 update'!AT:AT),"")</f>
        <v>0</v>
      </c>
      <c r="BC11">
        <f>IF(ISTEXT($AB11),_xlfn.XLOOKUP($AB11,'Included studies 2023 update'!$C:$C,'Included studies 2023 update'!AU:AU),"")</f>
        <v>0</v>
      </c>
      <c r="BD11">
        <f>IF(ISTEXT($AB11),_xlfn.XLOOKUP($AB11,'Included studies 2023 update'!$C:$C,'Included studies 2023 update'!AV:AV),"")</f>
        <v>0</v>
      </c>
      <c r="BE11">
        <f>IF(ISTEXT($AB11),_xlfn.XLOOKUP($AB11,'Included studies 2023 update'!$C:$C,'Included studies 2023 update'!AW:AW),"")</f>
        <v>0</v>
      </c>
      <c r="BF11">
        <f>IF(ISTEXT($AB11),_xlfn.XLOOKUP($AB11,'Included studies 2023 update'!$C:$C,'Included studies 2023 update'!AX:AX),"")</f>
        <v>0</v>
      </c>
      <c r="BG11">
        <f>IF(ISTEXT($AB11),_xlfn.XLOOKUP($AB11,'Included studies 2023 update'!$C:$C,'Included studies 2023 update'!AY:AY),"")</f>
        <v>0</v>
      </c>
      <c r="BH11">
        <f>IF(ISTEXT($AB11),_xlfn.XLOOKUP($AB11,'Included studies 2023 update'!$C:$C,'Included studies 2023 update'!AZ:AZ),"")</f>
        <v>0</v>
      </c>
      <c r="BI11">
        <f>IF(ISTEXT($AB11),_xlfn.XLOOKUP($AB11,'Included studies 2023 update'!$C:$C,'Included studies 2023 update'!BA:BA),"")</f>
        <v>0</v>
      </c>
      <c r="BJ11">
        <f>IF(ISTEXT($AB11),_xlfn.XLOOKUP($AB11,'Included studies 2023 update'!$C:$C,'Included studies 2023 update'!BB:BB),"")</f>
        <v>0</v>
      </c>
      <c r="BK11">
        <f>IF(ISTEXT($AB11),_xlfn.XLOOKUP($AB11,'Included studies 2023 update'!$C:$C,'Included studies 2023 update'!BC:BC),"")</f>
        <v>0</v>
      </c>
      <c r="BL11">
        <f>IF(ISTEXT($AB11),_xlfn.XLOOKUP($AB11,'Included studies 2023 update'!$C:$C,'Included studies 2023 update'!BD:BD),"")</f>
        <v>0</v>
      </c>
      <c r="BM11">
        <f>IF(ISTEXT($AB11),_xlfn.XLOOKUP($AB11,'Included studies 2023 update'!$C:$C,'Included studies 2023 update'!BE:BE),"")</f>
        <v>0</v>
      </c>
      <c r="BN11">
        <f>IF(ISTEXT($AB11),_xlfn.XLOOKUP($AB11,'Included studies 2023 update'!$C:$C,'Included studies 2023 update'!BF:BF),"")</f>
        <v>40</v>
      </c>
      <c r="BO11">
        <f>IF(ISTEXT($AB11),_xlfn.XLOOKUP($AB11,'Included studies 2023 update'!$C:$C,'Included studies 2023 update'!BG:BG),"")</f>
        <v>18</v>
      </c>
      <c r="BP11">
        <f>IF(ISTEXT($AB11),_xlfn.XLOOKUP($AB11,'Included studies 2023 update'!$C:$C,'Included studies 2023 update'!BH:BH),"")</f>
        <v>37</v>
      </c>
      <c r="BQ11">
        <f>IF(ISTEXT($AB11),_xlfn.XLOOKUP($AB11,'Included studies 2023 update'!$C:$C,'Included studies 2023 update'!BI:BI),"")</f>
        <v>15</v>
      </c>
      <c r="BR11">
        <f>IF(ISTEXT($AB11),_xlfn.XLOOKUP($AB11,'Included studies 2023 update'!$C:$C,'Included studies 2023 update'!BJ:BJ),"")</f>
        <v>6</v>
      </c>
      <c r="BS11">
        <f>IF(ISTEXT($AB11),_xlfn.XLOOKUP($AB11,'Included studies 2023 update'!$C:$C,'Included studies 2023 update'!BK:BK),"")</f>
        <v>0</v>
      </c>
    </row>
    <row r="12" spans="1:79" ht="13" customHeight="1">
      <c r="A12" s="2">
        <v>9365899</v>
      </c>
      <c r="B12" s="11" t="s">
        <v>2682</v>
      </c>
      <c r="C12" s="2" t="s">
        <v>133</v>
      </c>
      <c r="D12" s="2" t="s">
        <v>2683</v>
      </c>
      <c r="E12" s="2" t="s">
        <v>2684</v>
      </c>
      <c r="F12" s="2">
        <v>1997</v>
      </c>
      <c r="G12" s="2" t="s">
        <v>10</v>
      </c>
      <c r="I12" s="2"/>
      <c r="J12" s="14" t="s">
        <v>2691</v>
      </c>
      <c r="K12" s="2">
        <f t="shared" si="0"/>
        <v>1</v>
      </c>
      <c r="L12" s="14" t="s">
        <v>2692</v>
      </c>
      <c r="M12" s="2">
        <f t="shared" si="1"/>
        <v>1</v>
      </c>
      <c r="N12" s="14" t="s">
        <v>2693</v>
      </c>
      <c r="O12" s="2">
        <f t="shared" si="2"/>
        <v>2</v>
      </c>
      <c r="Q12" s="2">
        <v>22820131</v>
      </c>
      <c r="R12">
        <f>IF(ISNUMBER(Q12), _xlfn.XLOOKUP(Q12,'Included studies 2023 update'!A:A,'Included studies 2023 update'!K:K)+_xlfn.XLOOKUP(Q12,'Included studies 2023 update'!A:A,'Included studies 2023 update'!L:L),"")</f>
        <v>56</v>
      </c>
      <c r="U12" s="164"/>
      <c r="V12" s="114" t="s">
        <v>3686</v>
      </c>
      <c r="W12" s="113" t="str">
        <f>""&amp;TEXT(SUM(AK:AK),"0")&amp;" ("&amp;TEXT(SUM(AK:AK)/(SUM(AJ:AU)-SUM(AK:AK)),"0.0%")&amp;")"</f>
        <v>355 (7.3%)</v>
      </c>
      <c r="X12" s="113" t="str" cm="1">
        <f t="array" ref="X12">""&amp;TEXT(SUM(_xlfn._xlws.FILTER('Included studies 2023 update'!$AB:$AB,('Included studies 2023 update'!$E:$E="No")*('Included studies 2023 update'!$H:$H=X$2))),"0")&amp;" ("&amp;TEXT(SUM(_xlfn._xlws.FILTER('Included studies 2023 update'!$AB:$AB,('Included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342 (6.8%)</v>
      </c>
      <c r="Y12" s="113" t="str" cm="1">
        <f t="array" ref="Y12">""&amp;TEXT(SUM(_xlfn._xlws.FILTER('Included studies 2023 update'!$AB:$AB,('Included studies 2023 update'!$E:$E="No")*('Included studies 2023 update'!$H:$H=Y$2))),"0")&amp;" ("&amp;TEXT(SUM(_xlfn._xlws.FILTER('Included studies 2023 update'!$AB:$AB,('Included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206 (16.1%)</v>
      </c>
      <c r="Z12" s="113" t="str" cm="1">
        <f t="array" ref="Z12">""&amp;TEXT(SUM(_xlfn._xlws.FILTER('Included studies 2023 update'!$AB:$AB,('Included studies 2023 update'!$E:$E="No")*('Included studies 2023 update'!$H:$H=Z$2))),"0")&amp;" ("&amp;TEXT(SUM(_xlfn._xlws.FILTER('Included studies 2023 update'!$AB:$AB,('Included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193 (14.5%)</v>
      </c>
      <c r="AA12"/>
      <c r="AB12" t="str">
        <v>https://pubmed.ncbi.nlm.nih.gov/22820131/</v>
      </c>
      <c r="AC12">
        <f>IF(ISTEXT(AB12),_xlfn.XLOOKUP(AB12,'Included studies 2023 update'!C:C,'Included studies 2023 update'!J:J),"")</f>
        <v>56</v>
      </c>
      <c r="AD12" t="str">
        <f>IF(ISTEXT(AB12),_xlfn.XLOOKUP(AB12,'Included studies 2023 update'!C:C,'Included studies 2023 update'!E:E),"")</f>
        <v>No</v>
      </c>
      <c r="AE12" t="str">
        <f>IF(ISTEXT(AB12),_xlfn.XLOOKUP(AB12,'Included studies 2023 update'!C:C,'Included studies 2023 update'!I:I),"")</f>
        <v>Pediatric</v>
      </c>
      <c r="AF12" t="str">
        <f>IF(ISTEXT(AB12),_xlfn.XLOOKUP(AB12,'Included studies 2023 update'!C:C,'Included studies 2023 update'!U:U),"")</f>
        <v>Unclear or ND</v>
      </c>
      <c r="AG12" t="str">
        <f>IF(ISTEXT(AB12),_xlfn.XLOOKUP(AB12,'Included studies 2023 update'!C:C,'Included studies 2023 update'!X:X),"")</f>
        <v>Plasma</v>
      </c>
      <c r="AH12">
        <f>IF(ISTEXT(AB12),_xlfn.XLOOKUP(AB12,'Included studies 2023 update'!C:C,'Included studies 2023 update'!Y:Y),"")</f>
        <v>1000</v>
      </c>
      <c r="AI12" t="str">
        <f>IF(ISTEXT(AB12),_xlfn.XLOOKUP(AB12,'Included studies 2023 update'!C:C,'Included studies 2023 update'!Z:Z),"")</f>
        <v>Prospective</v>
      </c>
      <c r="AJ12" t="str">
        <f>IF(ISTEXT($AB12),_xlfn.XLOOKUP($AB12,'Included studies 2023 update'!$C:$C,'Included studies 2023 update'!AA:AA),"")</f>
        <v>ND</v>
      </c>
      <c r="AK12" t="str">
        <f>IF(ISTEXT($AB12),_xlfn.XLOOKUP($AB12,'Included studies 2023 update'!$C:$C,'Included studies 2023 update'!AB:AB),"")</f>
        <v>ND</v>
      </c>
      <c r="AL12" t="str">
        <f>IF(ISTEXT($AB12),_xlfn.XLOOKUP($AB12,'Included studies 2023 update'!$C:$C,'Included studies 2023 update'!AC:AC),"")</f>
        <v>ND</v>
      </c>
      <c r="AM12" t="str">
        <f>IF(ISTEXT($AB12),_xlfn.XLOOKUP($AB12,'Included studies 2023 update'!$C:$C,'Included studies 2023 update'!AD:AD),"")</f>
        <v>ND</v>
      </c>
      <c r="AN12" t="str">
        <f>IF(ISTEXT($AB12),_xlfn.XLOOKUP($AB12,'Included studies 2023 update'!$C:$C,'Included studies 2023 update'!AE:AE),"")</f>
        <v>ND</v>
      </c>
      <c r="AO12" t="str">
        <f>IF(ISTEXT($AB12),_xlfn.XLOOKUP($AB12,'Included studies 2023 update'!$C:$C,'Included studies 2023 update'!AF:AF),"")</f>
        <v>ND</v>
      </c>
      <c r="AP12" t="str">
        <f>IF(ISTEXT($AB12),_xlfn.XLOOKUP($AB12,'Included studies 2023 update'!$C:$C,'Included studies 2023 update'!AG:AG),"")</f>
        <v>ND</v>
      </c>
      <c r="AQ12" t="str">
        <f>IF(ISTEXT($AB12),_xlfn.XLOOKUP($AB12,'Included studies 2023 update'!$C:$C,'Included studies 2023 update'!AH:AH),"")</f>
        <v>ND</v>
      </c>
      <c r="AR12" t="str">
        <f>IF(ISTEXT($AB12),_xlfn.XLOOKUP($AB12,'Included studies 2023 update'!$C:$C,'Included studies 2023 update'!AI:AI),"")</f>
        <v>ND</v>
      </c>
      <c r="AS12" s="85" t="str">
        <f>IF(ISTEXT($AB12),_xlfn.XLOOKUP($AB12,'Included studies 2023 update'!$C:$C,'Included studies 2023 update'!AJ:AJ),"")</f>
        <v>ND</v>
      </c>
      <c r="AT12" s="85" t="str">
        <f>IF(ISTEXT($AB12),_xlfn.XLOOKUP($AB12,'Included studies 2023 update'!$C:$C,'Included studies 2023 update'!AK:AK),"")</f>
        <v>ND</v>
      </c>
      <c r="AU12" t="str">
        <f>IF(ISTEXT($AB12),_xlfn.XLOOKUP($AB12,'Included studies 2023 update'!$C:$C,'Included studies 2023 update'!AL:AL),"")</f>
        <v>ND</v>
      </c>
      <c r="AV12">
        <f>IF(ISTEXT($AB12),_xlfn.XLOOKUP($AB12,'Included studies 2023 update'!$C:$C,'Included studies 2023 update'!AM:AM),"")</f>
        <v>120</v>
      </c>
      <c r="AW12" t="str">
        <f>IF(ISTEXT($AB12),_xlfn.XLOOKUP($AB12,'Included studies 2023 update'!$C:$C,'Included studies 2023 update'!AN:AN),"")</f>
        <v>1x per week</v>
      </c>
      <c r="AX12">
        <f>IF(ISTEXT($AB12),_xlfn.XLOOKUP($AB12,'Included studies 2023 update'!$C:$C,'Included studies 2023 update'!AP:AP),"")</f>
        <v>56</v>
      </c>
      <c r="AY12">
        <f>IF(ISTEXT($AB12),_xlfn.XLOOKUP($AB12,'Included studies 2023 update'!$C:$C,'Included studies 2023 update'!AQ:AQ),"")</f>
        <v>0</v>
      </c>
      <c r="AZ12">
        <f>IF(ISTEXT($AB12),_xlfn.XLOOKUP($AB12,'Included studies 2023 update'!$C:$C,'Included studies 2023 update'!AR:AR),"")</f>
        <v>0</v>
      </c>
      <c r="BA12">
        <f>IF(ISTEXT($AB12),_xlfn.XLOOKUP($AB12,'Included studies 2023 update'!$C:$C,'Included studies 2023 update'!AS:AS),"")</f>
        <v>0</v>
      </c>
      <c r="BB12">
        <f>IF(ISTEXT($AB12),_xlfn.XLOOKUP($AB12,'Included studies 2023 update'!$C:$C,'Included studies 2023 update'!AT:AT),"")</f>
        <v>0</v>
      </c>
      <c r="BC12">
        <f>IF(ISTEXT($AB12),_xlfn.XLOOKUP($AB12,'Included studies 2023 update'!$C:$C,'Included studies 2023 update'!AU:AU),"")</f>
        <v>0</v>
      </c>
      <c r="BD12">
        <f>IF(ISTEXT($AB12),_xlfn.XLOOKUP($AB12,'Included studies 2023 update'!$C:$C,'Included studies 2023 update'!AV:AV),"")</f>
        <v>0</v>
      </c>
      <c r="BE12">
        <f>IF(ISTEXT($AB12),_xlfn.XLOOKUP($AB12,'Included studies 2023 update'!$C:$C,'Included studies 2023 update'!AW:AW),"")</f>
        <v>0</v>
      </c>
      <c r="BF12">
        <f>IF(ISTEXT($AB12),_xlfn.XLOOKUP($AB12,'Included studies 2023 update'!$C:$C,'Included studies 2023 update'!AX:AX),"")</f>
        <v>0</v>
      </c>
      <c r="BG12">
        <f>IF(ISTEXT($AB12),_xlfn.XLOOKUP($AB12,'Included studies 2023 update'!$C:$C,'Included studies 2023 update'!AY:AY),"")</f>
        <v>0</v>
      </c>
      <c r="BH12">
        <f>IF(ISTEXT($AB12),_xlfn.XLOOKUP($AB12,'Included studies 2023 update'!$C:$C,'Included studies 2023 update'!AZ:AZ),"")</f>
        <v>0</v>
      </c>
      <c r="BI12">
        <f>IF(ISTEXT($AB12),_xlfn.XLOOKUP($AB12,'Included studies 2023 update'!$C:$C,'Included studies 2023 update'!BA:BA),"")</f>
        <v>0</v>
      </c>
      <c r="BJ12">
        <f>IF(ISTEXT($AB12),_xlfn.XLOOKUP($AB12,'Included studies 2023 update'!$C:$C,'Included studies 2023 update'!BB:BB),"")</f>
        <v>0</v>
      </c>
      <c r="BK12">
        <f>IF(ISTEXT($AB12),_xlfn.XLOOKUP($AB12,'Included studies 2023 update'!$C:$C,'Included studies 2023 update'!BC:BC),"")</f>
        <v>0</v>
      </c>
      <c r="BL12">
        <f>IF(ISTEXT($AB12),_xlfn.XLOOKUP($AB12,'Included studies 2023 update'!$C:$C,'Included studies 2023 update'!BD:BD),"")</f>
        <v>0</v>
      </c>
      <c r="BM12">
        <f>IF(ISTEXT($AB12),_xlfn.XLOOKUP($AB12,'Included studies 2023 update'!$C:$C,'Included studies 2023 update'!BE:BE),"")</f>
        <v>0</v>
      </c>
      <c r="BN12">
        <f>IF(ISTEXT($AB12),_xlfn.XLOOKUP($AB12,'Included studies 2023 update'!$C:$C,'Included studies 2023 update'!BF:BF),"")</f>
        <v>45</v>
      </c>
      <c r="BO12">
        <f>IF(ISTEXT($AB12),_xlfn.XLOOKUP($AB12,'Included studies 2023 update'!$C:$C,'Included studies 2023 update'!BG:BG),"")</f>
        <v>11</v>
      </c>
      <c r="BP12">
        <f>IF(ISTEXT($AB12),_xlfn.XLOOKUP($AB12,'Included studies 2023 update'!$C:$C,'Included studies 2023 update'!BH:BH),"")</f>
        <v>33</v>
      </c>
      <c r="BQ12">
        <f>IF(ISTEXT($AB12),_xlfn.XLOOKUP($AB12,'Included studies 2023 update'!$C:$C,'Included studies 2023 update'!BI:BI),"")</f>
        <v>23</v>
      </c>
      <c r="BR12">
        <f>IF(ISTEXT($AB12),_xlfn.XLOOKUP($AB12,'Included studies 2023 update'!$C:$C,'Included studies 2023 update'!BJ:BJ),"")</f>
        <v>0</v>
      </c>
      <c r="BS12">
        <f>IF(ISTEXT($AB12),_xlfn.XLOOKUP($AB12,'Included studies 2023 update'!$C:$C,'Included studies 2023 update'!BK:BK),"")</f>
        <v>0</v>
      </c>
    </row>
    <row r="13" spans="1:79" ht="13" customHeight="1">
      <c r="A13" s="2">
        <v>19935727</v>
      </c>
      <c r="B13" s="11" t="s">
        <v>2688</v>
      </c>
      <c r="C13" s="2" t="s">
        <v>428</v>
      </c>
      <c r="D13" s="2" t="s">
        <v>2689</v>
      </c>
      <c r="E13" s="2" t="s">
        <v>2690</v>
      </c>
      <c r="F13" s="2">
        <v>2010</v>
      </c>
      <c r="G13" s="2" t="s">
        <v>10</v>
      </c>
      <c r="I13" s="2"/>
      <c r="J13" s="14" t="s">
        <v>2697</v>
      </c>
      <c r="K13" s="2">
        <f t="shared" si="0"/>
        <v>1</v>
      </c>
      <c r="L13" s="14" t="s">
        <v>2698</v>
      </c>
      <c r="M13" s="2">
        <f t="shared" si="1"/>
        <v>1</v>
      </c>
      <c r="N13" s="14" t="s">
        <v>2699</v>
      </c>
      <c r="O13" s="2">
        <f t="shared" si="2"/>
        <v>1</v>
      </c>
      <c r="Q13" s="2">
        <v>22212513</v>
      </c>
      <c r="R13">
        <f>IF(ISNUMBER(Q13), _xlfn.XLOOKUP(Q13,'Included studies 2023 update'!A:A,'Included studies 2023 update'!K:K)+_xlfn.XLOOKUP(Q13,'Included studies 2023 update'!A:A,'Included studies 2023 update'!L:L),"")</f>
        <v>235</v>
      </c>
      <c r="U13" s="164"/>
      <c r="V13" s="114" t="s">
        <v>3687</v>
      </c>
      <c r="W13" s="113" t="str">
        <f>""&amp;TEXT(SUM(AL:AL),"0")&amp;" ("&amp;TEXT(SUM(AL:AL)/(SUM(AJ:AU)-SUM(AL:AL)),"0.0%")&amp;")"</f>
        <v>85 (1.7%)</v>
      </c>
      <c r="X13" s="113" t="str" cm="1">
        <f t="array" ref="X13">""&amp;TEXT(SUM(_xlfn._xlws.FILTER('Included studies 2023 update'!$AC:$AC,('Included studies 2023 update'!$E:$E="No")*('Included studies 2023 update'!$H:$H=X$2))),"0")&amp;" ("&amp;TEXT(SUM(_xlfn._xlws.FILTER('Included studies 2023 update'!$AC:$AC,('Included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78 (1.5%)</v>
      </c>
      <c r="Y13" s="113" t="str" cm="1">
        <f t="array" ref="Y13">""&amp;TEXT(SUM(_xlfn._xlws.FILTER('Included studies 2023 update'!$AC:$AC,('Included studies 2023 update'!$E:$E="No")*('Included studies 2023 update'!$H:$H=Y$2))),"0")&amp;" ("&amp;TEXT(SUM(_xlfn._xlws.FILTER('Included studies 2023 update'!$AC:$AC,('Included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9 (0.7%)</v>
      </c>
      <c r="Z13" s="113" t="str" cm="1">
        <f t="array" ref="Z13">""&amp;TEXT(SUM(_xlfn._xlws.FILTER('Included studies 2023 update'!$AC:$AC,('Included studies 2023 update'!$E:$E="No")*('Included studies 2023 update'!$H:$H=Z$2))),"0")&amp;" ("&amp;TEXT(SUM(_xlfn._xlws.FILTER('Included studies 2023 update'!$AC:$AC,('Included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12 (0.9%)</v>
      </c>
      <c r="AA13"/>
      <c r="AB13" t="str">
        <v>https://pubmed.ncbi.nlm.nih.gov/22212513/</v>
      </c>
      <c r="AC13">
        <f>IF(ISTEXT(AB13),_xlfn.XLOOKUP(AB13,'Included studies 2023 update'!C:C,'Included studies 2023 update'!J:J),"")</f>
        <v>235</v>
      </c>
      <c r="AD13" t="str">
        <f>IF(ISTEXT(AB13),_xlfn.XLOOKUP(AB13,'Included studies 2023 update'!C:C,'Included studies 2023 update'!E:E),"")</f>
        <v>No</v>
      </c>
      <c r="AE13" t="str">
        <f>IF(ISTEXT(AB13),_xlfn.XLOOKUP(AB13,'Included studies 2023 update'!C:C,'Included studies 2023 update'!I:I),"")</f>
        <v>Both</v>
      </c>
      <c r="AF13" t="str">
        <f>IF(ISTEXT(AB13),_xlfn.XLOOKUP(AB13,'Included studies 2023 update'!C:C,'Included studies 2023 update'!U:U),"")</f>
        <v>ACY</v>
      </c>
      <c r="AG13" t="str">
        <f>IF(ISTEXT(AB13),_xlfn.XLOOKUP(AB13,'Included studies 2023 update'!C:C,'Included studies 2023 update'!X:X),"")</f>
        <v>Unclear or ND</v>
      </c>
      <c r="AH13" t="str">
        <f>IF(ISTEXT(AB13),_xlfn.XLOOKUP(AB13,'Included studies 2023 update'!C:C,'Included studies 2023 update'!Y:Y),"")</f>
        <v>Unclear or ND</v>
      </c>
      <c r="AI13" t="str">
        <f>IF(ISTEXT(AB13),_xlfn.XLOOKUP(AB13,'Included studies 2023 update'!C:C,'Included studies 2023 update'!Z:Z),"")</f>
        <v>Retrospective</v>
      </c>
      <c r="AJ13">
        <f>IF(ISTEXT($AB13),_xlfn.XLOOKUP($AB13,'Included studies 2023 update'!$C:$C,'Included studies 2023 update'!AA:AA),"")</f>
        <v>0</v>
      </c>
      <c r="AK13">
        <f>IF(ISTEXT($AB13),_xlfn.XLOOKUP($AB13,'Included studies 2023 update'!$C:$C,'Included studies 2023 update'!AB:AB),"")</f>
        <v>0</v>
      </c>
      <c r="AL13">
        <f>IF(ISTEXT($AB13),_xlfn.XLOOKUP($AB13,'Included studies 2023 update'!$C:$C,'Included studies 2023 update'!AC:AC),"")</f>
        <v>16</v>
      </c>
      <c r="AM13">
        <f>IF(ISTEXT($AB13),_xlfn.XLOOKUP($AB13,'Included studies 2023 update'!$C:$C,'Included studies 2023 update'!AD:AD),"")</f>
        <v>0</v>
      </c>
      <c r="AN13">
        <f>IF(ISTEXT($AB13),_xlfn.XLOOKUP($AB13,'Included studies 2023 update'!$C:$C,'Included studies 2023 update'!AE:AE),"")</f>
        <v>23</v>
      </c>
      <c r="AO13">
        <f>IF(ISTEXT($AB13),_xlfn.XLOOKUP($AB13,'Included studies 2023 update'!$C:$C,'Included studies 2023 update'!AF:AF),"")</f>
        <v>11</v>
      </c>
      <c r="AP13">
        <f>IF(ISTEXT($AB13),_xlfn.XLOOKUP($AB13,'Included studies 2023 update'!$C:$C,'Included studies 2023 update'!AG:AG),"")</f>
        <v>19</v>
      </c>
      <c r="AQ13">
        <f>IF(ISTEXT($AB13),_xlfn.XLOOKUP($AB13,'Included studies 2023 update'!$C:$C,'Included studies 2023 update'!AH:AH),"")</f>
        <v>139</v>
      </c>
      <c r="AR13">
        <f>IF(ISTEXT($AB13),_xlfn.XLOOKUP($AB13,'Included studies 2023 update'!$C:$C,'Included studies 2023 update'!AI:AI),"")</f>
        <v>0</v>
      </c>
      <c r="AS13" s="85">
        <f>IF(ISTEXT($AB13),_xlfn.XLOOKUP($AB13,'Included studies 2023 update'!$C:$C,'Included studies 2023 update'!AJ:AJ),"")</f>
        <v>14</v>
      </c>
      <c r="AT13" s="85">
        <f>IF(ISTEXT($AB13),_xlfn.XLOOKUP($AB13,'Included studies 2023 update'!$C:$C,'Included studies 2023 update'!AK:AK),"")</f>
        <v>7</v>
      </c>
      <c r="AU13">
        <f>IF(ISTEXT($AB13),_xlfn.XLOOKUP($AB13,'Included studies 2023 update'!$C:$C,'Included studies 2023 update'!AL:AL),"")</f>
        <v>6</v>
      </c>
      <c r="AV13">
        <f>IF(ISTEXT($AB13),_xlfn.XLOOKUP($AB13,'Included studies 2023 update'!$C:$C,'Included studies 2023 update'!AM:AM),"")</f>
        <v>28</v>
      </c>
      <c r="AW13" t="str">
        <f>IF(ISTEXT($AB13),_xlfn.XLOOKUP($AB13,'Included studies 2023 update'!$C:$C,'Included studies 2023 update'!AN:AN),"")</f>
        <v>1x per week</v>
      </c>
      <c r="AX13">
        <f>IF(ISTEXT($AB13),_xlfn.XLOOKUP($AB13,'Included studies 2023 update'!$C:$C,'Included studies 2023 update'!AP:AP),"")</f>
        <v>0</v>
      </c>
      <c r="AY13">
        <f>IF(ISTEXT($AB13),_xlfn.XLOOKUP($AB13,'Included studies 2023 update'!$C:$C,'Included studies 2023 update'!AQ:AQ),"")</f>
        <v>0</v>
      </c>
      <c r="AZ13">
        <f>IF(ISTEXT($AB13),_xlfn.XLOOKUP($AB13,'Included studies 2023 update'!$C:$C,'Included studies 2023 update'!AR:AR),"")</f>
        <v>0</v>
      </c>
      <c r="BA13">
        <f>IF(ISTEXT($AB13),_xlfn.XLOOKUP($AB13,'Included studies 2023 update'!$C:$C,'Included studies 2023 update'!AS:AS),"")</f>
        <v>0</v>
      </c>
      <c r="BB13">
        <f>IF(ISTEXT($AB13),_xlfn.XLOOKUP($AB13,'Included studies 2023 update'!$C:$C,'Included studies 2023 update'!AT:AT),"")</f>
        <v>0</v>
      </c>
      <c r="BC13">
        <f>IF(ISTEXT($AB13),_xlfn.XLOOKUP($AB13,'Included studies 2023 update'!$C:$C,'Included studies 2023 update'!AU:AU),"")</f>
        <v>0</v>
      </c>
      <c r="BD13">
        <f>IF(ISTEXT($AB13),_xlfn.XLOOKUP($AB13,'Included studies 2023 update'!$C:$C,'Included studies 2023 update'!AV:AV),"")</f>
        <v>0</v>
      </c>
      <c r="BE13">
        <f>IF(ISTEXT($AB13),_xlfn.XLOOKUP($AB13,'Included studies 2023 update'!$C:$C,'Included studies 2023 update'!AW:AW),"")</f>
        <v>0</v>
      </c>
      <c r="BF13">
        <f>IF(ISTEXT($AB13),_xlfn.XLOOKUP($AB13,'Included studies 2023 update'!$C:$C,'Included studies 2023 update'!AX:AX),"")</f>
        <v>0</v>
      </c>
      <c r="BG13">
        <f>IF(ISTEXT($AB13),_xlfn.XLOOKUP($AB13,'Included studies 2023 update'!$C:$C,'Included studies 2023 update'!AY:AY),"")</f>
        <v>0</v>
      </c>
      <c r="BH13">
        <f>IF(ISTEXT($AB13),_xlfn.XLOOKUP($AB13,'Included studies 2023 update'!$C:$C,'Included studies 2023 update'!AZ:AZ),"")</f>
        <v>153</v>
      </c>
      <c r="BI13">
        <f>IF(ISTEXT($AB13),_xlfn.XLOOKUP($AB13,'Included studies 2023 update'!$C:$C,'Included studies 2023 update'!BA:BA),"")</f>
        <v>82</v>
      </c>
      <c r="BJ13">
        <f>IF(ISTEXT($AB13),_xlfn.XLOOKUP($AB13,'Included studies 2023 update'!$C:$C,'Included studies 2023 update'!BB:BB),"")</f>
        <v>0</v>
      </c>
      <c r="BK13">
        <f>IF(ISTEXT($AB13),_xlfn.XLOOKUP($AB13,'Included studies 2023 update'!$C:$C,'Included studies 2023 update'!BC:BC),"")</f>
        <v>0</v>
      </c>
      <c r="BL13">
        <f>IF(ISTEXT($AB13),_xlfn.XLOOKUP($AB13,'Included studies 2023 update'!$C:$C,'Included studies 2023 update'!BD:BD),"")</f>
        <v>0</v>
      </c>
      <c r="BM13">
        <f>IF(ISTEXT($AB13),_xlfn.XLOOKUP($AB13,'Included studies 2023 update'!$C:$C,'Included studies 2023 update'!BE:BE),"")</f>
        <v>0</v>
      </c>
      <c r="BN13">
        <f>IF(ISTEXT($AB13),_xlfn.XLOOKUP($AB13,'Included studies 2023 update'!$C:$C,'Included studies 2023 update'!BF:BF),"")</f>
        <v>82</v>
      </c>
      <c r="BO13">
        <f>IF(ISTEXT($AB13),_xlfn.XLOOKUP($AB13,'Included studies 2023 update'!$C:$C,'Included studies 2023 update'!BG:BG),"")</f>
        <v>153</v>
      </c>
      <c r="BP13">
        <f>IF(ISTEXT($AB13),_xlfn.XLOOKUP($AB13,'Included studies 2023 update'!$C:$C,'Included studies 2023 update'!BH:BH),"")</f>
        <v>127</v>
      </c>
      <c r="BQ13">
        <f>IF(ISTEXT($AB13),_xlfn.XLOOKUP($AB13,'Included studies 2023 update'!$C:$C,'Included studies 2023 update'!BI:BI),"")</f>
        <v>34</v>
      </c>
      <c r="BR13">
        <f>IF(ISTEXT($AB13),_xlfn.XLOOKUP($AB13,'Included studies 2023 update'!$C:$C,'Included studies 2023 update'!BJ:BJ),"")</f>
        <v>74</v>
      </c>
      <c r="BS13">
        <f>IF(ISTEXT($AB13),_xlfn.XLOOKUP($AB13,'Included studies 2023 update'!$C:$C,'Included studies 2023 update'!BK:BK),"")</f>
        <v>0</v>
      </c>
    </row>
    <row r="14" spans="1:79" ht="13" customHeight="1">
      <c r="A14" s="2">
        <v>26984480</v>
      </c>
      <c r="B14" s="11" t="s">
        <v>2694</v>
      </c>
      <c r="C14" s="2" t="s">
        <v>334</v>
      </c>
      <c r="D14" s="2" t="s">
        <v>2695</v>
      </c>
      <c r="E14" s="2" t="s">
        <v>2696</v>
      </c>
      <c r="F14" s="2">
        <v>2016</v>
      </c>
      <c r="G14" s="2" t="s">
        <v>10</v>
      </c>
      <c r="I14" s="2"/>
      <c r="J14" s="14" t="s">
        <v>2703</v>
      </c>
      <c r="K14" s="2">
        <f t="shared" si="0"/>
        <v>1</v>
      </c>
      <c r="L14" s="14" t="s">
        <v>2704</v>
      </c>
      <c r="M14" s="2">
        <f t="shared" si="1"/>
        <v>1</v>
      </c>
      <c r="N14" s="14" t="s">
        <v>2705</v>
      </c>
      <c r="O14" s="2">
        <f t="shared" si="2"/>
        <v>1</v>
      </c>
      <c r="Q14" s="2">
        <v>18512026</v>
      </c>
      <c r="R14">
        <f>IF(ISNUMBER(Q14), _xlfn.XLOOKUP(Q14,'Included studies 2023 update'!A:A,'Included studies 2023 update'!K:K)+_xlfn.XLOOKUP(Q14,'Included studies 2023 update'!A:A,'Included studies 2023 update'!L:L),"")</f>
        <v>26</v>
      </c>
      <c r="U14" s="164"/>
      <c r="V14" s="114" t="s">
        <v>3688</v>
      </c>
      <c r="W14" s="113" t="str">
        <f>""&amp;TEXT(SUM(AM:AM),"0")&amp;" ("&amp;TEXT(SUM(AM:AM)/(SUM(AJ:AU)-SUM(AM:AM)),"0.0%")&amp;")"</f>
        <v>15 (0.3%)</v>
      </c>
      <c r="X14" s="113" t="str" cm="1">
        <f t="array" ref="X14">""&amp;TEXT(SUM(_xlfn._xlws.FILTER('Included studies 2023 update'!$AD:$AD,('Included studies 2023 update'!$E:$E="No")*('Included studies 2023 update'!$H:$H=X$2))),"0")&amp;" ("&amp;TEXT(SUM(_xlfn._xlws.FILTER('Included studies 2023 update'!$AD:$AD,('Included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 (0.2%)</v>
      </c>
      <c r="Y14" s="113" t="str" cm="1">
        <f t="array" ref="Y14">""&amp;TEXT(SUM(_xlfn._xlws.FILTER('Included studies 2023 update'!$AD:$AD,('Included studies 2023 update'!$E:$E="No")*('Included studies 2023 update'!$H:$H=Y$2))),"0")&amp;" ("&amp;TEXT(SUM(_xlfn._xlws.FILTER('Included studies 2023 update'!$AD:$AD,('Included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 (0.5%)</v>
      </c>
      <c r="Z14" s="113" t="str" cm="1">
        <f t="array" ref="Z14">""&amp;TEXT(SUM(_xlfn._xlws.FILTER('Included studies 2023 update'!$AD:$AD,('Included studies 2023 update'!$E:$E="No")*('Included studies 2023 update'!$H:$H=Z$2))),"0")&amp;" ("&amp;TEXT(SUM(_xlfn._xlws.FILTER('Included studies 2023 update'!$AD:$AD,('Included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4 (0.3%)</v>
      </c>
      <c r="AA14"/>
      <c r="AB14" t="str">
        <v>https://pubmed.ncbi.nlm.nih.gov/18512026/</v>
      </c>
      <c r="AC14">
        <f>IF(ISTEXT(AB14),_xlfn.XLOOKUP(AB14,'Included studies 2023 update'!C:C,'Included studies 2023 update'!J:J),"")</f>
        <v>26</v>
      </c>
      <c r="AD14" t="str">
        <f>IF(ISTEXT(AB14),_xlfn.XLOOKUP(AB14,'Included studies 2023 update'!C:C,'Included studies 2023 update'!E:E),"")</f>
        <v>No</v>
      </c>
      <c r="AE14" t="str">
        <f>IF(ISTEXT(AB14),_xlfn.XLOOKUP(AB14,'Included studies 2023 update'!C:C,'Included studies 2023 update'!I:I),"")</f>
        <v>Adult</v>
      </c>
      <c r="AF14" t="str">
        <f>IF(ISTEXT(AB14),_xlfn.XLOOKUP(AB14,'Included studies 2023 update'!C:C,'Included studies 2023 update'!U:U),"")</f>
        <v>ACY</v>
      </c>
      <c r="AG14" t="str">
        <f>IF(ISTEXT(AB14),_xlfn.XLOOKUP(AB14,'Included studies 2023 update'!C:C,'Included studies 2023 update'!X:X),"")</f>
        <v>Plasma</v>
      </c>
      <c r="AH14" t="str">
        <f>IF(ISTEXT(AB14),_xlfn.XLOOKUP(AB14,'Included studies 2023 update'!C:C,'Included studies 2023 update'!Y:Y),"")</f>
        <v>Unclear or ND</v>
      </c>
      <c r="AI14" t="str">
        <f>IF(ISTEXT(AB14),_xlfn.XLOOKUP(AB14,'Included studies 2023 update'!C:C,'Included studies 2023 update'!Z:Z),"")</f>
        <v>Retrospective</v>
      </c>
      <c r="AJ14">
        <f>IF(ISTEXT($AB14),_xlfn.XLOOKUP($AB14,'Included studies 2023 update'!$C:$C,'Included studies 2023 update'!AA:AA),"")</f>
        <v>9</v>
      </c>
      <c r="AK14">
        <f>IF(ISTEXT($AB14),_xlfn.XLOOKUP($AB14,'Included studies 2023 update'!$C:$C,'Included studies 2023 update'!AB:AB),"")</f>
        <v>13</v>
      </c>
      <c r="AL14">
        <f>IF(ISTEXT($AB14),_xlfn.XLOOKUP($AB14,'Included studies 2023 update'!$C:$C,'Included studies 2023 update'!AC:AC),"")</f>
        <v>1</v>
      </c>
      <c r="AM14">
        <f>IF(ISTEXT($AB14),_xlfn.XLOOKUP($AB14,'Included studies 2023 update'!$C:$C,'Included studies 2023 update'!AD:AD),"")</f>
        <v>0</v>
      </c>
      <c r="AN14">
        <f>IF(ISTEXT($AB14),_xlfn.XLOOKUP($AB14,'Included studies 2023 update'!$C:$C,'Included studies 2023 update'!AE:AE),"")</f>
        <v>2</v>
      </c>
      <c r="AO14">
        <f>IF(ISTEXT($AB14),_xlfn.XLOOKUP($AB14,'Included studies 2023 update'!$C:$C,'Included studies 2023 update'!AF:AF),"")</f>
        <v>0</v>
      </c>
      <c r="AP14">
        <f>IF(ISTEXT($AB14),_xlfn.XLOOKUP($AB14,'Included studies 2023 update'!$C:$C,'Included studies 2023 update'!AG:AG),"")</f>
        <v>0</v>
      </c>
      <c r="AQ14">
        <f>IF(ISTEXT($AB14),_xlfn.XLOOKUP($AB14,'Included studies 2023 update'!$C:$C,'Included studies 2023 update'!AH:AH),"")</f>
        <v>0</v>
      </c>
      <c r="AR14">
        <f>IF(ISTEXT($AB14),_xlfn.XLOOKUP($AB14,'Included studies 2023 update'!$C:$C,'Included studies 2023 update'!AI:AI),"")</f>
        <v>0</v>
      </c>
      <c r="AS14" s="85">
        <f>IF(ISTEXT($AB14),_xlfn.XLOOKUP($AB14,'Included studies 2023 update'!$C:$C,'Included studies 2023 update'!AJ:AJ),"")</f>
        <v>0</v>
      </c>
      <c r="AT14" s="85">
        <f>IF(ISTEXT($AB14),_xlfn.XLOOKUP($AB14,'Included studies 2023 update'!$C:$C,'Included studies 2023 update'!AK:AK),"")</f>
        <v>1</v>
      </c>
      <c r="AU14">
        <f>IF(ISTEXT($AB14),_xlfn.XLOOKUP($AB14,'Included studies 2023 update'!$C:$C,'Included studies 2023 update'!AL:AL),"")</f>
        <v>0</v>
      </c>
      <c r="AV14">
        <f>IF(ISTEXT($AB14),_xlfn.XLOOKUP($AB14,'Included studies 2023 update'!$C:$C,'Included studies 2023 update'!AM:AM),"")</f>
        <v>100</v>
      </c>
      <c r="AW14" t="str">
        <f>IF(ISTEXT($AB14),_xlfn.XLOOKUP($AB14,'Included studies 2023 update'!$C:$C,'Included studies 2023 update'!AN:AN),"")</f>
        <v>1x per week</v>
      </c>
      <c r="AX14" t="str">
        <f>IF(ISTEXT($AB14),_xlfn.XLOOKUP($AB14,'Included studies 2023 update'!$C:$C,'Included studies 2023 update'!AP:AP),"")</f>
        <v>Unclear or ND</v>
      </c>
      <c r="AY14" t="str">
        <f>IF(ISTEXT($AB14),_xlfn.XLOOKUP($AB14,'Included studies 2023 update'!$C:$C,'Included studies 2023 update'!AQ:AQ),"")</f>
        <v>Unclear or ND</v>
      </c>
      <c r="AZ14" t="str">
        <f>IF(ISTEXT($AB14),_xlfn.XLOOKUP($AB14,'Included studies 2023 update'!$C:$C,'Included studies 2023 update'!AR:AR),"")</f>
        <v>Unclear or ND</v>
      </c>
      <c r="BA14" t="str">
        <f>IF(ISTEXT($AB14),_xlfn.XLOOKUP($AB14,'Included studies 2023 update'!$C:$C,'Included studies 2023 update'!AS:AS),"")</f>
        <v>Unclear or ND</v>
      </c>
      <c r="BB14" t="str">
        <f>IF(ISTEXT($AB14),_xlfn.XLOOKUP($AB14,'Included studies 2023 update'!$C:$C,'Included studies 2023 update'!AT:AT),"")</f>
        <v>Unclear or ND</v>
      </c>
      <c r="BC14" t="str">
        <f>IF(ISTEXT($AB14),_xlfn.XLOOKUP($AB14,'Included studies 2023 update'!$C:$C,'Included studies 2023 update'!AU:AU),"")</f>
        <v>Unclear or ND</v>
      </c>
      <c r="BD14" t="str">
        <f>IF(ISTEXT($AB14),_xlfn.XLOOKUP($AB14,'Included studies 2023 update'!$C:$C,'Included studies 2023 update'!AV:AV),"")</f>
        <v>Unclear or ND</v>
      </c>
      <c r="BE14" t="str">
        <f>IF(ISTEXT($AB14),_xlfn.XLOOKUP($AB14,'Included studies 2023 update'!$C:$C,'Included studies 2023 update'!AW:AW),"")</f>
        <v>Unclear or ND</v>
      </c>
      <c r="BF14" t="str">
        <f>IF(ISTEXT($AB14),_xlfn.XLOOKUP($AB14,'Included studies 2023 update'!$C:$C,'Included studies 2023 update'!AX:AX),"")</f>
        <v>Unclear or ND</v>
      </c>
      <c r="BG14" t="str">
        <f>IF(ISTEXT($AB14),_xlfn.XLOOKUP($AB14,'Included studies 2023 update'!$C:$C,'Included studies 2023 update'!AY:AY),"")</f>
        <v>Unclear or ND</v>
      </c>
      <c r="BH14" t="str">
        <f>IF(ISTEXT($AB14),_xlfn.XLOOKUP($AB14,'Included studies 2023 update'!$C:$C,'Included studies 2023 update'!AZ:AZ),"")</f>
        <v>Unclear or ND</v>
      </c>
      <c r="BI14" t="str">
        <f>IF(ISTEXT($AB14),_xlfn.XLOOKUP($AB14,'Included studies 2023 update'!$C:$C,'Included studies 2023 update'!BA:BA),"")</f>
        <v>Unclear or ND</v>
      </c>
      <c r="BJ14" t="str">
        <f>IF(ISTEXT($AB14),_xlfn.XLOOKUP($AB14,'Included studies 2023 update'!$C:$C,'Included studies 2023 update'!BB:BB),"")</f>
        <v>Unclear or ND</v>
      </c>
      <c r="BK14" t="str">
        <f>IF(ISTEXT($AB14),_xlfn.XLOOKUP($AB14,'Included studies 2023 update'!$C:$C,'Included studies 2023 update'!BC:BC),"")</f>
        <v>Unclear or ND</v>
      </c>
      <c r="BL14" t="str">
        <f>IF(ISTEXT($AB14),_xlfn.XLOOKUP($AB14,'Included studies 2023 update'!$C:$C,'Included studies 2023 update'!BD:BD),"")</f>
        <v>Unclear or ND</v>
      </c>
      <c r="BM14" t="str">
        <f>IF(ISTEXT($AB14),_xlfn.XLOOKUP($AB14,'Included studies 2023 update'!$C:$C,'Included studies 2023 update'!BE:BE),"")</f>
        <v>Unclear or ND</v>
      </c>
      <c r="BN14" t="str">
        <f>IF(ISTEXT($AB14),_xlfn.XLOOKUP($AB14,'Included studies 2023 update'!$C:$C,'Included studies 2023 update'!BF:BF),"")</f>
        <v>Unclear or ND</v>
      </c>
      <c r="BO14" t="str">
        <f>IF(ISTEXT($AB14),_xlfn.XLOOKUP($AB14,'Included studies 2023 update'!$C:$C,'Included studies 2023 update'!BG:BG),"")</f>
        <v>Unclear or ND</v>
      </c>
      <c r="BP14">
        <f>IF(ISTEXT($AB14),_xlfn.XLOOKUP($AB14,'Included studies 2023 update'!$C:$C,'Included studies 2023 update'!BH:BH),"")</f>
        <v>3</v>
      </c>
      <c r="BQ14">
        <f>IF(ISTEXT($AB14),_xlfn.XLOOKUP($AB14,'Included studies 2023 update'!$C:$C,'Included studies 2023 update'!BI:BI),"")</f>
        <v>3</v>
      </c>
      <c r="BR14">
        <f>IF(ISTEXT($AB14),_xlfn.XLOOKUP($AB14,'Included studies 2023 update'!$C:$C,'Included studies 2023 update'!BJ:BJ),"")</f>
        <v>20</v>
      </c>
      <c r="BS14">
        <f>IF(ISTEXT($AB14),_xlfn.XLOOKUP($AB14,'Included studies 2023 update'!$C:$C,'Included studies 2023 update'!BK:BK),"")</f>
        <v>0</v>
      </c>
    </row>
    <row r="15" spans="1:79" ht="13" customHeight="1">
      <c r="A15" s="2">
        <v>33085827</v>
      </c>
      <c r="B15" s="11" t="s">
        <v>2700</v>
      </c>
      <c r="C15" s="2" t="s">
        <v>560</v>
      </c>
      <c r="D15" s="2" t="s">
        <v>2701</v>
      </c>
      <c r="E15" s="2" t="s">
        <v>2702</v>
      </c>
      <c r="F15" s="2">
        <v>2020</v>
      </c>
      <c r="G15" s="2" t="s">
        <v>10</v>
      </c>
      <c r="I15" s="2"/>
      <c r="J15" s="14" t="s">
        <v>2709</v>
      </c>
      <c r="K15" s="2">
        <f t="shared" si="0"/>
        <v>1</v>
      </c>
      <c r="L15" s="14" t="s">
        <v>2710</v>
      </c>
      <c r="M15" s="2">
        <f t="shared" si="1"/>
        <v>1</v>
      </c>
      <c r="N15" s="14" t="s">
        <v>2711</v>
      </c>
      <c r="O15" s="2">
        <f t="shared" si="2"/>
        <v>1</v>
      </c>
      <c r="Q15" s="2">
        <v>24810656</v>
      </c>
      <c r="R15">
        <f>IF(ISNUMBER(Q15), _xlfn.XLOOKUP(Q15,'Included studies 2023 update'!A:A,'Included studies 2023 update'!K:K)+_xlfn.XLOOKUP(Q15,'Included studies 2023 update'!A:A,'Included studies 2023 update'!L:L),"")</f>
        <v>49</v>
      </c>
      <c r="U15" s="164"/>
      <c r="V15" s="114" t="s">
        <v>3689</v>
      </c>
      <c r="W15" s="113" t="str">
        <f>""&amp;TEXT(SUM(AN:AN),"0")&amp;" ("&amp;TEXT(SUM(AN:AN)/(SUM(AJ:AU)-SUM(AN:AN)),"0.0%")&amp;")"</f>
        <v>146 (2.9%)</v>
      </c>
      <c r="X15" s="113" t="str" cm="1">
        <f t="array" ref="X15">""&amp;TEXT(SUM(_xlfn._xlws.FILTER('Included studies 2023 update'!$AE:$AE,('Included studies 2023 update'!$E:$E="No")*('Included studies 2023 update'!$H:$H=X$2))),"0")&amp;" ("&amp;TEXT(SUM(_xlfn._xlws.FILTER('Included studies 2023 update'!$AE:$AE,('Included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137 (2.7%)</v>
      </c>
      <c r="Y15" s="113" t="str" cm="1">
        <f t="array" ref="Y15">""&amp;TEXT(SUM(_xlfn._xlws.FILTER('Included studies 2023 update'!$AE:$AE,('Included studies 2023 update'!$E:$E="No")*('Included studies 2023 update'!$H:$H=Y$2))),"0")&amp;" ("&amp;TEXT(SUM(_xlfn._xlws.FILTER('Included studies 2023 update'!$AE:$AE,('Included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update'!$H:$H=Y$2)))),"0%")&amp;")"</f>
        <v>12 (1%)</v>
      </c>
      <c r="Z15" s="113" t="str" cm="1">
        <f t="array" ref="Z15">""&amp;TEXT(SUM(_xlfn._xlws.FILTER('Included studies 2023 update'!$AE:$AE,('Included studies 2023 update'!$E:$E="No")*('Included studies 2023 update'!$H:$H=Z$2))),"0")&amp;" ("&amp;TEXT(SUM(_xlfn._xlws.FILTER('Included studies 2023 update'!$AE:$AE,('Included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update'!$H:$H=Z$2)))),"0%")&amp;")"</f>
        <v>17 (1%)</v>
      </c>
      <c r="AA15"/>
      <c r="AB15" t="str">
        <v>https://pubmed.ncbi.nlm.nih.gov/24810656/</v>
      </c>
      <c r="AC15">
        <f>IF(ISTEXT(AB15),_xlfn.XLOOKUP(AB15,'Included studies 2023 update'!C:C,'Included studies 2023 update'!J:J),"")</f>
        <v>49</v>
      </c>
      <c r="AD15" t="str">
        <f>IF(ISTEXT(AB15),_xlfn.XLOOKUP(AB15,'Included studies 2023 update'!C:C,'Included studies 2023 update'!E:E),"")</f>
        <v>No</v>
      </c>
      <c r="AE15" t="str">
        <f>IF(ISTEXT(AB15),_xlfn.XLOOKUP(AB15,'Included studies 2023 update'!C:C,'Included studies 2023 update'!I:I),"")</f>
        <v>Adult</v>
      </c>
      <c r="AF15" t="str">
        <f>IF(ISTEXT(AB15),_xlfn.XLOOKUP(AB15,'Included studies 2023 update'!C:C,'Included studies 2023 update'!U:U),"")</f>
        <v>ACY</v>
      </c>
      <c r="AG15" t="str">
        <f>IF(ISTEXT(AB15),_xlfn.XLOOKUP(AB15,'Included studies 2023 update'!C:C,'Included studies 2023 update'!X:X),"")</f>
        <v>plasma</v>
      </c>
      <c r="AH15">
        <f>IF(ISTEXT(AB15),_xlfn.XLOOKUP(AB15,'Included studies 2023 update'!C:C,'Included studies 2023 update'!Y:Y),"")</f>
        <v>20</v>
      </c>
      <c r="AI15" t="str">
        <f>IF(ISTEXT(AB15),_xlfn.XLOOKUP(AB15,'Included studies 2023 update'!C:C,'Included studies 2023 update'!Z:Z),"")</f>
        <v>Retrospective</v>
      </c>
      <c r="AJ15">
        <f>IF(ISTEXT($AB15),_xlfn.XLOOKUP($AB15,'Included studies 2023 update'!$C:$C,'Included studies 2023 update'!AA:AA),"")</f>
        <v>15</v>
      </c>
      <c r="AK15">
        <f>IF(ISTEXT($AB15),_xlfn.XLOOKUP($AB15,'Included studies 2023 update'!$C:$C,'Included studies 2023 update'!AB:AB),"")</f>
        <v>23</v>
      </c>
      <c r="AL15">
        <f>IF(ISTEXT($AB15),_xlfn.XLOOKUP($AB15,'Included studies 2023 update'!$C:$C,'Included studies 2023 update'!AC:AC),"")</f>
        <v>1</v>
      </c>
      <c r="AM15">
        <f>IF(ISTEXT($AB15),_xlfn.XLOOKUP($AB15,'Included studies 2023 update'!$C:$C,'Included studies 2023 update'!AD:AD),"")</f>
        <v>0</v>
      </c>
      <c r="AN15">
        <f>IF(ISTEXT($AB15),_xlfn.XLOOKUP($AB15,'Included studies 2023 update'!$C:$C,'Included studies 2023 update'!AE:AE),"")</f>
        <v>1</v>
      </c>
      <c r="AO15">
        <f>IF(ISTEXT($AB15),_xlfn.XLOOKUP($AB15,'Included studies 2023 update'!$C:$C,'Included studies 2023 update'!AF:AF),"")</f>
        <v>0</v>
      </c>
      <c r="AP15">
        <f>IF(ISTEXT($AB15),_xlfn.XLOOKUP($AB15,'Included studies 2023 update'!$C:$C,'Included studies 2023 update'!AG:AG),"")</f>
        <v>6</v>
      </c>
      <c r="AQ15">
        <f>IF(ISTEXT($AB15),_xlfn.XLOOKUP($AB15,'Included studies 2023 update'!$C:$C,'Included studies 2023 update'!AH:AH),"")</f>
        <v>2</v>
      </c>
      <c r="AR15">
        <f>IF(ISTEXT($AB15),_xlfn.XLOOKUP($AB15,'Included studies 2023 update'!$C:$C,'Included studies 2023 update'!AI:AI),"")</f>
        <v>0</v>
      </c>
      <c r="AS15" s="85">
        <f>IF(ISTEXT($AB15),_xlfn.XLOOKUP($AB15,'Included studies 2023 update'!$C:$C,'Included studies 2023 update'!AJ:AJ),"")</f>
        <v>0</v>
      </c>
      <c r="AT15" s="85">
        <f>IF(ISTEXT($AB15),_xlfn.XLOOKUP($AB15,'Included studies 2023 update'!$C:$C,'Included studies 2023 update'!AK:AK),"")</f>
        <v>0</v>
      </c>
      <c r="AU15">
        <f>IF(ISTEXT($AB15),_xlfn.XLOOKUP($AB15,'Included studies 2023 update'!$C:$C,'Included studies 2023 update'!AL:AL),"")</f>
        <v>0</v>
      </c>
      <c r="AV15" t="str">
        <f>IF(ISTEXT($AB15),_xlfn.XLOOKUP($AB15,'Included studies 2023 update'!$C:$C,'Included studies 2023 update'!AM:AM),"")</f>
        <v>Unclear</v>
      </c>
      <c r="AW15" t="str">
        <f>IF(ISTEXT($AB15),_xlfn.XLOOKUP($AB15,'Included studies 2023 update'!$C:$C,'Included studies 2023 update'!AN:AN),"")</f>
        <v>Unclear or ND</v>
      </c>
      <c r="AX15">
        <f>IF(ISTEXT($AB15),_xlfn.XLOOKUP($AB15,'Included studies 2023 update'!$C:$C,'Included studies 2023 update'!AP:AP),"")</f>
        <v>27</v>
      </c>
      <c r="AY15">
        <f>IF(ISTEXT($AB15),_xlfn.XLOOKUP($AB15,'Included studies 2023 update'!$C:$C,'Included studies 2023 update'!AQ:AQ),"")</f>
        <v>22</v>
      </c>
      <c r="AZ15">
        <f>IF(ISTEXT($AB15),_xlfn.XLOOKUP($AB15,'Included studies 2023 update'!$C:$C,'Included studies 2023 update'!AR:AR),"")</f>
        <v>0</v>
      </c>
      <c r="BA15">
        <f>IF(ISTEXT($AB15),_xlfn.XLOOKUP($AB15,'Included studies 2023 update'!$C:$C,'Included studies 2023 update'!AS:AS),"")</f>
        <v>0</v>
      </c>
      <c r="BB15">
        <f>IF(ISTEXT($AB15),_xlfn.XLOOKUP($AB15,'Included studies 2023 update'!$C:$C,'Included studies 2023 update'!AT:AT),"")</f>
        <v>0</v>
      </c>
      <c r="BC15">
        <f>IF(ISTEXT($AB15),_xlfn.XLOOKUP($AB15,'Included studies 2023 update'!$C:$C,'Included studies 2023 update'!AU:AU),"")</f>
        <v>0</v>
      </c>
      <c r="BD15">
        <f>IF(ISTEXT($AB15),_xlfn.XLOOKUP($AB15,'Included studies 2023 update'!$C:$C,'Included studies 2023 update'!AV:AV),"")</f>
        <v>0</v>
      </c>
      <c r="BE15">
        <f>IF(ISTEXT($AB15),_xlfn.XLOOKUP($AB15,'Included studies 2023 update'!$C:$C,'Included studies 2023 update'!AW:AW),"")</f>
        <v>0</v>
      </c>
      <c r="BF15">
        <f>IF(ISTEXT($AB15),_xlfn.XLOOKUP($AB15,'Included studies 2023 update'!$C:$C,'Included studies 2023 update'!AX:AX),"")</f>
        <v>0</v>
      </c>
      <c r="BG15">
        <f>IF(ISTEXT($AB15),_xlfn.XLOOKUP($AB15,'Included studies 2023 update'!$C:$C,'Included studies 2023 update'!AY:AY),"")</f>
        <v>0</v>
      </c>
      <c r="BH15">
        <f>IF(ISTEXT($AB15),_xlfn.XLOOKUP($AB15,'Included studies 2023 update'!$C:$C,'Included studies 2023 update'!AZ:AZ),"")</f>
        <v>0</v>
      </c>
      <c r="BI15">
        <f>IF(ISTEXT($AB15),_xlfn.XLOOKUP($AB15,'Included studies 2023 update'!$C:$C,'Included studies 2023 update'!BA:BA),"")</f>
        <v>0</v>
      </c>
      <c r="BJ15">
        <f>IF(ISTEXT($AB15),_xlfn.XLOOKUP($AB15,'Included studies 2023 update'!$C:$C,'Included studies 2023 update'!BB:BB),"")</f>
        <v>0</v>
      </c>
      <c r="BK15">
        <f>IF(ISTEXT($AB15),_xlfn.XLOOKUP($AB15,'Included studies 2023 update'!$C:$C,'Included studies 2023 update'!BC:BC),"")</f>
        <v>0</v>
      </c>
      <c r="BL15">
        <f>IF(ISTEXT($AB15),_xlfn.XLOOKUP($AB15,'Included studies 2023 update'!$C:$C,'Included studies 2023 update'!BD:BD),"")</f>
        <v>0</v>
      </c>
      <c r="BM15">
        <f>IF(ISTEXT($AB15),_xlfn.XLOOKUP($AB15,'Included studies 2023 update'!$C:$C,'Included studies 2023 update'!BE:BE),"")</f>
        <v>0</v>
      </c>
      <c r="BN15">
        <f>IF(ISTEXT($AB15),_xlfn.XLOOKUP($AB15,'Included studies 2023 update'!$C:$C,'Included studies 2023 update'!BF:BF),"")</f>
        <v>29</v>
      </c>
      <c r="BO15">
        <f>IF(ISTEXT($AB15),_xlfn.XLOOKUP($AB15,'Included studies 2023 update'!$C:$C,'Included studies 2023 update'!BG:BG),"")</f>
        <v>20</v>
      </c>
      <c r="BP15">
        <f>IF(ISTEXT($AB15),_xlfn.XLOOKUP($AB15,'Included studies 2023 update'!$C:$C,'Included studies 2023 update'!BH:BH),"")</f>
        <v>21</v>
      </c>
      <c r="BQ15">
        <f>IF(ISTEXT($AB15),_xlfn.XLOOKUP($AB15,'Included studies 2023 update'!$C:$C,'Included studies 2023 update'!BI:BI),"")</f>
        <v>15</v>
      </c>
      <c r="BR15">
        <f>IF(ISTEXT($AB15),_xlfn.XLOOKUP($AB15,'Included studies 2023 update'!$C:$C,'Included studies 2023 update'!BJ:BJ),"")</f>
        <v>13</v>
      </c>
      <c r="BS15">
        <f>IF(ISTEXT($AB15),_xlfn.XLOOKUP($AB15,'Included studies 2023 update'!$C:$C,'Included studies 2023 update'!BK:BK),"")</f>
        <v>0</v>
      </c>
    </row>
    <row r="16" spans="1:79" ht="13" customHeight="1">
      <c r="A16" s="2">
        <v>22820131</v>
      </c>
      <c r="B16" s="11" t="s">
        <v>2706</v>
      </c>
      <c r="C16" s="2" t="s">
        <v>306</v>
      </c>
      <c r="D16" s="2" t="s">
        <v>2707</v>
      </c>
      <c r="E16" s="2" t="s">
        <v>2708</v>
      </c>
      <c r="F16" s="2">
        <v>2012</v>
      </c>
      <c r="G16" s="2" t="s">
        <v>10</v>
      </c>
      <c r="I16" s="2"/>
      <c r="J16" s="14" t="s">
        <v>2715</v>
      </c>
      <c r="K16" s="2">
        <f t="shared" si="0"/>
        <v>1</v>
      </c>
      <c r="L16" s="14" t="s">
        <v>2716</v>
      </c>
      <c r="M16" s="2">
        <f t="shared" si="1"/>
        <v>1</v>
      </c>
      <c r="N16" s="15"/>
      <c r="O16" s="2"/>
      <c r="Q16" s="2">
        <v>33326670</v>
      </c>
      <c r="R16">
        <f>IF(ISNUMBER(Q16), _xlfn.XLOOKUP(Q16,'Included studies 2023 update'!A:A,'Included studies 2023 update'!K:K)+_xlfn.XLOOKUP(Q16,'Included studies 2023 update'!A:A,'Included studies 2023 update'!L:L),"")</f>
        <v>102</v>
      </c>
      <c r="U16" s="164"/>
      <c r="V16" s="114" t="s">
        <v>3690</v>
      </c>
      <c r="W16" s="113" t="str">
        <f>""&amp;TEXT(SUM(AO:AO),"0")&amp;" ("&amp;TEXT(SUM(AO:AO)/(SUM(AJ:AU)-SUM(AO:AO)),"0.0%")&amp;")"</f>
        <v>157 (3.1%)</v>
      </c>
      <c r="X16" s="113" t="str" cm="1">
        <f t="array" ref="X16">""&amp;TEXT(SUM(_xlfn._xlws.FILTER('Included studies 2023 update'!$AF:$AF,('Included studies 2023 update'!$E:$E="No")*('Included studies 2023 update'!$H:$H=X$2))),"0")&amp;" ("&amp;TEXT(SUM(_xlfn._xlws.FILTER('Included studies 2023 update'!$AF:$AF,('Included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141 (2.8%)</v>
      </c>
      <c r="Y16" s="113" t="str" cm="1">
        <f t="array" ref="Y16">""&amp;TEXT(SUM(_xlfn._xlws.FILTER('Included studies 2023 update'!$AF:$AF,('Included studies 2023 update'!$E:$E="No")*('Included studies 2023 update'!$H:$H=Y$2))),"0")&amp;" ("&amp;TEXT(SUM(_xlfn._xlws.FILTER('Included studies 2023 update'!$AF:$AF,('Included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6" s="113" t="str" cm="1">
        <f t="array" ref="Z16">""&amp;TEXT(SUM(_xlfn._xlws.FILTER('Included studies 2023 update'!$AF:$AF,('Included studies 2023 update'!$E:$E="No")*('Included studies 2023 update'!$H:$H=Z$2))),"0")&amp;" ("&amp;TEXT(SUM(_xlfn._xlws.FILTER('Included studies 2023 update'!$AF:$AF,('Included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16 (1.2%)</v>
      </c>
      <c r="AA16"/>
      <c r="AB16" t="str">
        <v>https://pubmed.ncbi.nlm.nih.gov/33326670/</v>
      </c>
      <c r="AC16">
        <f>IF(ISTEXT(AB16),_xlfn.XLOOKUP(AB16,'Included studies 2023 update'!C:C,'Included studies 2023 update'!J:J),"")</f>
        <v>102</v>
      </c>
      <c r="AD16" t="str">
        <f>IF(ISTEXT(AB16),_xlfn.XLOOKUP(AB16,'Included studies 2023 update'!C:C,'Included studies 2023 update'!E:E),"")</f>
        <v>No</v>
      </c>
      <c r="AE16" t="str">
        <f>IF(ISTEXT(AB16),_xlfn.XLOOKUP(AB16,'Included studies 2023 update'!C:C,'Included studies 2023 update'!I:I),"")</f>
        <v>Both</v>
      </c>
      <c r="AF16" t="str">
        <f>IF(ISTEXT(AB16),_xlfn.XLOOKUP(AB16,'Included studies 2023 update'!C:C,'Included studies 2023 update'!U:U),"")</f>
        <v>ACY and GAN</v>
      </c>
      <c r="AG16" t="str">
        <f>IF(ISTEXT(AB16),_xlfn.XLOOKUP(AB16,'Included studies 2023 update'!C:C,'Included studies 2023 update'!X:X),"")</f>
        <v>Plasma</v>
      </c>
      <c r="AH16">
        <f>IF(ISTEXT(AB16),_xlfn.XLOOKUP(AB16,'Included studies 2023 update'!C:C,'Included studies 2023 update'!Y:Y),"")</f>
        <v>500</v>
      </c>
      <c r="AI16" t="str">
        <f>IF(ISTEXT(AB16),_xlfn.XLOOKUP(AB16,'Included studies 2023 update'!C:C,'Included studies 2023 update'!Z:Z),"")</f>
        <v>Prospective</v>
      </c>
      <c r="AJ16">
        <f>IF(ISTEXT($AB16),_xlfn.XLOOKUP($AB16,'Included studies 2023 update'!$C:$C,'Included studies 2023 update'!AA:AA),"")</f>
        <v>47</v>
      </c>
      <c r="AK16">
        <f>IF(ISTEXT($AB16),_xlfn.XLOOKUP($AB16,'Included studies 2023 update'!$C:$C,'Included studies 2023 update'!AB:AB),"")</f>
        <v>45</v>
      </c>
      <c r="AL16">
        <f>IF(ISTEXT($AB16),_xlfn.XLOOKUP($AB16,'Included studies 2023 update'!$C:$C,'Included studies 2023 update'!AC:AC),"")</f>
        <v>0</v>
      </c>
      <c r="AM16">
        <f>IF(ISTEXT($AB16),_xlfn.XLOOKUP($AB16,'Included studies 2023 update'!$C:$C,'Included studies 2023 update'!AD:AD),"")</f>
        <v>0</v>
      </c>
      <c r="AN16">
        <f>IF(ISTEXT($AB16),_xlfn.XLOOKUP($AB16,'Included studies 2023 update'!$C:$C,'Included studies 2023 update'!AE:AE),"")</f>
        <v>10</v>
      </c>
      <c r="AO16">
        <f>IF(ISTEXT($AB16),_xlfn.XLOOKUP($AB16,'Included studies 2023 update'!$C:$C,'Included studies 2023 update'!AF:AF),"")</f>
        <v>0</v>
      </c>
      <c r="AP16">
        <f>IF(ISTEXT($AB16),_xlfn.XLOOKUP($AB16,'Included studies 2023 update'!$C:$C,'Included studies 2023 update'!AG:AG),"")</f>
        <v>0</v>
      </c>
      <c r="AQ16">
        <f>IF(ISTEXT($AB16),_xlfn.XLOOKUP($AB16,'Included studies 2023 update'!$C:$C,'Included studies 2023 update'!AH:AH),"")</f>
        <v>0</v>
      </c>
      <c r="AR16">
        <f>IF(ISTEXT($AB16),_xlfn.XLOOKUP($AB16,'Included studies 2023 update'!$C:$C,'Included studies 2023 update'!AI:AI),"")</f>
        <v>0</v>
      </c>
      <c r="AS16" s="85">
        <f>IF(ISTEXT($AB16),_xlfn.XLOOKUP($AB16,'Included studies 2023 update'!$C:$C,'Included studies 2023 update'!AJ:AJ),"")</f>
        <v>0</v>
      </c>
      <c r="AT16" s="85">
        <f>IF(ISTEXT($AB16),_xlfn.XLOOKUP($AB16,'Included studies 2023 update'!$C:$C,'Included studies 2023 update'!AK:AK),"")</f>
        <v>0</v>
      </c>
      <c r="AU16">
        <f>IF(ISTEXT($AB16),_xlfn.XLOOKUP($AB16,'Included studies 2023 update'!$C:$C,'Included studies 2023 update'!AL:AL),"")</f>
        <v>0</v>
      </c>
      <c r="AV16">
        <f>IF(ISTEXT($AB16),_xlfn.XLOOKUP($AB16,'Included studies 2023 update'!$C:$C,'Included studies 2023 update'!AM:AM),"")</f>
        <v>100</v>
      </c>
      <c r="AW16" t="str">
        <f>IF(ISTEXT($AB16),_xlfn.XLOOKUP($AB16,'Included studies 2023 update'!$C:$C,'Included studies 2023 update'!AN:AN),"")</f>
        <v>1x per week</v>
      </c>
      <c r="AX16">
        <f>IF(ISTEXT($AB16),_xlfn.XLOOKUP($AB16,'Included studies 2023 update'!$C:$C,'Included studies 2023 update'!AP:AP),"")</f>
        <v>0</v>
      </c>
      <c r="AY16">
        <f>IF(ISTEXT($AB16),_xlfn.XLOOKUP($AB16,'Included studies 2023 update'!$C:$C,'Included studies 2023 update'!AQ:AQ),"")</f>
        <v>0</v>
      </c>
      <c r="AZ16">
        <f>IF(ISTEXT($AB16),_xlfn.XLOOKUP($AB16,'Included studies 2023 update'!$C:$C,'Included studies 2023 update'!AR:AR),"")</f>
        <v>0</v>
      </c>
      <c r="BA16">
        <f>IF(ISTEXT($AB16),_xlfn.XLOOKUP($AB16,'Included studies 2023 update'!$C:$C,'Included studies 2023 update'!AS:AS),"")</f>
        <v>0</v>
      </c>
      <c r="BB16">
        <f>IF(ISTEXT($AB16),_xlfn.XLOOKUP($AB16,'Included studies 2023 update'!$C:$C,'Included studies 2023 update'!AT:AT),"")</f>
        <v>0</v>
      </c>
      <c r="BC16">
        <f>IF(ISTEXT($AB16),_xlfn.XLOOKUP($AB16,'Included studies 2023 update'!$C:$C,'Included studies 2023 update'!AU:AU),"")</f>
        <v>0</v>
      </c>
      <c r="BD16">
        <f>IF(ISTEXT($AB16),_xlfn.XLOOKUP($AB16,'Included studies 2023 update'!$C:$C,'Included studies 2023 update'!AV:AV),"")</f>
        <v>0</v>
      </c>
      <c r="BE16">
        <f>IF(ISTEXT($AB16),_xlfn.XLOOKUP($AB16,'Included studies 2023 update'!$C:$C,'Included studies 2023 update'!AW:AW),"")</f>
        <v>0</v>
      </c>
      <c r="BF16">
        <f>IF(ISTEXT($AB16),_xlfn.XLOOKUP($AB16,'Included studies 2023 update'!$C:$C,'Included studies 2023 update'!AX:AX),"")</f>
        <v>0</v>
      </c>
      <c r="BG16">
        <f>IF(ISTEXT($AB16),_xlfn.XLOOKUP($AB16,'Included studies 2023 update'!$C:$C,'Included studies 2023 update'!AY:AY),"")</f>
        <v>0</v>
      </c>
      <c r="BH16">
        <f>IF(ISTEXT($AB16),_xlfn.XLOOKUP($AB16,'Included studies 2023 update'!$C:$C,'Included studies 2023 update'!AZ:AZ),"")</f>
        <v>0</v>
      </c>
      <c r="BI16">
        <f>IF(ISTEXT($AB16),_xlfn.XLOOKUP($AB16,'Included studies 2023 update'!$C:$C,'Included studies 2023 update'!BA:BA),"")</f>
        <v>0</v>
      </c>
      <c r="BJ16">
        <f>IF(ISTEXT($AB16),_xlfn.XLOOKUP($AB16,'Included studies 2023 update'!$C:$C,'Included studies 2023 update'!BB:BB),"")</f>
        <v>0</v>
      </c>
      <c r="BK16">
        <f>IF(ISTEXT($AB16),_xlfn.XLOOKUP($AB16,'Included studies 2023 update'!$C:$C,'Included studies 2023 update'!BC:BC),"")</f>
        <v>0</v>
      </c>
      <c r="BL16">
        <f>IF(ISTEXT($AB16),_xlfn.XLOOKUP($AB16,'Included studies 2023 update'!$C:$C,'Included studies 2023 update'!BD:BD),"")</f>
        <v>102</v>
      </c>
      <c r="BM16">
        <f>IF(ISTEXT($AB16),_xlfn.XLOOKUP($AB16,'Included studies 2023 update'!$C:$C,'Included studies 2023 update'!BE:BE),"")</f>
        <v>0</v>
      </c>
      <c r="BN16">
        <f>IF(ISTEXT($AB16),_xlfn.XLOOKUP($AB16,'Included studies 2023 update'!$C:$C,'Included studies 2023 update'!BF:BF),"")</f>
        <v>0</v>
      </c>
      <c r="BO16">
        <f>IF(ISTEXT($AB16),_xlfn.XLOOKUP($AB16,'Included studies 2023 update'!$C:$C,'Included studies 2023 update'!BG:BG),"")</f>
        <v>102</v>
      </c>
      <c r="BP16">
        <f>IF(ISTEXT($AB16),_xlfn.XLOOKUP($AB16,'Included studies 2023 update'!$C:$C,'Included studies 2023 update'!BH:BH),"")</f>
        <v>0</v>
      </c>
      <c r="BQ16">
        <f>IF(ISTEXT($AB16),_xlfn.XLOOKUP($AB16,'Included studies 2023 update'!$C:$C,'Included studies 2023 update'!BI:BI),"")</f>
        <v>0</v>
      </c>
      <c r="BR16">
        <f>IF(ISTEXT($AB16),_xlfn.XLOOKUP($AB16,'Included studies 2023 update'!$C:$C,'Included studies 2023 update'!BJ:BJ),"")</f>
        <v>0</v>
      </c>
      <c r="BS16">
        <f>IF(ISTEXT($AB16),_xlfn.XLOOKUP($AB16,'Included studies 2023 update'!$C:$C,'Included studies 2023 update'!BK:BK),"")</f>
        <v>102</v>
      </c>
    </row>
    <row r="17" spans="1:71" ht="13" customHeight="1">
      <c r="A17" s="2">
        <v>23771003</v>
      </c>
      <c r="B17" s="11" t="s">
        <v>2712</v>
      </c>
      <c r="C17" s="2" t="s">
        <v>223</v>
      </c>
      <c r="D17" s="2" t="s">
        <v>2713</v>
      </c>
      <c r="E17" s="2" t="s">
        <v>2714</v>
      </c>
      <c r="F17" s="2">
        <v>2013</v>
      </c>
      <c r="G17" s="2" t="s">
        <v>10</v>
      </c>
      <c r="I17" s="2"/>
      <c r="J17" s="14" t="s">
        <v>2719</v>
      </c>
      <c r="K17" s="2">
        <f t="shared" si="0"/>
        <v>1</v>
      </c>
      <c r="L17" s="14" t="s">
        <v>2720</v>
      </c>
      <c r="M17" s="2">
        <f t="shared" si="1"/>
        <v>3</v>
      </c>
      <c r="N17" s="15"/>
      <c r="O17" s="2"/>
      <c r="Q17" s="2">
        <v>29020348</v>
      </c>
      <c r="R17">
        <f>IF(ISNUMBER(Q17), _xlfn.XLOOKUP(Q17,'Included studies 2023 update'!A:A,'Included studies 2023 update'!K:K)+_xlfn.XLOOKUP(Q17,'Included studies 2023 update'!A:A,'Included studies 2023 update'!L:L),"")</f>
        <v>404</v>
      </c>
      <c r="U17" s="164"/>
      <c r="V17" s="114" t="s">
        <v>3691</v>
      </c>
      <c r="W17" s="113" t="str">
        <f>""&amp;TEXT(SUM(AP:AP),"0")&amp;" ("&amp;TEXT(SUM(AP:AP)/(SUM(AJ:AU)-SUM(AP:AP)),"0.0%")&amp;")"</f>
        <v>286 (5.8%)</v>
      </c>
      <c r="X17" s="113" t="str" cm="1">
        <f t="array" ref="X17">""&amp;TEXT(SUM(_xlfn._xlws.FILTER('Included studies 2023 update'!$AG:$AG,('Included studies 2023 update'!$E:$E="No")*('Included studies 2023 update'!$H:$H=X$2))),"0")&amp;" ("&amp;TEXT(SUM(_xlfn._xlws.FILTER('Included studies 2023 update'!$AG:$AG,('Included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275 (5.4%)</v>
      </c>
      <c r="Y17" s="113" t="str" cm="1">
        <f t="array" ref="Y17">""&amp;TEXT(SUM(_xlfn._xlws.FILTER('Included studies 2023 update'!$AG:$AG,('Included studies 2023 update'!$E:$E="No")*('Included studies 2023 update'!$H:$H=Y$2))),"0")&amp;" ("&amp;TEXT(SUM(_xlfn._xlws.FILTER('Included studies 2023 update'!$AG:$AG,('Included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7" s="113" t="str" cm="1">
        <f t="array" ref="Z17">""&amp;TEXT(SUM(_xlfn._xlws.FILTER('Included studies 2023 update'!$AG:$AG,('Included studies 2023 update'!$E:$E="No")*('Included studies 2023 update'!$H:$H=Z$2))),"0")&amp;" ("&amp;TEXT(SUM(_xlfn._xlws.FILTER('Included studies 2023 update'!$AG:$AG,('Included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11 (0.8%)</v>
      </c>
      <c r="AA17"/>
      <c r="AB17" t="str">
        <v>https://pubmed.ncbi.nlm.nih.gov/29020348/</v>
      </c>
      <c r="AC17">
        <f>IF(ISTEXT(AB17),_xlfn.XLOOKUP(AB17,'Included studies 2023 update'!C:C,'Included studies 2023 update'!J:J),"")</f>
        <v>404</v>
      </c>
      <c r="AD17" t="str">
        <f>IF(ISTEXT(AB17),_xlfn.XLOOKUP(AB17,'Included studies 2023 update'!C:C,'Included studies 2023 update'!E:E),"")</f>
        <v>No</v>
      </c>
      <c r="AE17" t="str">
        <f>IF(ISTEXT(AB17),_xlfn.XLOOKUP(AB17,'Included studies 2023 update'!C:C,'Included studies 2023 update'!I:I),"")</f>
        <v>Adult</v>
      </c>
      <c r="AF17" t="str">
        <f>IF(ISTEXT(AB17),_xlfn.XLOOKUP(AB17,'Included studies 2023 update'!C:C,'Included studies 2023 update'!U:U),"")</f>
        <v>ACY</v>
      </c>
      <c r="AG17" t="str">
        <f>IF(ISTEXT(AB17),_xlfn.XLOOKUP(AB17,'Included studies 2023 update'!C:C,'Included studies 2023 update'!X:X),"")</f>
        <v>Plasma</v>
      </c>
      <c r="AH17">
        <f>IF(ISTEXT(AB17),_xlfn.XLOOKUP(AB17,'Included studies 2023 update'!C:C,'Included studies 2023 update'!Y:Y),"")</f>
        <v>50</v>
      </c>
      <c r="AI17" t="str">
        <f>IF(ISTEXT(AB17),_xlfn.XLOOKUP(AB17,'Included studies 2023 update'!C:C,'Included studies 2023 update'!Z:Z),"")</f>
        <v>Retrospective</v>
      </c>
      <c r="AJ17">
        <f>IF(ISTEXT($AB17),_xlfn.XLOOKUP($AB17,'Included studies 2023 update'!$C:$C,'Included studies 2023 update'!AA:AA),"")</f>
        <v>0</v>
      </c>
      <c r="AK17">
        <f>IF(ISTEXT($AB17),_xlfn.XLOOKUP($AB17,'Included studies 2023 update'!$C:$C,'Included studies 2023 update'!AB:AB),"")</f>
        <v>0</v>
      </c>
      <c r="AL17">
        <f>IF(ISTEXT($AB17),_xlfn.XLOOKUP($AB17,'Included studies 2023 update'!$C:$C,'Included studies 2023 update'!AC:AC),"")</f>
        <v>0</v>
      </c>
      <c r="AM17">
        <f>IF(ISTEXT($AB17),_xlfn.XLOOKUP($AB17,'Included studies 2023 update'!$C:$C,'Included studies 2023 update'!AD:AD),"")</f>
        <v>0</v>
      </c>
      <c r="AN17">
        <f>IF(ISTEXT($AB17),_xlfn.XLOOKUP($AB17,'Included studies 2023 update'!$C:$C,'Included studies 2023 update'!AE:AE),"")</f>
        <v>0</v>
      </c>
      <c r="AO17">
        <f>IF(ISTEXT($AB17),_xlfn.XLOOKUP($AB17,'Included studies 2023 update'!$C:$C,'Included studies 2023 update'!AF:AF),"")</f>
        <v>0</v>
      </c>
      <c r="AP17">
        <f>IF(ISTEXT($AB17),_xlfn.XLOOKUP($AB17,'Included studies 2023 update'!$C:$C,'Included studies 2023 update'!AG:AG),"")</f>
        <v>232</v>
      </c>
      <c r="AQ17">
        <f>IF(ISTEXT($AB17),_xlfn.XLOOKUP($AB17,'Included studies 2023 update'!$C:$C,'Included studies 2023 update'!AH:AH),"")</f>
        <v>1114</v>
      </c>
      <c r="AR17">
        <f>IF(ISTEXT($AB17),_xlfn.XLOOKUP($AB17,'Included studies 2023 update'!$C:$C,'Included studies 2023 update'!AI:AI),"")</f>
        <v>0</v>
      </c>
      <c r="AS17" s="85">
        <f>IF(ISTEXT($AB17),_xlfn.XLOOKUP($AB17,'Included studies 2023 update'!$C:$C,'Included studies 2023 update'!AJ:AJ),"")</f>
        <v>0</v>
      </c>
      <c r="AT17" s="85">
        <f>IF(ISTEXT($AB17),_xlfn.XLOOKUP($AB17,'Included studies 2023 update'!$C:$C,'Included studies 2023 update'!AK:AK),"")</f>
        <v>158</v>
      </c>
      <c r="AU17">
        <f>IF(ISTEXT($AB17),_xlfn.XLOOKUP($AB17,'Included studies 2023 update'!$C:$C,'Included studies 2023 update'!AL:AL),"")</f>
        <v>422</v>
      </c>
      <c r="AV17">
        <f>IF(ISTEXT($AB17),_xlfn.XLOOKUP($AB17,'Included studies 2023 update'!$C:$C,'Included studies 2023 update'!AM:AM),"")</f>
        <v>365</v>
      </c>
      <c r="AW17" t="str">
        <f>IF(ISTEXT($AB17),_xlfn.XLOOKUP($AB17,'Included studies 2023 update'!$C:$C,'Included studies 2023 update'!AN:AN),"")</f>
        <v>Unclear or ND</v>
      </c>
      <c r="AX17" t="str">
        <f>IF(ISTEXT($AB17),_xlfn.XLOOKUP($AB17,'Included studies 2023 update'!$C:$C,'Included studies 2023 update'!AP:AP),"")</f>
        <v>Unclear or ND</v>
      </c>
      <c r="AY17" t="str">
        <f>IF(ISTEXT($AB17),_xlfn.XLOOKUP($AB17,'Included studies 2023 update'!$C:$C,'Included studies 2023 update'!AQ:AQ),"")</f>
        <v>Unclear or ND</v>
      </c>
      <c r="AZ17" t="str">
        <f>IF(ISTEXT($AB17),_xlfn.XLOOKUP($AB17,'Included studies 2023 update'!$C:$C,'Included studies 2023 update'!AR:AR),"")</f>
        <v>Unclear or ND</v>
      </c>
      <c r="BA17" t="str">
        <f>IF(ISTEXT($AB17),_xlfn.XLOOKUP($AB17,'Included studies 2023 update'!$C:$C,'Included studies 2023 update'!AS:AS),"")</f>
        <v>Unclear or ND</v>
      </c>
      <c r="BB17" t="str">
        <f>IF(ISTEXT($AB17),_xlfn.XLOOKUP($AB17,'Included studies 2023 update'!$C:$C,'Included studies 2023 update'!AT:AT),"")</f>
        <v>Unclear or ND</v>
      </c>
      <c r="BC17" t="str">
        <f>IF(ISTEXT($AB17),_xlfn.XLOOKUP($AB17,'Included studies 2023 update'!$C:$C,'Included studies 2023 update'!AU:AU),"")</f>
        <v>Unclear or ND</v>
      </c>
      <c r="BD17" t="str">
        <f>IF(ISTEXT($AB17),_xlfn.XLOOKUP($AB17,'Included studies 2023 update'!$C:$C,'Included studies 2023 update'!AV:AV),"")</f>
        <v>Unclear or ND</v>
      </c>
      <c r="BE17" t="str">
        <f>IF(ISTEXT($AB17),_xlfn.XLOOKUP($AB17,'Included studies 2023 update'!$C:$C,'Included studies 2023 update'!AW:AW),"")</f>
        <v>Unclear or ND</v>
      </c>
      <c r="BF17" t="str">
        <f>IF(ISTEXT($AB17),_xlfn.XLOOKUP($AB17,'Included studies 2023 update'!$C:$C,'Included studies 2023 update'!AX:AX),"")</f>
        <v>Unclear or ND</v>
      </c>
      <c r="BG17" t="str">
        <f>IF(ISTEXT($AB17),_xlfn.XLOOKUP($AB17,'Included studies 2023 update'!$C:$C,'Included studies 2023 update'!AY:AY),"")</f>
        <v>Unclear or ND</v>
      </c>
      <c r="BH17" t="str">
        <f>IF(ISTEXT($AB17),_xlfn.XLOOKUP($AB17,'Included studies 2023 update'!$C:$C,'Included studies 2023 update'!AZ:AZ),"")</f>
        <v>Unclear or ND</v>
      </c>
      <c r="BI17" t="str">
        <f>IF(ISTEXT($AB17),_xlfn.XLOOKUP($AB17,'Included studies 2023 update'!$C:$C,'Included studies 2023 update'!BA:BA),"")</f>
        <v>Unclear or ND</v>
      </c>
      <c r="BJ17" t="str">
        <f>IF(ISTEXT($AB17),_xlfn.XLOOKUP($AB17,'Included studies 2023 update'!$C:$C,'Included studies 2023 update'!BB:BB),"")</f>
        <v>Unclear or ND</v>
      </c>
      <c r="BK17" t="str">
        <f>IF(ISTEXT($AB17),_xlfn.XLOOKUP($AB17,'Included studies 2023 update'!$C:$C,'Included studies 2023 update'!BC:BC),"")</f>
        <v>Unclear or ND</v>
      </c>
      <c r="BL17" t="str">
        <f>IF(ISTEXT($AB17),_xlfn.XLOOKUP($AB17,'Included studies 2023 update'!$C:$C,'Included studies 2023 update'!BD:BD),"")</f>
        <v>Unclear or ND</v>
      </c>
      <c r="BM17" t="str">
        <f>IF(ISTEXT($AB17),_xlfn.XLOOKUP($AB17,'Included studies 2023 update'!$C:$C,'Included studies 2023 update'!BE:BE),"")</f>
        <v>Unclear or ND</v>
      </c>
      <c r="BN17">
        <f>IF(ISTEXT($AB17),_xlfn.XLOOKUP($AB17,'Included studies 2023 update'!$C:$C,'Included studies 2023 update'!BF:BF),"")</f>
        <v>250</v>
      </c>
      <c r="BO17">
        <f>IF(ISTEXT($AB17),_xlfn.XLOOKUP($AB17,'Included studies 2023 update'!$C:$C,'Included studies 2023 update'!BG:BG),"")</f>
        <v>154</v>
      </c>
      <c r="BP17">
        <f>IF(ISTEXT($AB17),_xlfn.XLOOKUP($AB17,'Included studies 2023 update'!$C:$C,'Included studies 2023 update'!BH:BH),"")</f>
        <v>0</v>
      </c>
      <c r="BQ17">
        <f>IF(ISTEXT($AB17),_xlfn.XLOOKUP($AB17,'Included studies 2023 update'!$C:$C,'Included studies 2023 update'!BI:BI),"")</f>
        <v>232</v>
      </c>
      <c r="BR17">
        <f>IF(ISTEXT($AB17),_xlfn.XLOOKUP($AB17,'Included studies 2023 update'!$C:$C,'Included studies 2023 update'!BJ:BJ),"")</f>
        <v>0</v>
      </c>
      <c r="BS17">
        <f>IF(ISTEXT($AB17),_xlfn.XLOOKUP($AB17,'Included studies 2023 update'!$C:$C,'Included studies 2023 update'!BK:BK),"")</f>
        <v>1694</v>
      </c>
    </row>
    <row r="18" spans="1:71" ht="13" customHeight="1">
      <c r="A18" s="2">
        <v>18541204</v>
      </c>
      <c r="B18" s="11" t="s">
        <v>2717</v>
      </c>
      <c r="C18" s="2" t="s">
        <v>314</v>
      </c>
      <c r="D18" s="2" t="s">
        <v>2718</v>
      </c>
      <c r="E18" s="2" t="s">
        <v>2714</v>
      </c>
      <c r="F18" s="2">
        <v>2008</v>
      </c>
      <c r="G18" s="2" t="s">
        <v>10</v>
      </c>
      <c r="I18" s="2"/>
      <c r="J18" s="14" t="s">
        <v>2724</v>
      </c>
      <c r="K18" s="2">
        <f t="shared" si="0"/>
        <v>1</v>
      </c>
      <c r="L18" s="14" t="s">
        <v>2725</v>
      </c>
      <c r="M18" s="2">
        <f t="shared" si="1"/>
        <v>1</v>
      </c>
      <c r="N18" s="15"/>
      <c r="O18" s="2"/>
      <c r="Q18" s="2">
        <v>29542206</v>
      </c>
      <c r="R18">
        <f>IF(ISNUMBER(Q18), _xlfn.XLOOKUP(Q18,'Included studies 2023 update'!A:A,'Included studies 2023 update'!K:K)+_xlfn.XLOOKUP(Q18,'Included studies 2023 update'!A:A,'Included studies 2023 update'!L:L),"")</f>
        <v>72</v>
      </c>
      <c r="U18" s="164"/>
      <c r="V18" s="115" t="s">
        <v>3692</v>
      </c>
      <c r="W18" s="113" t="str">
        <f>""&amp;TEXT(SUM(AQ:AQ),"0")&amp;" ("&amp;TEXT(SUM(AQ:AQ)/(SUM(AJ:AU)-SUM(AQ:AQ)),"0.0%")&amp;")"</f>
        <v>1490 (40.0%)</v>
      </c>
      <c r="X18" s="113" t="str" cm="1">
        <f t="array" ref="X18">""&amp;TEXT(SUM(_xlfn._xlws.FILTER('Included studies 2023 update'!$AH:$AH,('Included studies 2023 update'!$E:$E="No")*('Included studies 2023 update'!$H:$H=X$2))),"0")&amp;" ("&amp;TEXT(SUM(_xlfn._xlws.FILTER('Included studies 2023 update'!$AH:$AH,('Included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1490 (29.5%)</v>
      </c>
      <c r="Y18" s="113" t="str" cm="1">
        <f t="array" ref="Y18">""&amp;TEXT(SUM(_xlfn._xlws.FILTER('Included studies 2023 update'!$AH:$AH,('Included studies 2023 update'!$E:$E="No")*('Included studies 2023 update'!$H:$H=Y$2))),"0")&amp;" ("&amp;TEXT(SUM(_xlfn._xlws.FILTER('Included studies 2023 update'!$AH:$AH,('Included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8" s="113" t="str" cm="1">
        <f t="array" ref="Z18">""&amp;TEXT(SUM(_xlfn._xlws.FILTER('Included studies 2023 update'!$AH:$AH,('Included studies 2023 update'!$E:$E="No")*('Included studies 2023 update'!$H:$H=Z$2))),"0")&amp;" ("&amp;TEXT(SUM(_xlfn._xlws.FILTER('Included studies 2023 update'!$AH:$AH,('Included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8"/>
      <c r="AB18" t="str">
        <v>https://pubmed.ncbi.nlm.nih.gov/29542206/</v>
      </c>
      <c r="AC18">
        <f>IF(ISTEXT(AB18),_xlfn.XLOOKUP(AB18,'Included studies 2023 update'!C:C,'Included studies 2023 update'!J:J),"")</f>
        <v>72</v>
      </c>
      <c r="AD18" t="str">
        <f>IF(ISTEXT(AB18),_xlfn.XLOOKUP(AB18,'Included studies 2023 update'!C:C,'Included studies 2023 update'!E:E),"")</f>
        <v>No</v>
      </c>
      <c r="AE18" t="str">
        <f>IF(ISTEXT(AB18),_xlfn.XLOOKUP(AB18,'Included studies 2023 update'!C:C,'Included studies 2023 update'!I:I),"")</f>
        <v>Both</v>
      </c>
      <c r="AF18" t="str">
        <f>IF(ISTEXT(AB18),_xlfn.XLOOKUP(AB18,'Included studies 2023 update'!C:C,'Included studies 2023 update'!U:U),"")</f>
        <v>ACY and GAN</v>
      </c>
      <c r="AG18" t="str">
        <f>IF(ISTEXT(AB18),_xlfn.XLOOKUP(AB18,'Included studies 2023 update'!C:C,'Included studies 2023 update'!X:X),"")</f>
        <v>Whole blood</v>
      </c>
      <c r="AH18">
        <f>IF(ISTEXT(AB18),_xlfn.XLOOKUP(AB18,'Included studies 2023 update'!C:C,'Included studies 2023 update'!Y:Y),"")</f>
        <v>50</v>
      </c>
      <c r="AI18" t="str">
        <f>IF(ISTEXT(AB18),_xlfn.XLOOKUP(AB18,'Included studies 2023 update'!C:C,'Included studies 2023 update'!Z:Z),"")</f>
        <v>Prospective</v>
      </c>
      <c r="AJ18" t="str">
        <f>IF(ISTEXT($AB18),_xlfn.XLOOKUP($AB18,'Included studies 2023 update'!$C:$C,'Included studies 2023 update'!AA:AA),"")</f>
        <v>ND</v>
      </c>
      <c r="AK18" t="str">
        <f>IF(ISTEXT($AB18),_xlfn.XLOOKUP($AB18,'Included studies 2023 update'!$C:$C,'Included studies 2023 update'!AB:AB),"")</f>
        <v>ND</v>
      </c>
      <c r="AL18" t="str">
        <f>IF(ISTEXT($AB18),_xlfn.XLOOKUP($AB18,'Included studies 2023 update'!$C:$C,'Included studies 2023 update'!AC:AC),"")</f>
        <v>ND</v>
      </c>
      <c r="AM18" t="str">
        <f>IF(ISTEXT($AB18),_xlfn.XLOOKUP($AB18,'Included studies 2023 update'!$C:$C,'Included studies 2023 update'!AD:AD),"")</f>
        <v>ND</v>
      </c>
      <c r="AN18" t="str">
        <f>IF(ISTEXT($AB18),_xlfn.XLOOKUP($AB18,'Included studies 2023 update'!$C:$C,'Included studies 2023 update'!AE:AE),"")</f>
        <v>ND</v>
      </c>
      <c r="AO18" t="str">
        <f>IF(ISTEXT($AB18),_xlfn.XLOOKUP($AB18,'Included studies 2023 update'!$C:$C,'Included studies 2023 update'!AF:AF),"")</f>
        <v>ND</v>
      </c>
      <c r="AP18" t="str">
        <f>IF(ISTEXT($AB18),_xlfn.XLOOKUP($AB18,'Included studies 2023 update'!$C:$C,'Included studies 2023 update'!AG:AG),"")</f>
        <v>ND</v>
      </c>
      <c r="AQ18" t="str">
        <f>IF(ISTEXT($AB18),_xlfn.XLOOKUP($AB18,'Included studies 2023 update'!$C:$C,'Included studies 2023 update'!AH:AH),"")</f>
        <v>ND</v>
      </c>
      <c r="AR18" t="str">
        <f>IF(ISTEXT($AB18),_xlfn.XLOOKUP($AB18,'Included studies 2023 update'!$C:$C,'Included studies 2023 update'!AI:AI),"")</f>
        <v>ND</v>
      </c>
      <c r="AS18" s="85" t="str">
        <f>IF(ISTEXT($AB18),_xlfn.XLOOKUP($AB18,'Included studies 2023 update'!$C:$C,'Included studies 2023 update'!AJ:AJ),"")</f>
        <v>ND</v>
      </c>
      <c r="AT18" s="85" t="str">
        <f>IF(ISTEXT($AB18),_xlfn.XLOOKUP($AB18,'Included studies 2023 update'!$C:$C,'Included studies 2023 update'!AK:AK),"")</f>
        <v>ND</v>
      </c>
      <c r="AU18" t="str">
        <f>IF(ISTEXT($AB18),_xlfn.XLOOKUP($AB18,'Included studies 2023 update'!$C:$C,'Included studies 2023 update'!AL:AL),"")</f>
        <v>ND</v>
      </c>
      <c r="AV18">
        <f>IF(ISTEXT($AB18),_xlfn.XLOOKUP($AB18,'Included studies 2023 update'!$C:$C,'Included studies 2023 update'!AM:AM),"")</f>
        <v>42</v>
      </c>
      <c r="AW18" t="str">
        <f>IF(ISTEXT($AB18),_xlfn.XLOOKUP($AB18,'Included studies 2023 update'!$C:$C,'Included studies 2023 update'!AN:AN),"")</f>
        <v>1x per week</v>
      </c>
      <c r="AX18" t="str">
        <f>IF(ISTEXT($AB18),_xlfn.XLOOKUP($AB18,'Included studies 2023 update'!$C:$C,'Included studies 2023 update'!AP:AP),"")</f>
        <v>Unclear or ND</v>
      </c>
      <c r="AY18" t="str">
        <f>IF(ISTEXT($AB18),_xlfn.XLOOKUP($AB18,'Included studies 2023 update'!$C:$C,'Included studies 2023 update'!AQ:AQ),"")</f>
        <v>Unclear or ND</v>
      </c>
      <c r="AZ18" t="str">
        <f>IF(ISTEXT($AB18),_xlfn.XLOOKUP($AB18,'Included studies 2023 update'!$C:$C,'Included studies 2023 update'!AR:AR),"")</f>
        <v>Unclear or ND</v>
      </c>
      <c r="BA18" t="str">
        <f>IF(ISTEXT($AB18),_xlfn.XLOOKUP($AB18,'Included studies 2023 update'!$C:$C,'Included studies 2023 update'!AS:AS),"")</f>
        <v>Unclear or ND</v>
      </c>
      <c r="BB18" t="str">
        <f>IF(ISTEXT($AB18),_xlfn.XLOOKUP($AB18,'Included studies 2023 update'!$C:$C,'Included studies 2023 update'!AT:AT),"")</f>
        <v>Unclear or ND</v>
      </c>
      <c r="BC18" t="str">
        <f>IF(ISTEXT($AB18),_xlfn.XLOOKUP($AB18,'Included studies 2023 update'!$C:$C,'Included studies 2023 update'!AU:AU),"")</f>
        <v>Unclear or ND</v>
      </c>
      <c r="BD18" t="str">
        <f>IF(ISTEXT($AB18),_xlfn.XLOOKUP($AB18,'Included studies 2023 update'!$C:$C,'Included studies 2023 update'!AV:AV),"")</f>
        <v>Unclear or ND</v>
      </c>
      <c r="BE18" t="str">
        <f>IF(ISTEXT($AB18),_xlfn.XLOOKUP($AB18,'Included studies 2023 update'!$C:$C,'Included studies 2023 update'!AW:AW),"")</f>
        <v>Unclear or ND</v>
      </c>
      <c r="BF18" t="str">
        <f>IF(ISTEXT($AB18),_xlfn.XLOOKUP($AB18,'Included studies 2023 update'!$C:$C,'Included studies 2023 update'!AX:AX),"")</f>
        <v>Unclear or ND</v>
      </c>
      <c r="BG18" t="str">
        <f>IF(ISTEXT($AB18),_xlfn.XLOOKUP($AB18,'Included studies 2023 update'!$C:$C,'Included studies 2023 update'!AY:AY),"")</f>
        <v>Unclear or ND</v>
      </c>
      <c r="BH18" t="str">
        <f>IF(ISTEXT($AB18),_xlfn.XLOOKUP($AB18,'Included studies 2023 update'!$C:$C,'Included studies 2023 update'!AZ:AZ),"")</f>
        <v>Unclear or ND</v>
      </c>
      <c r="BI18" t="str">
        <f>IF(ISTEXT($AB18),_xlfn.XLOOKUP($AB18,'Included studies 2023 update'!$C:$C,'Included studies 2023 update'!BA:BA),"")</f>
        <v>Unclear or ND</v>
      </c>
      <c r="BJ18" t="str">
        <f>IF(ISTEXT($AB18),_xlfn.XLOOKUP($AB18,'Included studies 2023 update'!$C:$C,'Included studies 2023 update'!BB:BB),"")</f>
        <v>Unclear or ND</v>
      </c>
      <c r="BK18" t="str">
        <f>IF(ISTEXT($AB18),_xlfn.XLOOKUP($AB18,'Included studies 2023 update'!$C:$C,'Included studies 2023 update'!BC:BC),"")</f>
        <v>Unclear or ND</v>
      </c>
      <c r="BL18" t="str">
        <f>IF(ISTEXT($AB18),_xlfn.XLOOKUP($AB18,'Included studies 2023 update'!$C:$C,'Included studies 2023 update'!BD:BD),"")</f>
        <v>Unclear or ND</v>
      </c>
      <c r="BM18" t="str">
        <f>IF(ISTEXT($AB18),_xlfn.XLOOKUP($AB18,'Included studies 2023 update'!$C:$C,'Included studies 2023 update'!BE:BE),"")</f>
        <v>Unclear or ND</v>
      </c>
      <c r="BN18">
        <f>IF(ISTEXT($AB18),_xlfn.XLOOKUP($AB18,'Included studies 2023 update'!$C:$C,'Included studies 2023 update'!BF:BF),"")</f>
        <v>53</v>
      </c>
      <c r="BO18">
        <f>IF(ISTEXT($AB18),_xlfn.XLOOKUP($AB18,'Included studies 2023 update'!$C:$C,'Included studies 2023 update'!BG:BG),"")</f>
        <v>53</v>
      </c>
      <c r="BP18" t="str">
        <f>IF(ISTEXT($AB18),_xlfn.XLOOKUP($AB18,'Included studies 2023 update'!$C:$C,'Included studies 2023 update'!BH:BH),"")</f>
        <v>Circle back</v>
      </c>
      <c r="BQ18" t="str">
        <f>IF(ISTEXT($AB18),_xlfn.XLOOKUP($AB18,'Included studies 2023 update'!$C:$C,'Included studies 2023 update'!BI:BI),"")</f>
        <v>Circle back</v>
      </c>
      <c r="BR18" t="str">
        <f>IF(ISTEXT($AB18),_xlfn.XLOOKUP($AB18,'Included studies 2023 update'!$C:$C,'Included studies 2023 update'!BJ:BJ),"")</f>
        <v>Circle back</v>
      </c>
      <c r="BS18">
        <f>IF(ISTEXT($AB18),_xlfn.XLOOKUP($AB18,'Included studies 2023 update'!$C:$C,'Included studies 2023 update'!BK:BK),"")</f>
        <v>72</v>
      </c>
    </row>
    <row r="19" spans="1:71" ht="13" customHeight="1">
      <c r="A19" s="2">
        <v>8382723</v>
      </c>
      <c r="B19" s="11" t="s">
        <v>2721</v>
      </c>
      <c r="C19" s="2" t="s">
        <v>213</v>
      </c>
      <c r="D19" s="2" t="s">
        <v>2722</v>
      </c>
      <c r="E19" s="2" t="s">
        <v>2723</v>
      </c>
      <c r="F19" s="2">
        <v>1993</v>
      </c>
      <c r="G19" s="2" t="s">
        <v>10</v>
      </c>
      <c r="I19" s="2"/>
      <c r="J19" s="14" t="s">
        <v>2729</v>
      </c>
      <c r="K19" s="2">
        <f t="shared" si="0"/>
        <v>2</v>
      </c>
      <c r="L19" s="14" t="s">
        <v>2730</v>
      </c>
      <c r="M19" s="2">
        <f t="shared" si="1"/>
        <v>1</v>
      </c>
      <c r="N19" s="15"/>
      <c r="O19" s="2"/>
      <c r="Q19" s="2">
        <v>23514960</v>
      </c>
      <c r="R19">
        <f>IF(ISNUMBER(Q19), _xlfn.XLOOKUP(Q19,'Included studies 2023 update'!A:A,'Included studies 2023 update'!K:K)+_xlfn.XLOOKUP(Q19,'Included studies 2023 update'!A:A,'Included studies 2023 update'!L:L),"")</f>
        <v>213</v>
      </c>
      <c r="U19" s="164"/>
      <c r="V19" s="114" t="s">
        <v>3693</v>
      </c>
      <c r="W19" s="113" t="str">
        <f>""&amp;TEXT(SUM(AR:AR),"0")&amp;" ("&amp;TEXT(SUM(AR:AR)/(SUM(AJ:AU)-SUM(AR:AR)),"0.0%")&amp;")"</f>
        <v>7 (0.1%)</v>
      </c>
      <c r="X19" s="113" t="str" cm="1">
        <f t="array" ref="X19">""&amp;TEXT(SUM(_xlfn._xlws.FILTER('Included studies 2023 update'!$AI:$AI,('Included studies 2023 update'!$E:$E="No")*('Included studies 2023 update'!$H:$H=X$2))),"0")&amp;" ("&amp;TEXT(SUM(_xlfn._xlws.FILTER('Included studies 2023 update'!$AI:$AI,('Included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 (0.1%)</v>
      </c>
      <c r="Y19" s="113" t="str" cm="1">
        <f t="array" ref="Y19">""&amp;TEXT(SUM(_xlfn._xlws.FILTER('Included studies 2023 update'!$AI:$AI,('Included studies 2023 update'!$E:$E="No")*('Included studies 2023 update'!$H:$H=Y$2))),"0")&amp;" ("&amp;TEXT(SUM(_xlfn._xlws.FILTER('Included studies 2023 update'!$AI:$AI,('Included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9" s="113" t="str" cm="1">
        <f t="array" ref="Z19">""&amp;TEXT(SUM(_xlfn._xlws.FILTER('Included studies 2023 update'!$AI:$AI,('Included studies 2023 update'!$E:$E="No")*('Included studies 2023 update'!$H:$H=Z$2))),"0")&amp;" ("&amp;TEXT(SUM(_xlfn._xlws.FILTER('Included studies 2023 update'!$AI:$AI,('Included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9"/>
      <c r="AB19" t="str">
        <v>https://pubmed.ncbi.nlm.nih.gov/23514960/</v>
      </c>
      <c r="AC19">
        <f>IF(ISTEXT(AB19),_xlfn.XLOOKUP(AB19,'Included studies 2023 update'!C:C,'Included studies 2023 update'!J:J),"")</f>
        <v>213</v>
      </c>
      <c r="AD19" t="str">
        <f>IF(ISTEXT(AB19),_xlfn.XLOOKUP(AB19,'Included studies 2023 update'!C:C,'Included studies 2023 update'!E:E),"")</f>
        <v>No</v>
      </c>
      <c r="AE19" t="str">
        <f>IF(ISTEXT(AB19),_xlfn.XLOOKUP(AB19,'Included studies 2023 update'!C:C,'Included studies 2023 update'!I:I),"")</f>
        <v>Both</v>
      </c>
      <c r="AF19" t="str">
        <f>IF(ISTEXT(AB19),_xlfn.XLOOKUP(AB19,'Included studies 2023 update'!C:C,'Included studies 2023 update'!U:U),"")</f>
        <v>Unclear or ND</v>
      </c>
      <c r="AG19" t="str">
        <f>IF(ISTEXT(AB19),_xlfn.XLOOKUP(AB19,'Included studies 2023 update'!C:C,'Included studies 2023 update'!X:X),"")</f>
        <v>Whole blood</v>
      </c>
      <c r="AH19" t="str">
        <f>IF(ISTEXT(AB19),_xlfn.XLOOKUP(AB19,'Included studies 2023 update'!C:C,'Included studies 2023 update'!Y:Y),"")</f>
        <v>Unclear or ND</v>
      </c>
      <c r="AI19" t="str">
        <f>IF(ISTEXT(AB19),_xlfn.XLOOKUP(AB19,'Included studies 2023 update'!C:C,'Included studies 2023 update'!Z:Z),"")</f>
        <v>Retrospective</v>
      </c>
      <c r="AJ19">
        <f>IF(ISTEXT($AB19),_xlfn.XLOOKUP($AB19,'Included studies 2023 update'!$C:$C,'Included studies 2023 update'!AA:AA),"")</f>
        <v>0</v>
      </c>
      <c r="AK19">
        <f>IF(ISTEXT($AB19),_xlfn.XLOOKUP($AB19,'Included studies 2023 update'!$C:$C,'Included studies 2023 update'!AB:AB),"")</f>
        <v>0</v>
      </c>
      <c r="AL19">
        <f>IF(ISTEXT($AB19),_xlfn.XLOOKUP($AB19,'Included studies 2023 update'!$C:$C,'Included studies 2023 update'!AC:AC),"")</f>
        <v>0</v>
      </c>
      <c r="AM19">
        <f>IF(ISTEXT($AB19),_xlfn.XLOOKUP($AB19,'Included studies 2023 update'!$C:$C,'Included studies 2023 update'!AD:AD),"")</f>
        <v>0</v>
      </c>
      <c r="AN19">
        <f>IF(ISTEXT($AB19),_xlfn.XLOOKUP($AB19,'Included studies 2023 update'!$C:$C,'Included studies 2023 update'!AE:AE),"")</f>
        <v>0</v>
      </c>
      <c r="AO19">
        <f>IF(ISTEXT($AB19),_xlfn.XLOOKUP($AB19,'Included studies 2023 update'!$C:$C,'Included studies 2023 update'!AF:AF),"")</f>
        <v>0</v>
      </c>
      <c r="AP19">
        <f>IF(ISTEXT($AB19),_xlfn.XLOOKUP($AB19,'Included studies 2023 update'!$C:$C,'Included studies 2023 update'!AG:AG),"")</f>
        <v>0</v>
      </c>
      <c r="AQ19">
        <f>IF(ISTEXT($AB19),_xlfn.XLOOKUP($AB19,'Included studies 2023 update'!$C:$C,'Included studies 2023 update'!AH:AH),"")</f>
        <v>0</v>
      </c>
      <c r="AR19">
        <f>IF(ISTEXT($AB19),_xlfn.XLOOKUP($AB19,'Included studies 2023 update'!$C:$C,'Included studies 2023 update'!AI:AI),"")</f>
        <v>0</v>
      </c>
      <c r="AS19" s="85">
        <f>IF(ISTEXT($AB19),_xlfn.XLOOKUP($AB19,'Included studies 2023 update'!$C:$C,'Included studies 2023 update'!AJ:AJ),"")</f>
        <v>204</v>
      </c>
      <c r="AT19" s="85">
        <f>IF(ISTEXT($AB19),_xlfn.XLOOKUP($AB19,'Included studies 2023 update'!$C:$C,'Included studies 2023 update'!AK:AK),"")</f>
        <v>14</v>
      </c>
      <c r="AU19">
        <f>IF(ISTEXT($AB19),_xlfn.XLOOKUP($AB19,'Included studies 2023 update'!$C:$C,'Included studies 2023 update'!AL:AL),"")</f>
        <v>2</v>
      </c>
      <c r="AV19">
        <f>IF(ISTEXT($AB19),_xlfn.XLOOKUP($AB19,'Included studies 2023 update'!$C:$C,'Included studies 2023 update'!AM:AM),"")</f>
        <v>100</v>
      </c>
      <c r="AW19" t="str">
        <f>IF(ISTEXT($AB19),_xlfn.XLOOKUP($AB19,'Included studies 2023 update'!$C:$C,'Included studies 2023 update'!AN:AN),"")</f>
        <v>2x per week</v>
      </c>
      <c r="AX19" t="str">
        <f>IF(ISTEXT($AB19),_xlfn.XLOOKUP($AB19,'Included studies 2023 update'!$C:$C,'Included studies 2023 update'!AP:AP),"")</f>
        <v>Unclear or ND</v>
      </c>
      <c r="AY19" t="str">
        <f>IF(ISTEXT($AB19),_xlfn.XLOOKUP($AB19,'Included studies 2023 update'!$C:$C,'Included studies 2023 update'!AQ:AQ),"")</f>
        <v>Unclear or ND</v>
      </c>
      <c r="AZ19" t="str">
        <f>IF(ISTEXT($AB19),_xlfn.XLOOKUP($AB19,'Included studies 2023 update'!$C:$C,'Included studies 2023 update'!AR:AR),"")</f>
        <v>Unclear or ND</v>
      </c>
      <c r="BA19" t="str">
        <f>IF(ISTEXT($AB19),_xlfn.XLOOKUP($AB19,'Included studies 2023 update'!$C:$C,'Included studies 2023 update'!AS:AS),"")</f>
        <v>Unclear or ND</v>
      </c>
      <c r="BB19" t="str">
        <f>IF(ISTEXT($AB19),_xlfn.XLOOKUP($AB19,'Included studies 2023 update'!$C:$C,'Included studies 2023 update'!AT:AT),"")</f>
        <v>Unclear or ND</v>
      </c>
      <c r="BC19" t="str">
        <f>IF(ISTEXT($AB19),_xlfn.XLOOKUP($AB19,'Included studies 2023 update'!$C:$C,'Included studies 2023 update'!AU:AU),"")</f>
        <v>Unclear or ND</v>
      </c>
      <c r="BD19" t="str">
        <f>IF(ISTEXT($AB19),_xlfn.XLOOKUP($AB19,'Included studies 2023 update'!$C:$C,'Included studies 2023 update'!AV:AV),"")</f>
        <v>Unclear or ND</v>
      </c>
      <c r="BE19" t="str">
        <f>IF(ISTEXT($AB19),_xlfn.XLOOKUP($AB19,'Included studies 2023 update'!$C:$C,'Included studies 2023 update'!AW:AW),"")</f>
        <v>Unclear or ND</v>
      </c>
      <c r="BF19" t="str">
        <f>IF(ISTEXT($AB19),_xlfn.XLOOKUP($AB19,'Included studies 2023 update'!$C:$C,'Included studies 2023 update'!AX:AX),"")</f>
        <v>Unclear or ND</v>
      </c>
      <c r="BG19" t="str">
        <f>IF(ISTEXT($AB19),_xlfn.XLOOKUP($AB19,'Included studies 2023 update'!$C:$C,'Included studies 2023 update'!AY:AY),"")</f>
        <v>Unclear or ND</v>
      </c>
      <c r="BH19" t="str">
        <f>IF(ISTEXT($AB19),_xlfn.XLOOKUP($AB19,'Included studies 2023 update'!$C:$C,'Included studies 2023 update'!AZ:AZ),"")</f>
        <v>Unclear or ND</v>
      </c>
      <c r="BI19" t="str">
        <f>IF(ISTEXT($AB19),_xlfn.XLOOKUP($AB19,'Included studies 2023 update'!$C:$C,'Included studies 2023 update'!BA:BA),"")</f>
        <v>Unclear or ND</v>
      </c>
      <c r="BJ19" t="str">
        <f>IF(ISTEXT($AB19),_xlfn.XLOOKUP($AB19,'Included studies 2023 update'!$C:$C,'Included studies 2023 update'!BB:BB),"")</f>
        <v>Unclear or ND</v>
      </c>
      <c r="BK19" t="str">
        <f>IF(ISTEXT($AB19),_xlfn.XLOOKUP($AB19,'Included studies 2023 update'!$C:$C,'Included studies 2023 update'!BC:BC),"")</f>
        <v>Unclear or ND</v>
      </c>
      <c r="BL19" t="str">
        <f>IF(ISTEXT($AB19),_xlfn.XLOOKUP($AB19,'Included studies 2023 update'!$C:$C,'Included studies 2023 update'!BD:BD),"")</f>
        <v>Unclear or ND</v>
      </c>
      <c r="BM19" t="str">
        <f>IF(ISTEXT($AB19),_xlfn.XLOOKUP($AB19,'Included studies 2023 update'!$C:$C,'Included studies 2023 update'!BE:BE),"")</f>
        <v>Unclear or ND</v>
      </c>
      <c r="BN19">
        <f>IF(ISTEXT($AB19),_xlfn.XLOOKUP($AB19,'Included studies 2023 update'!$C:$C,'Included studies 2023 update'!BF:BF),"")</f>
        <v>119</v>
      </c>
      <c r="BO19">
        <f>IF(ISTEXT($AB19),_xlfn.XLOOKUP($AB19,'Included studies 2023 update'!$C:$C,'Included studies 2023 update'!BG:BG),"")</f>
        <v>101</v>
      </c>
      <c r="BP19">
        <f>IF(ISTEXT($AB19),_xlfn.XLOOKUP($AB19,'Included studies 2023 update'!$C:$C,'Included studies 2023 update'!BH:BH),"")</f>
        <v>103</v>
      </c>
      <c r="BQ19">
        <f>IF(ISTEXT($AB19),_xlfn.XLOOKUP($AB19,'Included studies 2023 update'!$C:$C,'Included studies 2023 update'!BI:BI),"")</f>
        <v>43</v>
      </c>
      <c r="BR19">
        <f>IF(ISTEXT($AB19),_xlfn.XLOOKUP($AB19,'Included studies 2023 update'!$C:$C,'Included studies 2023 update'!BJ:BJ),"")</f>
        <v>72</v>
      </c>
      <c r="BS19">
        <f>IF(ISTEXT($AB19),_xlfn.XLOOKUP($AB19,'Included studies 2023 update'!$C:$C,'Included studies 2023 update'!BK:BK),"")</f>
        <v>2</v>
      </c>
    </row>
    <row r="20" spans="1:71" ht="13" customHeight="1">
      <c r="A20" s="2">
        <v>22212513</v>
      </c>
      <c r="B20" s="11" t="s">
        <v>2726</v>
      </c>
      <c r="C20" s="2" t="s">
        <v>292</v>
      </c>
      <c r="D20" s="2" t="s">
        <v>2727</v>
      </c>
      <c r="E20" s="2" t="s">
        <v>2728</v>
      </c>
      <c r="F20" s="2">
        <v>2012</v>
      </c>
      <c r="G20" s="2" t="s">
        <v>10</v>
      </c>
      <c r="I20" s="2"/>
      <c r="J20" s="14" t="s">
        <v>2734</v>
      </c>
      <c r="K20" s="2">
        <f t="shared" si="0"/>
        <v>1</v>
      </c>
      <c r="L20" s="15"/>
      <c r="M20" s="2"/>
      <c r="N20" s="15"/>
      <c r="O20" s="2"/>
      <c r="Q20" s="2">
        <v>8652850</v>
      </c>
      <c r="R20">
        <f>IF(ISNUMBER(Q20), _xlfn.XLOOKUP(Q20,'Included studies 2023 update'!A:A,'Included studies 2023 update'!K:K)+_xlfn.XLOOKUP(Q20,'Included studies 2023 update'!A:A,'Included studies 2023 update'!L:L),"")</f>
        <v>26</v>
      </c>
      <c r="U20" s="164"/>
      <c r="V20" s="114" t="s">
        <v>3694</v>
      </c>
      <c r="W20" s="113" t="str">
        <f>""&amp;TEXT(SUM(AS:AS),"0")&amp;" ("&amp;TEXT(SUM(AS:AS)/(SUM(AJ:AU)-SUM(AS:AS)),"0.0%")&amp;")"</f>
        <v>1274 (32.3%)</v>
      </c>
      <c r="X20" s="113" t="str" cm="1">
        <f t="array" ref="X20">""&amp;TEXT(SUM(_xlfn._xlws.FILTER('Included studies 2023 update'!$AJ:$AJ,('Included studies 2023 update'!$E:$E="No")*('Included studies 2023 update'!$H:$H=X$2))),"0")&amp;" ("&amp;TEXT(SUM(_xlfn._xlws.FILTER('Included studies 2023 update'!$AJ:$AJ,('Included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1263 (25.0%)</v>
      </c>
      <c r="Y20" s="113" t="str" cm="1">
        <f t="array" ref="Y20">""&amp;TEXT(SUM(_xlfn._xlws.FILTER('Included studies 2023 update'!$AJ:$AJ,('Included studies 2023 update'!$E:$E="No")*('Included studies 2023 update'!$H:$H=Y$2))),"0")&amp;" ("&amp;TEXT(SUM(_xlfn._xlws.FILTER('Included studies 2023 update'!$AJ:$AJ,('Included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668 (52.2%)</v>
      </c>
      <c r="Z20" s="113" t="str" cm="1">
        <f t="array" ref="Z20">""&amp;TEXT(SUM(_xlfn._xlws.FILTER('Included studies 2023 update'!$AJ:$AJ,('Included studies 2023 update'!$E:$E="No")*('Included studies 2023 update'!$H:$H=Z$2))),"0")&amp;" ("&amp;TEXT(SUM(_xlfn._xlws.FILTER('Included studies 2023 update'!$AJ:$AJ,('Included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657 (49.3%)</v>
      </c>
      <c r="AA20"/>
      <c r="AB20" t="str">
        <v>https://pubmed.ncbi.nlm.nih.gov/8652850/</v>
      </c>
      <c r="AC20">
        <f>IF(ISTEXT(AB20),_xlfn.XLOOKUP(AB20,'Included studies 2023 update'!C:C,'Included studies 2023 update'!J:J),"")</f>
        <v>26</v>
      </c>
      <c r="AD20" t="str">
        <f>IF(ISTEXT(AB20),_xlfn.XLOOKUP(AB20,'Included studies 2023 update'!C:C,'Included studies 2023 update'!E:E),"")</f>
        <v>No</v>
      </c>
      <c r="AE20" t="str">
        <f>IF(ISTEXT(AB20),_xlfn.XLOOKUP(AB20,'Included studies 2023 update'!C:C,'Included studies 2023 update'!I:I),"")</f>
        <v>Adult</v>
      </c>
      <c r="AF20" t="str">
        <f>IF(ISTEXT(AB20),_xlfn.XLOOKUP(AB20,'Included studies 2023 update'!C:C,'Included studies 2023 update'!U:U),"")</f>
        <v>Unclear or ND</v>
      </c>
      <c r="AG20" t="str">
        <f>IF(ISTEXT(AB20),_xlfn.XLOOKUP(AB20,'Included studies 2023 update'!C:C,'Included studies 2023 update'!X:X),"")</f>
        <v>Plasma</v>
      </c>
      <c r="AH20" t="str">
        <f>IF(ISTEXT(AB20),_xlfn.XLOOKUP(AB20,'Included studies 2023 update'!C:C,'Included studies 2023 update'!Y:Y),"")</f>
        <v>Unclear or ND</v>
      </c>
      <c r="AI20" t="str">
        <f>IF(ISTEXT(AB20),_xlfn.XLOOKUP(AB20,'Included studies 2023 update'!C:C,'Included studies 2023 update'!Z:Z),"")</f>
        <v>Prospective</v>
      </c>
      <c r="AJ20">
        <f>IF(ISTEXT($AB20),_xlfn.XLOOKUP($AB20,'Included studies 2023 update'!$C:$C,'Included studies 2023 update'!AA:AA),"")</f>
        <v>3</v>
      </c>
      <c r="AK20">
        <f>IF(ISTEXT($AB20),_xlfn.XLOOKUP($AB20,'Included studies 2023 update'!$C:$C,'Included studies 2023 update'!AB:AB),"")</f>
        <v>6</v>
      </c>
      <c r="AL20">
        <f>IF(ISTEXT($AB20),_xlfn.XLOOKUP($AB20,'Included studies 2023 update'!$C:$C,'Included studies 2023 update'!AC:AC),"")</f>
        <v>7</v>
      </c>
      <c r="AM20">
        <f>IF(ISTEXT($AB20),_xlfn.XLOOKUP($AB20,'Included studies 2023 update'!$C:$C,'Included studies 2023 update'!AD:AD),"")</f>
        <v>4</v>
      </c>
      <c r="AN20">
        <f>IF(ISTEXT($AB20),_xlfn.XLOOKUP($AB20,'Included studies 2023 update'!$C:$C,'Included studies 2023 update'!AE:AE),"")</f>
        <v>0</v>
      </c>
      <c r="AO20">
        <f>IF(ISTEXT($AB20),_xlfn.XLOOKUP($AB20,'Included studies 2023 update'!$C:$C,'Included studies 2023 update'!AF:AF),"")</f>
        <v>0</v>
      </c>
      <c r="AP20">
        <f>IF(ISTEXT($AB20),_xlfn.XLOOKUP($AB20,'Included studies 2023 update'!$C:$C,'Included studies 2023 update'!AG:AG),"")</f>
        <v>0</v>
      </c>
      <c r="AQ20">
        <f>IF(ISTEXT($AB20),_xlfn.XLOOKUP($AB20,'Included studies 2023 update'!$C:$C,'Included studies 2023 update'!AH:AH),"")</f>
        <v>0</v>
      </c>
      <c r="AR20">
        <f>IF(ISTEXT($AB20),_xlfn.XLOOKUP($AB20,'Included studies 2023 update'!$C:$C,'Included studies 2023 update'!AI:AI),"")</f>
        <v>0</v>
      </c>
      <c r="AS20" s="85">
        <f>IF(ISTEXT($AB20),_xlfn.XLOOKUP($AB20,'Included studies 2023 update'!$C:$C,'Included studies 2023 update'!AJ:AJ),"")</f>
        <v>6</v>
      </c>
      <c r="AT20" s="85">
        <f>IF(ISTEXT($AB20),_xlfn.XLOOKUP($AB20,'Included studies 2023 update'!$C:$C,'Included studies 2023 update'!AK:AK),"")</f>
        <v>0</v>
      </c>
      <c r="AU20">
        <f>IF(ISTEXT($AB20),_xlfn.XLOOKUP($AB20,'Included studies 2023 update'!$C:$C,'Included studies 2023 update'!AL:AL),"")</f>
        <v>0</v>
      </c>
      <c r="AV20">
        <f>IF(ISTEXT($AB20),_xlfn.XLOOKUP($AB20,'Included studies 2023 update'!$C:$C,'Included studies 2023 update'!AM:AM),"")</f>
        <v>90</v>
      </c>
      <c r="AW20" t="str">
        <f>IF(ISTEXT($AB20),_xlfn.XLOOKUP($AB20,'Included studies 2023 update'!$C:$C,'Included studies 2023 update'!AN:AN),"")</f>
        <v>Other</v>
      </c>
      <c r="AX20">
        <f>IF(ISTEXT($AB20),_xlfn.XLOOKUP($AB20,'Included studies 2023 update'!$C:$C,'Included studies 2023 update'!AP:AP),"")</f>
        <v>0</v>
      </c>
      <c r="AY20">
        <f>IF(ISTEXT($AB20),_xlfn.XLOOKUP($AB20,'Included studies 2023 update'!$C:$C,'Included studies 2023 update'!AQ:AQ),"")</f>
        <v>0</v>
      </c>
      <c r="AZ20">
        <f>IF(ISTEXT($AB20),_xlfn.XLOOKUP($AB20,'Included studies 2023 update'!$C:$C,'Included studies 2023 update'!AR:AR),"")</f>
        <v>0</v>
      </c>
      <c r="BA20">
        <f>IF(ISTEXT($AB20),_xlfn.XLOOKUP($AB20,'Included studies 2023 update'!$C:$C,'Included studies 2023 update'!AS:AS),"")</f>
        <v>0</v>
      </c>
      <c r="BB20">
        <f>IF(ISTEXT($AB20),_xlfn.XLOOKUP($AB20,'Included studies 2023 update'!$C:$C,'Included studies 2023 update'!AT:AT),"")</f>
        <v>0</v>
      </c>
      <c r="BC20">
        <f>IF(ISTEXT($AB20),_xlfn.XLOOKUP($AB20,'Included studies 2023 update'!$C:$C,'Included studies 2023 update'!AU:AU),"")</f>
        <v>0</v>
      </c>
      <c r="BD20">
        <f>IF(ISTEXT($AB20),_xlfn.XLOOKUP($AB20,'Included studies 2023 update'!$C:$C,'Included studies 2023 update'!AV:AV),"")</f>
        <v>0</v>
      </c>
      <c r="BE20">
        <f>IF(ISTEXT($AB20),_xlfn.XLOOKUP($AB20,'Included studies 2023 update'!$C:$C,'Included studies 2023 update'!AW:AW),"")</f>
        <v>0</v>
      </c>
      <c r="BF20">
        <f>IF(ISTEXT($AB20),_xlfn.XLOOKUP($AB20,'Included studies 2023 update'!$C:$C,'Included studies 2023 update'!AX:AX),"")</f>
        <v>0</v>
      </c>
      <c r="BG20">
        <f>IF(ISTEXT($AB20),_xlfn.XLOOKUP($AB20,'Included studies 2023 update'!$C:$C,'Included studies 2023 update'!AY:AY),"")</f>
        <v>26</v>
      </c>
      <c r="BH20">
        <f>IF(ISTEXT($AB20),_xlfn.XLOOKUP($AB20,'Included studies 2023 update'!$C:$C,'Included studies 2023 update'!AZ:AZ),"")</f>
        <v>0</v>
      </c>
      <c r="BI20">
        <f>IF(ISTEXT($AB20),_xlfn.XLOOKUP($AB20,'Included studies 2023 update'!$C:$C,'Included studies 2023 update'!BA:BA),"")</f>
        <v>0</v>
      </c>
      <c r="BJ20">
        <f>IF(ISTEXT($AB20),_xlfn.XLOOKUP($AB20,'Included studies 2023 update'!$C:$C,'Included studies 2023 update'!BB:BB),"")</f>
        <v>0</v>
      </c>
      <c r="BK20">
        <f>IF(ISTEXT($AB20),_xlfn.XLOOKUP($AB20,'Included studies 2023 update'!$C:$C,'Included studies 2023 update'!BC:BC),"")</f>
        <v>0</v>
      </c>
      <c r="BL20">
        <f>IF(ISTEXT($AB20),_xlfn.XLOOKUP($AB20,'Included studies 2023 update'!$C:$C,'Included studies 2023 update'!BD:BD),"")</f>
        <v>0</v>
      </c>
      <c r="BM20">
        <f>IF(ISTEXT($AB20),_xlfn.XLOOKUP($AB20,'Included studies 2023 update'!$C:$C,'Included studies 2023 update'!BE:BE),"")</f>
        <v>0</v>
      </c>
      <c r="BN20" t="str">
        <f>IF(ISTEXT($AB20),_xlfn.XLOOKUP($AB20,'Included studies 2023 update'!$C:$C,'Included studies 2023 update'!BF:BF),"")</f>
        <v>Unclear or ND</v>
      </c>
      <c r="BO20" t="str">
        <f>IF(ISTEXT($AB20),_xlfn.XLOOKUP($AB20,'Included studies 2023 update'!$C:$C,'Included studies 2023 update'!BG:BG),"")</f>
        <v>Unclear or ND</v>
      </c>
      <c r="BP20">
        <f>IF(ISTEXT($AB20),_xlfn.XLOOKUP($AB20,'Included studies 2023 update'!$C:$C,'Included studies 2023 update'!BH:BH),"")</f>
        <v>6</v>
      </c>
      <c r="BQ20">
        <f>IF(ISTEXT($AB20),_xlfn.XLOOKUP($AB20,'Included studies 2023 update'!$C:$C,'Included studies 2023 update'!BI:BI),"")</f>
        <v>0</v>
      </c>
      <c r="BR20">
        <f>IF(ISTEXT($AB20),_xlfn.XLOOKUP($AB20,'Included studies 2023 update'!$C:$C,'Included studies 2023 update'!BJ:BJ),"")</f>
        <v>5</v>
      </c>
      <c r="BS20">
        <f>IF(ISTEXT($AB20),_xlfn.XLOOKUP($AB20,'Included studies 2023 update'!$C:$C,'Included studies 2023 update'!BK:BK),"")</f>
        <v>15</v>
      </c>
    </row>
    <row r="21" spans="1:71" ht="13" customHeight="1">
      <c r="A21" s="2">
        <v>32017805</v>
      </c>
      <c r="B21" s="11" t="s">
        <v>2731</v>
      </c>
      <c r="C21" s="2" t="s">
        <v>354</v>
      </c>
      <c r="D21" s="2" t="s">
        <v>2732</v>
      </c>
      <c r="E21" s="2" t="s">
        <v>2733</v>
      </c>
      <c r="F21" s="2">
        <v>2020</v>
      </c>
      <c r="G21" s="2" t="s">
        <v>10</v>
      </c>
      <c r="I21" s="2"/>
      <c r="N21" s="15"/>
      <c r="O21" s="2"/>
      <c r="Q21" s="2">
        <v>34390240</v>
      </c>
      <c r="R21">
        <f>IF(ISNUMBER(Q21), _xlfn.XLOOKUP(Q21,'Included studies 2023 update'!A:A,'Included studies 2023 update'!K:K)+_xlfn.XLOOKUP(Q21,'Included studies 2023 update'!A:A,'Included studies 2023 update'!L:L),"")</f>
        <v>312</v>
      </c>
      <c r="U21" s="164"/>
      <c r="V21" s="114" t="s">
        <v>3695</v>
      </c>
      <c r="W21" s="113" t="str">
        <f>""&amp;TEXT(SUM(AT:AT),"0")&amp;" ("&amp;TEXT(SUM(AT:AT)/(SUM(AJ:AU)-SUM(AT:AT)),"0.0%")&amp;")"</f>
        <v>509 (10.8%)</v>
      </c>
      <c r="X21" s="113" t="str" cm="1">
        <f t="array" ref="X21">""&amp;TEXT(SUM(_xlfn._xlws.FILTER('Included studies 2023 update'!$AK:$AK,('Included studies 2023 update'!$E:$E="No")*('Included studies 2023 update'!$H:$H=X$2))),"0")&amp;" ("&amp;TEXT(SUM(_xlfn._xlws.FILTER('Included studies 2023 update'!$AK:$AK,('Included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508 (10.0%)</v>
      </c>
      <c r="Y21" s="113" t="str" cm="1">
        <f t="array" ref="Y21">""&amp;TEXT(SUM(_xlfn._xlws.FILTER('Included studies 2023 update'!$AK:$AK,('Included studies 2023 update'!$E:$E="No")*('Included studies 2023 update'!$H:$H=Y$2))),"0")&amp;" ("&amp;TEXT(SUM(_xlfn._xlws.FILTER('Included studies 2023 update'!$AK:$AK,('Included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146 (11.4%)</v>
      </c>
      <c r="Z21" s="113" t="str" cm="1">
        <f t="array" ref="Z21">""&amp;TEXT(SUM(_xlfn._xlws.FILTER('Included studies 2023 update'!$AK:$AK,('Included studies 2023 update'!$E:$E="No")*('Included studies 2023 update'!$H:$H=Z$2))),"0")&amp;" ("&amp;TEXT(SUM(_xlfn._xlws.FILTER('Included studies 2023 update'!$AK:$AK,('Included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145 (10.9%)</v>
      </c>
      <c r="AA21"/>
      <c r="AB21" t="str">
        <v>https://pubmed.ncbi.nlm.nih.gov/34390240</v>
      </c>
      <c r="AC21">
        <f>IF(ISTEXT(AB21),_xlfn.XLOOKUP(AB21,'Included studies 2023 update'!C:C,'Included studies 2023 update'!J:J),"")</f>
        <v>312</v>
      </c>
      <c r="AD21" t="str">
        <f>IF(ISTEXT(AB21),_xlfn.XLOOKUP(AB21,'Included studies 2023 update'!C:C,'Included studies 2023 update'!E:E),"")</f>
        <v>No</v>
      </c>
      <c r="AE21" t="str">
        <f>IF(ISTEXT(AB21),_xlfn.XLOOKUP(AB21,'Included studies 2023 update'!C:C,'Included studies 2023 update'!I:I),"")</f>
        <v>Adult</v>
      </c>
      <c r="AF21" t="str">
        <f>IF(ISTEXT(AB21),_xlfn.XLOOKUP(AB21,'Included studies 2023 update'!C:C,'Included studies 2023 update'!U:U),"")</f>
        <v>ACY</v>
      </c>
      <c r="AG21" t="str">
        <f>IF(ISTEXT(AB21),_xlfn.XLOOKUP(AB21,'Included studies 2023 update'!C:C,'Included studies 2023 update'!X:X),"")</f>
        <v>Plasma</v>
      </c>
      <c r="AH21">
        <f>IF(ISTEXT(AB21),_xlfn.XLOOKUP(AB21,'Included studies 2023 update'!C:C,'Included studies 2023 update'!Y:Y),"")</f>
        <v>500</v>
      </c>
      <c r="AI21" t="str">
        <f>IF(ISTEXT(AB21),_xlfn.XLOOKUP(AB21,'Included studies 2023 update'!C:C,'Included studies 2023 update'!Z:Z),"")</f>
        <v>Prospective</v>
      </c>
      <c r="AJ21">
        <f>IF(ISTEXT($AB21),_xlfn.XLOOKUP($AB21,'Included studies 2023 update'!$C:$C,'Included studies 2023 update'!AA:AA),"")</f>
        <v>0</v>
      </c>
      <c r="AK21">
        <f>IF(ISTEXT($AB21),_xlfn.XLOOKUP($AB21,'Included studies 2023 update'!$C:$C,'Included studies 2023 update'!AB:AB),"")</f>
        <v>0</v>
      </c>
      <c r="AL21">
        <f>IF(ISTEXT($AB21),_xlfn.XLOOKUP($AB21,'Included studies 2023 update'!$C:$C,'Included studies 2023 update'!AC:AC),"")</f>
        <v>0</v>
      </c>
      <c r="AM21">
        <f>IF(ISTEXT($AB21),_xlfn.XLOOKUP($AB21,'Included studies 2023 update'!$C:$C,'Included studies 2023 update'!AD:AD),"")</f>
        <v>0</v>
      </c>
      <c r="AN21">
        <f>IF(ISTEXT($AB21),_xlfn.XLOOKUP($AB21,'Included studies 2023 update'!$C:$C,'Included studies 2023 update'!AE:AE),"")</f>
        <v>60</v>
      </c>
      <c r="AO21">
        <f>IF(ISTEXT($AB21),_xlfn.XLOOKUP($AB21,'Included studies 2023 update'!$C:$C,'Included studies 2023 update'!AF:AF),"")</f>
        <v>75</v>
      </c>
      <c r="AP21">
        <f>IF(ISTEXT($AB21),_xlfn.XLOOKUP($AB21,'Included studies 2023 update'!$C:$C,'Included studies 2023 update'!AG:AG),"")</f>
        <v>0</v>
      </c>
      <c r="AQ21">
        <f>IF(ISTEXT($AB21),_xlfn.XLOOKUP($AB21,'Included studies 2023 update'!$C:$C,'Included studies 2023 update'!AH:AH),"")</f>
        <v>174</v>
      </c>
      <c r="AR21">
        <f>IF(ISTEXT($AB21),_xlfn.XLOOKUP($AB21,'Included studies 2023 update'!$C:$C,'Included studies 2023 update'!AI:AI),"")</f>
        <v>0</v>
      </c>
      <c r="AS21" s="85">
        <f>IF(ISTEXT($AB21),_xlfn.XLOOKUP($AB21,'Included studies 2023 update'!$C:$C,'Included studies 2023 update'!AJ:AJ),"")</f>
        <v>3</v>
      </c>
      <c r="AT21" s="85">
        <f>IF(ISTEXT($AB21),_xlfn.XLOOKUP($AB21,'Included studies 2023 update'!$C:$C,'Included studies 2023 update'!AK:AK),"")</f>
        <v>0</v>
      </c>
      <c r="AU21">
        <f>IF(ISTEXT($AB21),_xlfn.XLOOKUP($AB21,'Included studies 2023 update'!$C:$C,'Included studies 2023 update'!AL:AL),"")</f>
        <v>0</v>
      </c>
      <c r="AV21">
        <f>IF(ISTEXT($AB21),_xlfn.XLOOKUP($AB21,'Included studies 2023 update'!$C:$C,'Included studies 2023 update'!AM:AM),"")</f>
        <v>100</v>
      </c>
      <c r="AW21" t="str">
        <f>IF(ISTEXT($AB21),_xlfn.XLOOKUP($AB21,'Included studies 2023 update'!$C:$C,'Included studies 2023 update'!AN:AN),"")</f>
        <v>Other</v>
      </c>
      <c r="AX21" t="str">
        <f>IF(ISTEXT($AB21),_xlfn.XLOOKUP($AB21,'Included studies 2023 update'!$C:$C,'Included studies 2023 update'!AP:AP),"")</f>
        <v>Unclear or ND</v>
      </c>
      <c r="AY21" t="str">
        <f>IF(ISTEXT($AB21),_xlfn.XLOOKUP($AB21,'Included studies 2023 update'!$C:$C,'Included studies 2023 update'!AQ:AQ),"")</f>
        <v>Unclear or ND</v>
      </c>
      <c r="AZ21" t="str">
        <f>IF(ISTEXT($AB21),_xlfn.XLOOKUP($AB21,'Included studies 2023 update'!$C:$C,'Included studies 2023 update'!AR:AR),"")</f>
        <v>Unclear or ND</v>
      </c>
      <c r="BA21" t="str">
        <f>IF(ISTEXT($AB21),_xlfn.XLOOKUP($AB21,'Included studies 2023 update'!$C:$C,'Included studies 2023 update'!AS:AS),"")</f>
        <v>Unclear or ND</v>
      </c>
      <c r="BB21" t="str">
        <f>IF(ISTEXT($AB21),_xlfn.XLOOKUP($AB21,'Included studies 2023 update'!$C:$C,'Included studies 2023 update'!AT:AT),"")</f>
        <v>Unclear or ND</v>
      </c>
      <c r="BC21" t="str">
        <f>IF(ISTEXT($AB21),_xlfn.XLOOKUP($AB21,'Included studies 2023 update'!$C:$C,'Included studies 2023 update'!AU:AU),"")</f>
        <v>Unclear or ND</v>
      </c>
      <c r="BD21" t="str">
        <f>IF(ISTEXT($AB21),_xlfn.XLOOKUP($AB21,'Included studies 2023 update'!$C:$C,'Included studies 2023 update'!AV:AV),"")</f>
        <v>Unclear or ND</v>
      </c>
      <c r="BE21" t="str">
        <f>IF(ISTEXT($AB21),_xlfn.XLOOKUP($AB21,'Included studies 2023 update'!$C:$C,'Included studies 2023 update'!AW:AW),"")</f>
        <v>Unclear or ND</v>
      </c>
      <c r="BF21" t="str">
        <f>IF(ISTEXT($AB21),_xlfn.XLOOKUP($AB21,'Included studies 2023 update'!$C:$C,'Included studies 2023 update'!AX:AX),"")</f>
        <v>Unclear or ND</v>
      </c>
      <c r="BG21" t="str">
        <f>IF(ISTEXT($AB21),_xlfn.XLOOKUP($AB21,'Included studies 2023 update'!$C:$C,'Included studies 2023 update'!AY:AY),"")</f>
        <v>Unclear or ND</v>
      </c>
      <c r="BH21" t="str">
        <f>IF(ISTEXT($AB21),_xlfn.XLOOKUP($AB21,'Included studies 2023 update'!$C:$C,'Included studies 2023 update'!AZ:AZ),"")</f>
        <v>Unclear or ND</v>
      </c>
      <c r="BI21" t="str">
        <f>IF(ISTEXT($AB21),_xlfn.XLOOKUP($AB21,'Included studies 2023 update'!$C:$C,'Included studies 2023 update'!BA:BA),"")</f>
        <v>Unclear or ND</v>
      </c>
      <c r="BJ21" t="str">
        <f>IF(ISTEXT($AB21),_xlfn.XLOOKUP($AB21,'Included studies 2023 update'!$C:$C,'Included studies 2023 update'!BB:BB),"")</f>
        <v>Unclear or ND</v>
      </c>
      <c r="BK21" t="str">
        <f>IF(ISTEXT($AB21),_xlfn.XLOOKUP($AB21,'Included studies 2023 update'!$C:$C,'Included studies 2023 update'!BC:BC),"")</f>
        <v>Unclear or ND</v>
      </c>
      <c r="BL21" t="str">
        <f>IF(ISTEXT($AB21),_xlfn.XLOOKUP($AB21,'Included studies 2023 update'!$C:$C,'Included studies 2023 update'!BD:BD),"")</f>
        <v>Unclear or ND</v>
      </c>
      <c r="BM21" t="str">
        <f>IF(ISTEXT($AB21),_xlfn.XLOOKUP($AB21,'Included studies 2023 update'!$C:$C,'Included studies 2023 update'!BE:BE),"")</f>
        <v>Unclear or ND</v>
      </c>
      <c r="BN21" t="str">
        <f>IF(ISTEXT($AB21),_xlfn.XLOOKUP($AB21,'Included studies 2023 update'!$C:$C,'Included studies 2023 update'!BF:BF),"")</f>
        <v>Unclear or ND</v>
      </c>
      <c r="BO21" t="str">
        <f>IF(ISTEXT($AB21),_xlfn.XLOOKUP($AB21,'Included studies 2023 update'!$C:$C,'Included studies 2023 update'!BG:BG),"")</f>
        <v>Unclear or ND</v>
      </c>
      <c r="BP21">
        <f>IF(ISTEXT($AB21),_xlfn.XLOOKUP($AB21,'Included studies 2023 update'!$C:$C,'Included studies 2023 update'!BH:BH),"")</f>
        <v>0</v>
      </c>
      <c r="BQ21">
        <f>IF(ISTEXT($AB21),_xlfn.XLOOKUP($AB21,'Included studies 2023 update'!$C:$C,'Included studies 2023 update'!BI:BI),"")</f>
        <v>0</v>
      </c>
      <c r="BR21">
        <f>IF(ISTEXT($AB21),_xlfn.XLOOKUP($AB21,'Included studies 2023 update'!$C:$C,'Included studies 2023 update'!BJ:BJ),"")</f>
        <v>0</v>
      </c>
      <c r="BS21">
        <f>IF(ISTEXT($AB21),_xlfn.XLOOKUP($AB21,'Included studies 2023 update'!$C:$C,'Included studies 2023 update'!BK:BK),"")</f>
        <v>312</v>
      </c>
    </row>
    <row r="22" spans="1:71" ht="13" customHeight="1">
      <c r="A22" s="2">
        <v>20872080</v>
      </c>
      <c r="B22" s="11" t="s">
        <v>2735</v>
      </c>
      <c r="C22" s="2" t="s">
        <v>203</v>
      </c>
      <c r="D22" s="2" t="s">
        <v>2736</v>
      </c>
      <c r="E22" s="2" t="s">
        <v>2737</v>
      </c>
      <c r="F22" s="2">
        <v>2010</v>
      </c>
      <c r="G22" s="2" t="s">
        <v>10</v>
      </c>
      <c r="I22" s="2"/>
      <c r="Q22" s="2">
        <v>29797616</v>
      </c>
      <c r="R22">
        <f>IF(ISNUMBER(Q22), _xlfn.XLOOKUP(Q22,'Included studies 2023 update'!A:A,'Included studies 2023 update'!K:K)+_xlfn.XLOOKUP(Q22,'Included studies 2023 update'!A:A,'Included studies 2023 update'!L:L),"")</f>
        <v>89</v>
      </c>
      <c r="U22" s="164"/>
      <c r="V22" s="114" t="s">
        <v>3696</v>
      </c>
      <c r="W22" s="113" t="str">
        <f>""&amp;TEXT(SUM(AU:AU),"0")&amp;" ("&amp;TEXT(SUM(AU:AU)/(SUM(AJ:AU)-SUM(AU:AU)),"0.0%")&amp;")"</f>
        <v>583 (12.6%)</v>
      </c>
      <c r="X22" s="113" t="str" cm="1">
        <f t="array" ref="X22">""&amp;TEXT(SUM(_xlfn._xlws.FILTER('Included studies 2023 update'!$AL:$AL,('Included studies 2023 update'!$E:$E="No")*('Included studies 2023 update'!$H:$H=X$2))),"0")&amp;" ("&amp;TEXT(SUM(_xlfn._xlws.FILTER('Included studies 2023 update'!$AL:$AL,('Included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583 (11.5%)</v>
      </c>
      <c r="Y22" s="113" t="str" cm="1">
        <f t="array" ref="Y22">""&amp;TEXT(SUM(_xlfn._xlws.FILTER('Included studies 2023 update'!$AL:$AL,('Included studies 2023 update'!$E:$E="No")*('Included studies 2023 update'!$H:$H=Y$2))),"0")&amp;" ("&amp;TEXT(SUM(_xlfn._xlws.FILTER('Included studies 2023 update'!$AL:$AL,('Included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72 (5.6%)</v>
      </c>
      <c r="Z22" s="113" t="str" cm="1">
        <f t="array" ref="Z22">""&amp;TEXT(SUM(_xlfn._xlws.FILTER('Included studies 2023 update'!$AL:$AL,('Included studies 2023 update'!$E:$E="No")*('Included studies 2023 update'!$H:$H=Z$2))),"0")&amp;" ("&amp;TEXT(SUM(_xlfn._xlws.FILTER('Included studies 2023 update'!$AL:$AL,('Included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72 (5.4%)</v>
      </c>
      <c r="AA22"/>
      <c r="AB22" t="str">
        <v>https://pubmed.ncbi.nlm.nih.gov/29797616/</v>
      </c>
      <c r="AC22">
        <f>IF(ISTEXT(AB22),_xlfn.XLOOKUP(AB22,'Included studies 2023 update'!C:C,'Included studies 2023 update'!J:J),"")</f>
        <v>89</v>
      </c>
      <c r="AD22" t="str">
        <f>IF(ISTEXT(AB22),_xlfn.XLOOKUP(AB22,'Included studies 2023 update'!C:C,'Included studies 2023 update'!E:E),"")</f>
        <v>No</v>
      </c>
      <c r="AE22" t="str">
        <f>IF(ISTEXT(AB22),_xlfn.XLOOKUP(AB22,'Included studies 2023 update'!C:C,'Included studies 2023 update'!I:I),"")</f>
        <v>Both</v>
      </c>
      <c r="AF22" t="str">
        <f>IF(ISTEXT(AB22),_xlfn.XLOOKUP(AB22,'Included studies 2023 update'!C:C,'Included studies 2023 update'!U:U),"")</f>
        <v>Unclear or ND</v>
      </c>
      <c r="AG22" t="str">
        <f>IF(ISTEXT(AB22),_xlfn.XLOOKUP(AB22,'Included studies 2023 update'!C:C,'Included studies 2023 update'!X:X),"")</f>
        <v>Plasma</v>
      </c>
      <c r="AH22">
        <f>IF(ISTEXT(AB22),_xlfn.XLOOKUP(AB22,'Included studies 2023 update'!C:C,'Included studies 2023 update'!Y:Y),"")</f>
        <v>1000</v>
      </c>
      <c r="AI22" t="str">
        <f>IF(ISTEXT(AB22),_xlfn.XLOOKUP(AB22,'Included studies 2023 update'!C:C,'Included studies 2023 update'!Z:Z),"")</f>
        <v>Retrospective</v>
      </c>
      <c r="AJ22">
        <f>IF(ISTEXT($AB22),_xlfn.XLOOKUP($AB22,'Included studies 2023 update'!$C:$C,'Included studies 2023 update'!AA:AA),"")</f>
        <v>0</v>
      </c>
      <c r="AK22">
        <f>IF(ISTEXT($AB22),_xlfn.XLOOKUP($AB22,'Included studies 2023 update'!$C:$C,'Included studies 2023 update'!AB:AB),"")</f>
        <v>0</v>
      </c>
      <c r="AL22">
        <f>IF(ISTEXT($AB22),_xlfn.XLOOKUP($AB22,'Included studies 2023 update'!$C:$C,'Included studies 2023 update'!AC:AC),"")</f>
        <v>0</v>
      </c>
      <c r="AM22">
        <f>IF(ISTEXT($AB22),_xlfn.XLOOKUP($AB22,'Included studies 2023 update'!$C:$C,'Included studies 2023 update'!AD:AD),"")</f>
        <v>0</v>
      </c>
      <c r="AN22">
        <f>IF(ISTEXT($AB22),_xlfn.XLOOKUP($AB22,'Included studies 2023 update'!$C:$C,'Included studies 2023 update'!AE:AE),"")</f>
        <v>0</v>
      </c>
      <c r="AO22">
        <f>IF(ISTEXT($AB22),_xlfn.XLOOKUP($AB22,'Included studies 2023 update'!$C:$C,'Included studies 2023 update'!AF:AF),"")</f>
        <v>0</v>
      </c>
      <c r="AP22">
        <f>IF(ISTEXT($AB22),_xlfn.XLOOKUP($AB22,'Included studies 2023 update'!$C:$C,'Included studies 2023 update'!AG:AG),"")</f>
        <v>0</v>
      </c>
      <c r="AQ22">
        <f>IF(ISTEXT($AB22),_xlfn.XLOOKUP($AB22,'Included studies 2023 update'!$C:$C,'Included studies 2023 update'!AH:AH),"")</f>
        <v>0</v>
      </c>
      <c r="AR22">
        <f>IF(ISTEXT($AB22),_xlfn.XLOOKUP($AB22,'Included studies 2023 update'!$C:$C,'Included studies 2023 update'!AI:AI),"")</f>
        <v>0</v>
      </c>
      <c r="AS22" s="85">
        <f>IF(ISTEXT($AB22),_xlfn.XLOOKUP($AB22,'Included studies 2023 update'!$C:$C,'Included studies 2023 update'!AJ:AJ),"")</f>
        <v>51</v>
      </c>
      <c r="AT22" s="85">
        <f>IF(ISTEXT($AB22),_xlfn.XLOOKUP($AB22,'Included studies 2023 update'!$C:$C,'Included studies 2023 update'!AK:AK),"")</f>
        <v>0</v>
      </c>
      <c r="AU22">
        <f>IF(ISTEXT($AB22),_xlfn.XLOOKUP($AB22,'Included studies 2023 update'!$C:$C,'Included studies 2023 update'!AL:AL),"")</f>
        <v>38</v>
      </c>
      <c r="AV22">
        <f>IF(ISTEXT($AB22),_xlfn.XLOOKUP($AB22,'Included studies 2023 update'!$C:$C,'Included studies 2023 update'!AM:AM),"")</f>
        <v>60</v>
      </c>
      <c r="AW22" t="str">
        <f>IF(ISTEXT($AB22),_xlfn.XLOOKUP($AB22,'Included studies 2023 update'!$C:$C,'Included studies 2023 update'!AN:AN),"")</f>
        <v>1x per week</v>
      </c>
      <c r="AX22">
        <f>IF(ISTEXT($AB22),_xlfn.XLOOKUP($AB22,'Included studies 2023 update'!$C:$C,'Included studies 2023 update'!AP:AP),"")</f>
        <v>22</v>
      </c>
      <c r="AY22">
        <f>IF(ISTEXT($AB22),_xlfn.XLOOKUP($AB22,'Included studies 2023 update'!$C:$C,'Included studies 2023 update'!AQ:AQ),"")</f>
        <v>67</v>
      </c>
      <c r="AZ22">
        <f>IF(ISTEXT($AB22),_xlfn.XLOOKUP($AB22,'Included studies 2023 update'!$C:$C,'Included studies 2023 update'!AR:AR),"")</f>
        <v>0</v>
      </c>
      <c r="BA22">
        <f>IF(ISTEXT($AB22),_xlfn.XLOOKUP($AB22,'Included studies 2023 update'!$C:$C,'Included studies 2023 update'!AS:AS),"")</f>
        <v>0</v>
      </c>
      <c r="BB22">
        <f>IF(ISTEXT($AB22),_xlfn.XLOOKUP($AB22,'Included studies 2023 update'!$C:$C,'Included studies 2023 update'!AT:AT),"")</f>
        <v>0</v>
      </c>
      <c r="BC22">
        <f>IF(ISTEXT($AB22),_xlfn.XLOOKUP($AB22,'Included studies 2023 update'!$C:$C,'Included studies 2023 update'!AU:AU),"")</f>
        <v>0</v>
      </c>
      <c r="BD22">
        <f>IF(ISTEXT($AB22),_xlfn.XLOOKUP($AB22,'Included studies 2023 update'!$C:$C,'Included studies 2023 update'!AV:AV),"")</f>
        <v>0</v>
      </c>
      <c r="BE22">
        <f>IF(ISTEXT($AB22),_xlfn.XLOOKUP($AB22,'Included studies 2023 update'!$C:$C,'Included studies 2023 update'!AW:AW),"")</f>
        <v>0</v>
      </c>
      <c r="BF22">
        <f>IF(ISTEXT($AB22),_xlfn.XLOOKUP($AB22,'Included studies 2023 update'!$C:$C,'Included studies 2023 update'!AX:AX),"")</f>
        <v>0</v>
      </c>
      <c r="BG22">
        <f>IF(ISTEXT($AB22),_xlfn.XLOOKUP($AB22,'Included studies 2023 update'!$C:$C,'Included studies 2023 update'!AY:AY),"")</f>
        <v>0</v>
      </c>
      <c r="BH22">
        <f>IF(ISTEXT($AB22),_xlfn.XLOOKUP($AB22,'Included studies 2023 update'!$C:$C,'Included studies 2023 update'!AZ:AZ),"")</f>
        <v>0</v>
      </c>
      <c r="BI22">
        <f>IF(ISTEXT($AB22),_xlfn.XLOOKUP($AB22,'Included studies 2023 update'!$C:$C,'Included studies 2023 update'!BA:BA),"")</f>
        <v>0</v>
      </c>
      <c r="BJ22">
        <f>IF(ISTEXT($AB22),_xlfn.XLOOKUP($AB22,'Included studies 2023 update'!$C:$C,'Included studies 2023 update'!BB:BB),"")</f>
        <v>0</v>
      </c>
      <c r="BK22">
        <f>IF(ISTEXT($AB22),_xlfn.XLOOKUP($AB22,'Included studies 2023 update'!$C:$C,'Included studies 2023 update'!BC:BC),"")</f>
        <v>0</v>
      </c>
      <c r="BL22">
        <f>IF(ISTEXT($AB22),_xlfn.XLOOKUP($AB22,'Included studies 2023 update'!$C:$C,'Included studies 2023 update'!BD:BD),"")</f>
        <v>0</v>
      </c>
      <c r="BM22">
        <f>IF(ISTEXT($AB22),_xlfn.XLOOKUP($AB22,'Included studies 2023 update'!$C:$C,'Included studies 2023 update'!BE:BE),"")</f>
        <v>0</v>
      </c>
      <c r="BN22">
        <f>IF(ISTEXT($AB22),_xlfn.XLOOKUP($AB22,'Included studies 2023 update'!$C:$C,'Included studies 2023 update'!BF:BF),"")</f>
        <v>14</v>
      </c>
      <c r="BO22">
        <f>IF(ISTEXT($AB22),_xlfn.XLOOKUP($AB22,'Included studies 2023 update'!$C:$C,'Included studies 2023 update'!BG:BG),"")</f>
        <v>75</v>
      </c>
      <c r="BP22">
        <f>IF(ISTEXT($AB22),_xlfn.XLOOKUP($AB22,'Included studies 2023 update'!$C:$C,'Included studies 2023 update'!BH:BH),"")</f>
        <v>0</v>
      </c>
      <c r="BQ22">
        <f>IF(ISTEXT($AB22),_xlfn.XLOOKUP($AB22,'Included studies 2023 update'!$C:$C,'Included studies 2023 update'!BI:BI),"")</f>
        <v>7</v>
      </c>
      <c r="BR22">
        <f>IF(ISTEXT($AB22),_xlfn.XLOOKUP($AB22,'Included studies 2023 update'!$C:$C,'Included studies 2023 update'!BJ:BJ),"")</f>
        <v>0</v>
      </c>
      <c r="BS22">
        <f>IF(ISTEXT($AB22),_xlfn.XLOOKUP($AB22,'Included studies 2023 update'!$C:$C,'Included studies 2023 update'!BK:BK),"")</f>
        <v>82</v>
      </c>
    </row>
    <row r="23" spans="1:71" ht="13" customHeight="1">
      <c r="A23" s="2">
        <v>18512026</v>
      </c>
      <c r="B23" s="11" t="s">
        <v>2738</v>
      </c>
      <c r="C23" s="2" t="s">
        <v>153</v>
      </c>
      <c r="D23" s="2" t="s">
        <v>2739</v>
      </c>
      <c r="E23" s="2" t="s">
        <v>2740</v>
      </c>
      <c r="F23" s="2">
        <v>2008</v>
      </c>
      <c r="G23" s="2" t="s">
        <v>10</v>
      </c>
      <c r="I23" s="2"/>
      <c r="Q23" s="2">
        <v>37067947</v>
      </c>
      <c r="R23">
        <f>IF(ISNUMBER(Q23), _xlfn.XLOOKUP(Q23,'Included studies 2023 update'!A:A,'Included studies 2023 update'!K:K)+_xlfn.XLOOKUP(Q23,'Included studies 2023 update'!A:A,'Included studies 2023 update'!L:L),"")</f>
        <v>208</v>
      </c>
      <c r="U23" s="161" t="s">
        <v>3640</v>
      </c>
      <c r="V23" s="102" t="s">
        <v>3726</v>
      </c>
      <c r="W23" s="111" t="str">
        <f>""&amp;TEXT(SUM(AX:AX),"0")&amp;" ("&amp;TEXT(SUM(AX:AX)/(SUM(AX:BM)-SUM(AX:AX)),"0.0%")&amp;")"</f>
        <v>219 (14.1%)</v>
      </c>
      <c r="X23" s="111" t="str" cm="1">
        <f t="array" ref="X23">""&amp;TEXT(SUM(_xlfn._xlws.FILTER('Included studies 2023 update'!$AP:$AP,('Included studies 2023 update'!$E:$E="No")*('Included studies 2023 update'!$H:$H=X$2))),"0")&amp;" ("&amp;TEXT(SUM(_xlfn._xlws.FILTER('Included studies 2023 update'!$AP:$AP,('Included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219 (13.4%)</v>
      </c>
      <c r="Y23" s="111" t="str" cm="1">
        <f t="array" ref="Y23">""&amp;TEXT(SUM(_xlfn._xlws.FILTER('Included studies 2023 update'!$AP:$AP,('Included studies 2023 update'!$E:$E="No")*('Included studies 2023 update'!$H:$H=Y$2))),"0")&amp;" ("&amp;TEXT(SUM(_xlfn._xlws.FILTER('Included studies 2023 update'!$AP:$AP,('Included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58 (27.6%)</v>
      </c>
      <c r="Z23" s="111" t="str" cm="1">
        <f t="array" ref="Z23">""&amp;TEXT(SUM(_xlfn._xlws.FILTER('Included studies 2023 update'!$AP:$AP,('Included studies 2023 update'!$E:$E="No")*('Included studies 2023 update'!$H:$H=Z$2))),"0")&amp;" ("&amp;TEXT(SUM(_xlfn._xlws.FILTER('Included studies 2023 update'!$AP:$AP,('Included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58 (19.5%)</v>
      </c>
      <c r="AA23" s="82"/>
      <c r="AB23" t="str">
        <v>https://pubmed.ncbi.nlm.nih.gov/37067947</v>
      </c>
      <c r="AC23">
        <f>IF(ISTEXT(AB23),_xlfn.XLOOKUP(AB23,'Included studies 2023 update'!C:C,'Included studies 2023 update'!J:J),"")</f>
        <v>208</v>
      </c>
      <c r="AD23" t="str">
        <f>IF(ISTEXT(AB23),_xlfn.XLOOKUP(AB23,'Included studies 2023 update'!C:C,'Included studies 2023 update'!E:E),"")</f>
        <v>No</v>
      </c>
      <c r="AE23" t="str">
        <f>IF(ISTEXT(AB23),_xlfn.XLOOKUP(AB23,'Included studies 2023 update'!C:C,'Included studies 2023 update'!I:I),"")</f>
        <v>Adult</v>
      </c>
      <c r="AF23" t="str">
        <f>IF(ISTEXT(AB23),_xlfn.XLOOKUP(AB23,'Included studies 2023 update'!C:C,'Included studies 2023 update'!U:U),"")</f>
        <v>ACY</v>
      </c>
      <c r="AG23" t="str">
        <f>IF(ISTEXT(AB23),_xlfn.XLOOKUP(AB23,'Included studies 2023 update'!C:C,'Included studies 2023 update'!X:X),"")</f>
        <v>Plasma</v>
      </c>
      <c r="AH23">
        <f>IF(ISTEXT(AB23),_xlfn.XLOOKUP(AB23,'Included studies 2023 update'!C:C,'Included studies 2023 update'!Y:Y),"")</f>
        <v>100</v>
      </c>
      <c r="AI23" t="str">
        <f>IF(ISTEXT(AB23),_xlfn.XLOOKUP(AB23,'Included studies 2023 update'!C:C,'Included studies 2023 update'!Z:Z),"")</f>
        <v>Prospective</v>
      </c>
      <c r="AJ23">
        <f>IF(ISTEXT($AB23),_xlfn.XLOOKUP($AB23,'Included studies 2023 update'!$C:$C,'Included studies 2023 update'!AA:AA),"")</f>
        <v>0</v>
      </c>
      <c r="AK23">
        <f>IF(ISTEXT($AB23),_xlfn.XLOOKUP($AB23,'Included studies 2023 update'!$C:$C,'Included studies 2023 update'!AB:AB),"")</f>
        <v>122</v>
      </c>
      <c r="AL23">
        <f>IF(ISTEXT($AB23),_xlfn.XLOOKUP($AB23,'Included studies 2023 update'!$C:$C,'Included studies 2023 update'!AC:AC),"")</f>
        <v>0</v>
      </c>
      <c r="AM23">
        <f>IF(ISTEXT($AB23),_xlfn.XLOOKUP($AB23,'Included studies 2023 update'!$C:$C,'Included studies 2023 update'!AD:AD),"")</f>
        <v>0</v>
      </c>
      <c r="AN23">
        <f>IF(ISTEXT($AB23),_xlfn.XLOOKUP($AB23,'Included studies 2023 update'!$C:$C,'Included studies 2023 update'!AE:AE),"")</f>
        <v>32</v>
      </c>
      <c r="AO23">
        <f>IF(ISTEXT($AB23),_xlfn.XLOOKUP($AB23,'Included studies 2023 update'!$C:$C,'Included studies 2023 update'!AF:AF),"")</f>
        <v>54</v>
      </c>
      <c r="AP23">
        <f>IF(ISTEXT($AB23),_xlfn.XLOOKUP($AB23,'Included studies 2023 update'!$C:$C,'Included studies 2023 update'!AG:AG),"")</f>
        <v>0</v>
      </c>
      <c r="AQ23">
        <f>IF(ISTEXT($AB23),_xlfn.XLOOKUP($AB23,'Included studies 2023 update'!$C:$C,'Included studies 2023 update'!AH:AH),"")</f>
        <v>0</v>
      </c>
      <c r="AR23">
        <f>IF(ISTEXT($AB23),_xlfn.XLOOKUP($AB23,'Included studies 2023 update'!$C:$C,'Included studies 2023 update'!AI:AI),"")</f>
        <v>0</v>
      </c>
      <c r="AS23" s="85">
        <f>IF(ISTEXT($AB23),_xlfn.XLOOKUP($AB23,'Included studies 2023 update'!$C:$C,'Included studies 2023 update'!AJ:AJ),"")</f>
        <v>0</v>
      </c>
      <c r="AT23" s="85">
        <f>IF(ISTEXT($AB23),_xlfn.XLOOKUP($AB23,'Included studies 2023 update'!$C:$C,'Included studies 2023 update'!AK:AK),"")</f>
        <v>0</v>
      </c>
      <c r="AU23">
        <f>IF(ISTEXT($AB23),_xlfn.XLOOKUP($AB23,'Included studies 2023 update'!$C:$C,'Included studies 2023 update'!AL:AL),"")</f>
        <v>0</v>
      </c>
      <c r="AV23">
        <f>IF(ISTEXT($AB23),_xlfn.XLOOKUP($AB23,'Included studies 2023 update'!$C:$C,'Included studies 2023 update'!AM:AM),"")</f>
        <v>100</v>
      </c>
      <c r="AW23" t="str">
        <f>IF(ISTEXT($AB23),_xlfn.XLOOKUP($AB23,'Included studies 2023 update'!$C:$C,'Included studies 2023 update'!AN:AN),"")</f>
        <v>1x per week</v>
      </c>
      <c r="AX23">
        <f>IF(ISTEXT($AB23),_xlfn.XLOOKUP($AB23,'Included studies 2023 update'!$C:$C,'Included studies 2023 update'!AP:AP),"")</f>
        <v>47</v>
      </c>
      <c r="AY23">
        <f>IF(ISTEXT($AB23),_xlfn.XLOOKUP($AB23,'Included studies 2023 update'!$C:$C,'Included studies 2023 update'!AQ:AQ),"")</f>
        <v>0</v>
      </c>
      <c r="AZ23">
        <f>IF(ISTEXT($AB23),_xlfn.XLOOKUP($AB23,'Included studies 2023 update'!$C:$C,'Included studies 2023 update'!AR:AR),"")</f>
        <v>0</v>
      </c>
      <c r="BA23">
        <f>IF(ISTEXT($AB23),_xlfn.XLOOKUP($AB23,'Included studies 2023 update'!$C:$C,'Included studies 2023 update'!AS:AS),"")</f>
        <v>0</v>
      </c>
      <c r="BB23">
        <f>IF(ISTEXT($AB23),_xlfn.XLOOKUP($AB23,'Included studies 2023 update'!$C:$C,'Included studies 2023 update'!AT:AT),"")</f>
        <v>161</v>
      </c>
      <c r="BC23">
        <f>IF(ISTEXT($AB23),_xlfn.XLOOKUP($AB23,'Included studies 2023 update'!$C:$C,'Included studies 2023 update'!AU:AU),"")</f>
        <v>101</v>
      </c>
      <c r="BD23">
        <f>IF(ISTEXT($AB23),_xlfn.XLOOKUP($AB23,'Included studies 2023 update'!$C:$C,'Included studies 2023 update'!AV:AV),"")</f>
        <v>84</v>
      </c>
      <c r="BE23">
        <f>IF(ISTEXT($AB23),_xlfn.XLOOKUP($AB23,'Included studies 2023 update'!$C:$C,'Included studies 2023 update'!AW:AW),"")</f>
        <v>0</v>
      </c>
      <c r="BF23">
        <f>IF(ISTEXT($AB23),_xlfn.XLOOKUP($AB23,'Included studies 2023 update'!$C:$C,'Included studies 2023 update'!AX:AX),"")</f>
        <v>0</v>
      </c>
      <c r="BG23">
        <f>IF(ISTEXT($AB23),_xlfn.XLOOKUP($AB23,'Included studies 2023 update'!$C:$C,'Included studies 2023 update'!AY:AY),"")</f>
        <v>0</v>
      </c>
      <c r="BH23">
        <f>IF(ISTEXT($AB23),_xlfn.XLOOKUP($AB23,'Included studies 2023 update'!$C:$C,'Included studies 2023 update'!AZ:AZ),"")</f>
        <v>0</v>
      </c>
      <c r="BI23">
        <f>IF(ISTEXT($AB23),_xlfn.XLOOKUP($AB23,'Included studies 2023 update'!$C:$C,'Included studies 2023 update'!BA:BA),"")</f>
        <v>0</v>
      </c>
      <c r="BJ23">
        <f>IF(ISTEXT($AB23),_xlfn.XLOOKUP($AB23,'Included studies 2023 update'!$C:$C,'Included studies 2023 update'!BB:BB),"")</f>
        <v>0</v>
      </c>
      <c r="BK23">
        <f>IF(ISTEXT($AB23),_xlfn.XLOOKUP($AB23,'Included studies 2023 update'!$C:$C,'Included studies 2023 update'!BC:BC),"")</f>
        <v>0</v>
      </c>
      <c r="BL23">
        <f>IF(ISTEXT($AB23),_xlfn.XLOOKUP($AB23,'Included studies 2023 update'!$C:$C,'Included studies 2023 update'!BD:BD),"")</f>
        <v>0</v>
      </c>
      <c r="BM23">
        <f>IF(ISTEXT($AB23),_xlfn.XLOOKUP($AB23,'Included studies 2023 update'!$C:$C,'Included studies 2023 update'!BE:BE),"")</f>
        <v>0</v>
      </c>
      <c r="BN23">
        <f>IF(ISTEXT($AB23),_xlfn.XLOOKUP($AB23,'Included studies 2023 update'!$C:$C,'Included studies 2023 update'!BF:BF),"")</f>
        <v>39</v>
      </c>
      <c r="BO23">
        <f>IF(ISTEXT($AB23),_xlfn.XLOOKUP($AB23,'Included studies 2023 update'!$C:$C,'Included studies 2023 update'!BG:BG),"")</f>
        <v>169</v>
      </c>
      <c r="BP23">
        <f>IF(ISTEXT($AB23),_xlfn.XLOOKUP($AB23,'Included studies 2023 update'!$C:$C,'Included studies 2023 update'!BH:BH),"")</f>
        <v>20</v>
      </c>
      <c r="BQ23">
        <f>IF(ISTEXT($AB23),_xlfn.XLOOKUP($AB23,'Included studies 2023 update'!$C:$C,'Included studies 2023 update'!BI:BI),"")</f>
        <v>7</v>
      </c>
      <c r="BR23">
        <f>IF(ISTEXT($AB23),_xlfn.XLOOKUP($AB23,'Included studies 2023 update'!$C:$C,'Included studies 2023 update'!BJ:BJ),"")</f>
        <v>181</v>
      </c>
      <c r="BS23">
        <f>IF(ISTEXT($AB23),_xlfn.XLOOKUP($AB23,'Included studies 2023 update'!$C:$C,'Included studies 2023 update'!BK:BK),"")</f>
        <v>0</v>
      </c>
    </row>
    <row r="24" spans="1:71" ht="13" customHeight="1">
      <c r="A24" s="2">
        <v>32450288</v>
      </c>
      <c r="B24" s="11" t="s">
        <v>2741</v>
      </c>
      <c r="C24" s="2" t="s">
        <v>566</v>
      </c>
      <c r="D24" s="2" t="s">
        <v>2742</v>
      </c>
      <c r="E24" s="2" t="s">
        <v>2743</v>
      </c>
      <c r="F24" s="2">
        <v>2020</v>
      </c>
      <c r="G24" s="2" t="s">
        <v>10</v>
      </c>
      <c r="I24" s="2"/>
      <c r="Q24" s="2">
        <v>23929317</v>
      </c>
      <c r="R24">
        <f>IF(ISNUMBER(Q24), _xlfn.XLOOKUP(Q24,'Included studies 2023 update'!A:A,'Included studies 2023 update'!K:K)+_xlfn.XLOOKUP(Q24,'Included studies 2023 update'!A:A,'Included studies 2023 update'!L:L),"")</f>
        <v>80</v>
      </c>
      <c r="U24" s="162"/>
      <c r="V24" s="128" t="s">
        <v>3727</v>
      </c>
      <c r="W24" s="133" t="str">
        <f>""&amp;TEXT(SUM(AY:AY),"0")&amp;" ("&amp;TEXT(SUM(AY:AY)/(SUM(AX:BM)-SUM(AY:AY)),"0.0%")&amp;")"</f>
        <v>89 (5.3%)</v>
      </c>
      <c r="X24" s="113" t="str" cm="1">
        <f t="array" ref="X24">""&amp;TEXT(SUM(_xlfn._xlws.FILTER('Included studies 2023 update'!$AQ:$AQ,('Included studies 2023 update'!$E:$E="No")*('Included studies 2023 update'!$H:$H=X$2))),"0")&amp;" ("&amp;TEXT(SUM(_xlfn._xlws.FILTER('Included studies 2023 update'!$AQ:$AQ,('Included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89 (5.4%)</v>
      </c>
      <c r="Y24" s="113" t="str" cm="1">
        <f t="array" ref="Y24">""&amp;TEXT(SUM(_xlfn._xlws.FILTER('Included studies 2023 update'!$AQ:$AQ,('Included studies 2023 update'!$E:$E="No")*('Included studies 2023 update'!$H:$H=Y$2))),"0")&amp;" ("&amp;TEXT(SUM(_xlfn._xlws.FILTER('Included studies 2023 update'!$AQ:$AQ,('Included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4" s="113" t="str" cm="1">
        <f t="array" ref="Z24">""&amp;TEXT(SUM(_xlfn._xlws.FILTER('Included studies 2023 update'!$AQ:$AQ,('Included studies 2023 update'!$E:$E="No")*('Included studies 2023 update'!$H:$H=Z$2))),"0")&amp;" ("&amp;TEXT(SUM(_xlfn._xlws.FILTER('Included studies 2023 update'!$AQ:$AQ,('Included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4" s="82"/>
      <c r="AB24" t="str">
        <v>https://pubmed.ncbi.nlm.nih.gov/23929317/</v>
      </c>
      <c r="AC24">
        <f>IF(ISTEXT(AB24),_xlfn.XLOOKUP(AB24,'Included studies 2023 update'!C:C,'Included studies 2023 update'!J:J),"")</f>
        <v>80</v>
      </c>
      <c r="AD24" t="str">
        <f>IF(ISTEXT(AB24),_xlfn.XLOOKUP(AB24,'Included studies 2023 update'!C:C,'Included studies 2023 update'!E:E),"")</f>
        <v>No</v>
      </c>
      <c r="AE24" t="str">
        <f>IF(ISTEXT(AB24),_xlfn.XLOOKUP(AB24,'Included studies 2023 update'!C:C,'Included studies 2023 update'!I:I),"")</f>
        <v>Pediatric</v>
      </c>
      <c r="AF24" t="str">
        <f>IF(ISTEXT(AB24),_xlfn.XLOOKUP(AB24,'Included studies 2023 update'!C:C,'Included studies 2023 update'!U:U),"")</f>
        <v>ACY</v>
      </c>
      <c r="AG24" t="str">
        <f>IF(ISTEXT(AB24),_xlfn.XLOOKUP(AB24,'Included studies 2023 update'!C:C,'Included studies 2023 update'!X:X),"")</f>
        <v>Whole blood</v>
      </c>
      <c r="AH24">
        <f>IF(ISTEXT(AB24),_xlfn.XLOOKUP(AB24,'Included studies 2023 update'!C:C,'Included studies 2023 update'!Y:Y),"")</f>
        <v>50</v>
      </c>
      <c r="AI24" t="str">
        <f>IF(ISTEXT(AB24),_xlfn.XLOOKUP(AB24,'Included studies 2023 update'!C:C,'Included studies 2023 update'!Z:Z),"")</f>
        <v>Retrospective</v>
      </c>
      <c r="AJ24">
        <f>IF(ISTEXT($AB24),_xlfn.XLOOKUP($AB24,'Included studies 2023 update'!$C:$C,'Included studies 2023 update'!AA:AA),"")</f>
        <v>0</v>
      </c>
      <c r="AK24">
        <f>IF(ISTEXT($AB24),_xlfn.XLOOKUP($AB24,'Included studies 2023 update'!$C:$C,'Included studies 2023 update'!AB:AB),"")</f>
        <v>0</v>
      </c>
      <c r="AL24">
        <f>IF(ISTEXT($AB24),_xlfn.XLOOKUP($AB24,'Included studies 2023 update'!$C:$C,'Included studies 2023 update'!AC:AC),"")</f>
        <v>0</v>
      </c>
      <c r="AM24">
        <f>IF(ISTEXT($AB24),_xlfn.XLOOKUP($AB24,'Included studies 2023 update'!$C:$C,'Included studies 2023 update'!AD:AD),"")</f>
        <v>0</v>
      </c>
      <c r="AN24">
        <f>IF(ISTEXT($AB24),_xlfn.XLOOKUP($AB24,'Included studies 2023 update'!$C:$C,'Included studies 2023 update'!AE:AE),"")</f>
        <v>0</v>
      </c>
      <c r="AO24">
        <f>IF(ISTEXT($AB24),_xlfn.XLOOKUP($AB24,'Included studies 2023 update'!$C:$C,'Included studies 2023 update'!AF:AF),"")</f>
        <v>0</v>
      </c>
      <c r="AP24">
        <f>IF(ISTEXT($AB24),_xlfn.XLOOKUP($AB24,'Included studies 2023 update'!$C:$C,'Included studies 2023 update'!AG:AG),"")</f>
        <v>0</v>
      </c>
      <c r="AQ24">
        <f>IF(ISTEXT($AB24),_xlfn.XLOOKUP($AB24,'Included studies 2023 update'!$C:$C,'Included studies 2023 update'!AH:AH),"")</f>
        <v>0</v>
      </c>
      <c r="AR24">
        <f>IF(ISTEXT($AB24),_xlfn.XLOOKUP($AB24,'Included studies 2023 update'!$C:$C,'Included studies 2023 update'!AI:AI),"")</f>
        <v>0</v>
      </c>
      <c r="AS24" s="85">
        <f>IF(ISTEXT($AB24),_xlfn.XLOOKUP($AB24,'Included studies 2023 update'!$C:$C,'Included studies 2023 update'!AJ:AJ),"")</f>
        <v>68</v>
      </c>
      <c r="AT24" s="85">
        <f>IF(ISTEXT($AB24),_xlfn.XLOOKUP($AB24,'Included studies 2023 update'!$C:$C,'Included studies 2023 update'!AK:AK),"")</f>
        <v>12</v>
      </c>
      <c r="AU24">
        <f>IF(ISTEXT($AB24),_xlfn.XLOOKUP($AB24,'Included studies 2023 update'!$C:$C,'Included studies 2023 update'!AL:AL),"")</f>
        <v>0</v>
      </c>
      <c r="AV24">
        <f>IF(ISTEXT($AB24),_xlfn.XLOOKUP($AB24,'Included studies 2023 update'!$C:$C,'Included studies 2023 update'!AM:AM),"")</f>
        <v>40</v>
      </c>
      <c r="AW24" t="str">
        <f>IF(ISTEXT($AB24),_xlfn.XLOOKUP($AB24,'Included studies 2023 update'!$C:$C,'Included studies 2023 update'!AN:AN),"")</f>
        <v>Other</v>
      </c>
      <c r="AX24">
        <f>IF(ISTEXT($AB24),_xlfn.XLOOKUP($AB24,'Included studies 2023 update'!$C:$C,'Included studies 2023 update'!AP:AP),"")</f>
        <v>1</v>
      </c>
      <c r="AY24">
        <f>IF(ISTEXT($AB24),_xlfn.XLOOKUP($AB24,'Included studies 2023 update'!$C:$C,'Included studies 2023 update'!AQ:AQ),"")</f>
        <v>0</v>
      </c>
      <c r="AZ24">
        <f>IF(ISTEXT($AB24),_xlfn.XLOOKUP($AB24,'Included studies 2023 update'!$C:$C,'Included studies 2023 update'!AR:AR),"")</f>
        <v>3</v>
      </c>
      <c r="BA24">
        <f>IF(ISTEXT($AB24),_xlfn.XLOOKUP($AB24,'Included studies 2023 update'!$C:$C,'Included studies 2023 update'!AS:AS),"")</f>
        <v>9</v>
      </c>
      <c r="BB24">
        <f>IF(ISTEXT($AB24),_xlfn.XLOOKUP($AB24,'Included studies 2023 update'!$C:$C,'Included studies 2023 update'!AT:AT),"")</f>
        <v>0</v>
      </c>
      <c r="BC24">
        <f>IF(ISTEXT($AB24),_xlfn.XLOOKUP($AB24,'Included studies 2023 update'!$C:$C,'Included studies 2023 update'!AU:AU),"")</f>
        <v>0</v>
      </c>
      <c r="BD24">
        <f>IF(ISTEXT($AB24),_xlfn.XLOOKUP($AB24,'Included studies 2023 update'!$C:$C,'Included studies 2023 update'!AV:AV),"")</f>
        <v>0</v>
      </c>
      <c r="BE24">
        <f>IF(ISTEXT($AB24),_xlfn.XLOOKUP($AB24,'Included studies 2023 update'!$C:$C,'Included studies 2023 update'!AW:AW),"")</f>
        <v>0</v>
      </c>
      <c r="BF24">
        <f>IF(ISTEXT($AB24),_xlfn.XLOOKUP($AB24,'Included studies 2023 update'!$C:$C,'Included studies 2023 update'!AX:AX),"")</f>
        <v>30</v>
      </c>
      <c r="BG24">
        <f>IF(ISTEXT($AB24),_xlfn.XLOOKUP($AB24,'Included studies 2023 update'!$C:$C,'Included studies 2023 update'!AY:AY),"")</f>
        <v>0</v>
      </c>
      <c r="BH24">
        <f>IF(ISTEXT($AB24),_xlfn.XLOOKUP($AB24,'Included studies 2023 update'!$C:$C,'Included studies 2023 update'!AZ:AZ),"")</f>
        <v>30</v>
      </c>
      <c r="BI24">
        <f>IF(ISTEXT($AB24),_xlfn.XLOOKUP($AB24,'Included studies 2023 update'!$C:$C,'Included studies 2023 update'!BA:BA),"")</f>
        <v>0</v>
      </c>
      <c r="BJ24">
        <f>IF(ISTEXT($AB24),_xlfn.XLOOKUP($AB24,'Included studies 2023 update'!$C:$C,'Included studies 2023 update'!BB:BB),"")</f>
        <v>0</v>
      </c>
      <c r="BK24">
        <f>IF(ISTEXT($AB24),_xlfn.XLOOKUP($AB24,'Included studies 2023 update'!$C:$C,'Included studies 2023 update'!BC:BC),"")</f>
        <v>0</v>
      </c>
      <c r="BL24">
        <f>IF(ISTEXT($AB24),_xlfn.XLOOKUP($AB24,'Included studies 2023 update'!$C:$C,'Included studies 2023 update'!BD:BD),"")</f>
        <v>0</v>
      </c>
      <c r="BM24">
        <f>IF(ISTEXT($AB24),_xlfn.XLOOKUP($AB24,'Included studies 2023 update'!$C:$C,'Included studies 2023 update'!BE:BE),"")</f>
        <v>0</v>
      </c>
      <c r="BN24">
        <f>IF(ISTEXT($AB24),_xlfn.XLOOKUP($AB24,'Included studies 2023 update'!$C:$C,'Included studies 2023 update'!BF:BF),"")</f>
        <v>5</v>
      </c>
      <c r="BO24">
        <f>IF(ISTEXT($AB24),_xlfn.XLOOKUP($AB24,'Included studies 2023 update'!$C:$C,'Included studies 2023 update'!BG:BG),"")</f>
        <v>75</v>
      </c>
      <c r="BP24">
        <f>IF(ISTEXT($AB24),_xlfn.XLOOKUP($AB24,'Included studies 2023 update'!$C:$C,'Included studies 2023 update'!BH:BH),"")</f>
        <v>43</v>
      </c>
      <c r="BQ24">
        <f>IF(ISTEXT($AB24),_xlfn.XLOOKUP($AB24,'Included studies 2023 update'!$C:$C,'Included studies 2023 update'!BI:BI),"")</f>
        <v>32</v>
      </c>
      <c r="BR24">
        <f>IF(ISTEXT($AB24),_xlfn.XLOOKUP($AB24,'Included studies 2023 update'!$C:$C,'Included studies 2023 update'!BJ:BJ),"")</f>
        <v>4</v>
      </c>
      <c r="BS24">
        <f>IF(ISTEXT($AB24),_xlfn.XLOOKUP($AB24,'Included studies 2023 update'!$C:$C,'Included studies 2023 update'!BK:BK),"")</f>
        <v>1</v>
      </c>
    </row>
    <row r="25" spans="1:71" ht="13" customHeight="1">
      <c r="A25" s="2">
        <v>24881673</v>
      </c>
      <c r="B25" s="11" t="s">
        <v>2744</v>
      </c>
      <c r="C25" s="2" t="s">
        <v>544</v>
      </c>
      <c r="D25" s="2" t="s">
        <v>2745</v>
      </c>
      <c r="E25" s="2" t="s">
        <v>2746</v>
      </c>
      <c r="F25" s="2">
        <v>2014</v>
      </c>
      <c r="G25" s="2" t="s">
        <v>10</v>
      </c>
      <c r="I25" s="2"/>
      <c r="Q25" s="2">
        <v>26132825</v>
      </c>
      <c r="R25">
        <f>IF(ISNUMBER(Q25), _xlfn.XLOOKUP(Q25,'Included studies 2023 update'!A:A,'Included studies 2023 update'!K:K)+_xlfn.XLOOKUP(Q25,'Included studies 2023 update'!A:A,'Included studies 2023 update'!L:L),"")</f>
        <v>106</v>
      </c>
      <c r="U25" s="162"/>
      <c r="V25" s="114" t="s">
        <v>3728</v>
      </c>
      <c r="W25" s="113" t="str">
        <f>""&amp;TEXT(SUM(AZ:AZ),"0")&amp;" ("&amp;TEXT(SUM(AZ:AZ)/(SUM(AX:BM)-SUM(AZ:AZ)),"0.0%")&amp;")"</f>
        <v>22 (1.3%)</v>
      </c>
      <c r="X25" s="113" t="str" cm="1">
        <f t="array" ref="X25">""&amp;TEXT(SUM(_xlfn._xlws.FILTER('Included studies 2023 update'!$AR:$AR,('Included studies 2023 update'!$E:$E="No")*('Included studies 2023 update'!$H:$H=X$2))),"0")&amp;" ("&amp;TEXT(SUM(_xlfn._xlws.FILTER('Included studies 2023 update'!$AR:$AR,('Included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25" s="113" t="str" cm="1">
        <f t="array" ref="Y25">""&amp;TEXT(SUM(_xlfn._xlws.FILTER('Included studies 2023 update'!$AR:$AR,('Included studies 2023 update'!$E:$E="No")*('Included studies 2023 update'!$H:$H=Y$2))),"0")&amp;" ("&amp;TEXT(SUM(_xlfn._xlws.FILTER('Included studies 2023 update'!$AR:$AR,('Included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19 (9.0%)</v>
      </c>
      <c r="Z25" s="113" t="str" cm="1">
        <f t="array" ref="Z25">""&amp;TEXT(SUM(_xlfn._xlws.FILTER('Included studies 2023 update'!$AR:$AR,('Included studies 2023 update'!$E:$E="No")*('Included studies 2023 update'!$H:$H=Z$2))),"0")&amp;" ("&amp;TEXT(SUM(_xlfn._xlws.FILTER('Included studies 2023 update'!$AR:$AR,('Included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5" s="82"/>
      <c r="AB25" t="str">
        <v>https://pubmed.ncbi.nlm.nih.gov/26132825/</v>
      </c>
      <c r="AC25">
        <f>IF(ISTEXT(AB25),_xlfn.XLOOKUP(AB25,'Included studies 2023 update'!C:C,'Included studies 2023 update'!J:J),"")</f>
        <v>106</v>
      </c>
      <c r="AD25" t="str">
        <f>IF(ISTEXT(AB25),_xlfn.XLOOKUP(AB25,'Included studies 2023 update'!C:C,'Included studies 2023 update'!E:E),"")</f>
        <v>No</v>
      </c>
      <c r="AE25" t="str">
        <f>IF(ISTEXT(AB25),_xlfn.XLOOKUP(AB25,'Included studies 2023 update'!C:C,'Included studies 2023 update'!I:I),"")</f>
        <v>Pediatric</v>
      </c>
      <c r="AF25" t="str">
        <f>IF(ISTEXT(AB25),_xlfn.XLOOKUP(AB25,'Included studies 2023 update'!C:C,'Included studies 2023 update'!U:U),"")</f>
        <v>Unclear or ND</v>
      </c>
      <c r="AG25" t="str">
        <f>IF(ISTEXT(AB25),_xlfn.XLOOKUP(AB25,'Included studies 2023 update'!C:C,'Included studies 2023 update'!X:X),"")</f>
        <v>Unclear or ND</v>
      </c>
      <c r="AH25">
        <f>IF(ISTEXT(AB25),_xlfn.XLOOKUP(AB25,'Included studies 2023 update'!C:C,'Included studies 2023 update'!Y:Y),"")</f>
        <v>25</v>
      </c>
      <c r="AI25" t="str">
        <f>IF(ISTEXT(AB25),_xlfn.XLOOKUP(AB25,'Included studies 2023 update'!C:C,'Included studies 2023 update'!Z:Z),"")</f>
        <v>Prospective</v>
      </c>
      <c r="AJ25">
        <f>IF(ISTEXT($AB25),_xlfn.XLOOKUP($AB25,'Included studies 2023 update'!$C:$C,'Included studies 2023 update'!AA:AA),"")</f>
        <v>0</v>
      </c>
      <c r="AK25">
        <f>IF(ISTEXT($AB25),_xlfn.XLOOKUP($AB25,'Included studies 2023 update'!$C:$C,'Included studies 2023 update'!AB:AB),"")</f>
        <v>0</v>
      </c>
      <c r="AL25">
        <f>IF(ISTEXT($AB25),_xlfn.XLOOKUP($AB25,'Included studies 2023 update'!$C:$C,'Included studies 2023 update'!AC:AC),"")</f>
        <v>0</v>
      </c>
      <c r="AM25">
        <f>IF(ISTEXT($AB25),_xlfn.XLOOKUP($AB25,'Included studies 2023 update'!$C:$C,'Included studies 2023 update'!AD:AD),"")</f>
        <v>0</v>
      </c>
      <c r="AN25">
        <f>IF(ISTEXT($AB25),_xlfn.XLOOKUP($AB25,'Included studies 2023 update'!$C:$C,'Included studies 2023 update'!AE:AE),"")</f>
        <v>0</v>
      </c>
      <c r="AO25">
        <f>IF(ISTEXT($AB25),_xlfn.XLOOKUP($AB25,'Included studies 2023 update'!$C:$C,'Included studies 2023 update'!AF:AF),"")</f>
        <v>0</v>
      </c>
      <c r="AP25">
        <f>IF(ISTEXT($AB25),_xlfn.XLOOKUP($AB25,'Included studies 2023 update'!$C:$C,'Included studies 2023 update'!AG:AG),"")</f>
        <v>0</v>
      </c>
      <c r="AQ25">
        <f>IF(ISTEXT($AB25),_xlfn.XLOOKUP($AB25,'Included studies 2023 update'!$C:$C,'Included studies 2023 update'!AH:AH),"")</f>
        <v>0</v>
      </c>
      <c r="AR25">
        <f>IF(ISTEXT($AB25),_xlfn.XLOOKUP($AB25,'Included studies 2023 update'!$C:$C,'Included studies 2023 update'!AI:AI),"")</f>
        <v>0</v>
      </c>
      <c r="AS25" s="85">
        <f>IF(ISTEXT($AB25),_xlfn.XLOOKUP($AB25,'Included studies 2023 update'!$C:$C,'Included studies 2023 update'!AJ:AJ),"")</f>
        <v>62</v>
      </c>
      <c r="AT25" s="85">
        <f>IF(ISTEXT($AB25),_xlfn.XLOOKUP($AB25,'Included studies 2023 update'!$C:$C,'Included studies 2023 update'!AK:AK),"")</f>
        <v>43</v>
      </c>
      <c r="AU25">
        <f>IF(ISTEXT($AB25),_xlfn.XLOOKUP($AB25,'Included studies 2023 update'!$C:$C,'Included studies 2023 update'!AL:AL),"")</f>
        <v>0</v>
      </c>
      <c r="AV25" t="str">
        <f>IF(ISTEXT($AB25),_xlfn.XLOOKUP($AB25,'Included studies 2023 update'!$C:$C,'Included studies 2023 update'!AM:AM),"")</f>
        <v>Unclear</v>
      </c>
      <c r="AW25" t="str">
        <f>IF(ISTEXT($AB25),_xlfn.XLOOKUP($AB25,'Included studies 2023 update'!$C:$C,'Included studies 2023 update'!AN:AN),"")</f>
        <v>Unclear or ND</v>
      </c>
      <c r="AX25">
        <f>IF(ISTEXT($AB25),_xlfn.XLOOKUP($AB25,'Included studies 2023 update'!$C:$C,'Included studies 2023 update'!AP:AP),"")</f>
        <v>0</v>
      </c>
      <c r="AY25">
        <f>IF(ISTEXT($AB25),_xlfn.XLOOKUP($AB25,'Included studies 2023 update'!$C:$C,'Included studies 2023 update'!AQ:AQ),"")</f>
        <v>0</v>
      </c>
      <c r="AZ25">
        <f>IF(ISTEXT($AB25),_xlfn.XLOOKUP($AB25,'Included studies 2023 update'!$C:$C,'Included studies 2023 update'!AR:AR),"")</f>
        <v>0</v>
      </c>
      <c r="BA25">
        <f>IF(ISTEXT($AB25),_xlfn.XLOOKUP($AB25,'Included studies 2023 update'!$C:$C,'Included studies 2023 update'!AS:AS),"")</f>
        <v>0</v>
      </c>
      <c r="BB25">
        <f>IF(ISTEXT($AB25),_xlfn.XLOOKUP($AB25,'Included studies 2023 update'!$C:$C,'Included studies 2023 update'!AT:AT),"")</f>
        <v>0</v>
      </c>
      <c r="BC25">
        <f>IF(ISTEXT($AB25),_xlfn.XLOOKUP($AB25,'Included studies 2023 update'!$C:$C,'Included studies 2023 update'!AU:AU),"")</f>
        <v>0</v>
      </c>
      <c r="BD25">
        <f>IF(ISTEXT($AB25),_xlfn.XLOOKUP($AB25,'Included studies 2023 update'!$C:$C,'Included studies 2023 update'!AV:AV),"")</f>
        <v>52</v>
      </c>
      <c r="BE25">
        <f>IF(ISTEXT($AB25),_xlfn.XLOOKUP($AB25,'Included studies 2023 update'!$C:$C,'Included studies 2023 update'!AW:AW),"")</f>
        <v>34</v>
      </c>
      <c r="BF25">
        <f>IF(ISTEXT($AB25),_xlfn.XLOOKUP($AB25,'Included studies 2023 update'!$C:$C,'Included studies 2023 update'!AX:AX),"")</f>
        <v>0</v>
      </c>
      <c r="BG25">
        <f>IF(ISTEXT($AB25),_xlfn.XLOOKUP($AB25,'Included studies 2023 update'!$C:$C,'Included studies 2023 update'!AY:AY),"")</f>
        <v>0</v>
      </c>
      <c r="BH25">
        <f>IF(ISTEXT($AB25),_xlfn.XLOOKUP($AB25,'Included studies 2023 update'!$C:$C,'Included studies 2023 update'!AZ:AZ),"")</f>
        <v>0</v>
      </c>
      <c r="BI25">
        <f>IF(ISTEXT($AB25),_xlfn.XLOOKUP($AB25,'Included studies 2023 update'!$C:$C,'Included studies 2023 update'!BA:BA),"")</f>
        <v>0</v>
      </c>
      <c r="BJ25">
        <f>IF(ISTEXT($AB25),_xlfn.XLOOKUP($AB25,'Included studies 2023 update'!$C:$C,'Included studies 2023 update'!BB:BB),"")</f>
        <v>0</v>
      </c>
      <c r="BK25">
        <f>IF(ISTEXT($AB25),_xlfn.XLOOKUP($AB25,'Included studies 2023 update'!$C:$C,'Included studies 2023 update'!BC:BC),"")</f>
        <v>0</v>
      </c>
      <c r="BL25">
        <f>IF(ISTEXT($AB25),_xlfn.XLOOKUP($AB25,'Included studies 2023 update'!$C:$C,'Included studies 2023 update'!BD:BD),"")</f>
        <v>0</v>
      </c>
      <c r="BM25">
        <f>IF(ISTEXT($AB25),_xlfn.XLOOKUP($AB25,'Included studies 2023 update'!$C:$C,'Included studies 2023 update'!BE:BE),"")</f>
        <v>0</v>
      </c>
      <c r="BN25" t="str">
        <f>IF(ISTEXT($AB25),_xlfn.XLOOKUP($AB25,'Included studies 2023 update'!$C:$C,'Included studies 2023 update'!BF:BF),"")</f>
        <v>Unclear or ND</v>
      </c>
      <c r="BO25" t="str">
        <f>IF(ISTEXT($AB25),_xlfn.XLOOKUP($AB25,'Included studies 2023 update'!$C:$C,'Included studies 2023 update'!BG:BG),"")</f>
        <v>Unclear or ND</v>
      </c>
      <c r="BP25">
        <f>IF(ISTEXT($AB25),_xlfn.XLOOKUP($AB25,'Included studies 2023 update'!$C:$C,'Included studies 2023 update'!BH:BH),"")</f>
        <v>75</v>
      </c>
      <c r="BQ25">
        <f>IF(ISTEXT($AB25),_xlfn.XLOOKUP($AB25,'Included studies 2023 update'!$C:$C,'Included studies 2023 update'!BI:BI),"")</f>
        <v>7</v>
      </c>
      <c r="BR25">
        <f>IF(ISTEXT($AB25),_xlfn.XLOOKUP($AB25,'Included studies 2023 update'!$C:$C,'Included studies 2023 update'!BJ:BJ),"")</f>
        <v>24</v>
      </c>
      <c r="BS25">
        <f>IF(ISTEXT($AB25),_xlfn.XLOOKUP($AB25,'Included studies 2023 update'!$C:$C,'Included studies 2023 update'!BK:BK),"")</f>
        <v>0</v>
      </c>
    </row>
    <row r="26" spans="1:71" ht="13" customHeight="1">
      <c r="A26" s="2">
        <v>26555946</v>
      </c>
      <c r="B26" s="11" t="s">
        <v>2747</v>
      </c>
      <c r="C26" s="2" t="s">
        <v>548</v>
      </c>
      <c r="D26" s="2" t="s">
        <v>2748</v>
      </c>
      <c r="E26" s="2" t="s">
        <v>2749</v>
      </c>
      <c r="F26" s="2">
        <v>2016</v>
      </c>
      <c r="G26" s="2" t="s">
        <v>10</v>
      </c>
      <c r="I26" s="2"/>
      <c r="Q26" s="2">
        <v>17067909</v>
      </c>
      <c r="R26">
        <f>IF(ISNUMBER(Q26), _xlfn.XLOOKUP(Q26,'Included studies 2023 update'!A:A,'Included studies 2023 update'!K:K)+_xlfn.XLOOKUP(Q26,'Included studies 2023 update'!A:A,'Included studies 2023 update'!L:L),"")</f>
        <v>72</v>
      </c>
      <c r="U26" s="162"/>
      <c r="V26" s="114" t="s">
        <v>3729</v>
      </c>
      <c r="W26" s="113" t="str">
        <f>""&amp;TEXT(SUM(BA:BA),"0")&amp;" ("&amp;TEXT(SUM(BA:BA)/(SUM(AX:BM)-SUM(BA:BA)),"0.0%")&amp;")"</f>
        <v>9 (0.5%)</v>
      </c>
      <c r="X26" s="113" t="str" cm="1">
        <f t="array" ref="X26">""&amp;TEXT(SUM(_xlfn._xlws.FILTER('Included studies 2023 update'!$AS:$AS,('Included studies 2023 update'!$E:$E="No")*('Included studies 2023 update'!$H:$H=X$2))),"0")&amp;" ("&amp;TEXT(SUM(_xlfn._xlws.FILTER('Included studies 2023 update'!$AS:$AS,('Included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9 (0.5%)</v>
      </c>
      <c r="Y26" s="113" t="str" cm="1">
        <f t="array" ref="Y26">""&amp;TEXT(SUM(_xlfn._xlws.FILTER('Included studies 2023 update'!$AS:$AS,('Included studies 2023 update'!$E:$E="No")*('Included studies 2023 update'!$H:$H=Y$2))),"0")&amp;" ("&amp;TEXT(SUM(_xlfn._xlws.FILTER('Included studies 2023 update'!$AS:$AS,('Included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6" s="113" t="str" cm="1">
        <f t="array" ref="Z26">""&amp;TEXT(SUM(_xlfn._xlws.FILTER('Included studies 2023 update'!$AS:$AS,('Included studies 2023 update'!$E:$E="No")*('Included studies 2023 update'!$H:$H=Z$2))),"0")&amp;" ("&amp;TEXT(SUM(_xlfn._xlws.FILTER('Included studies 2023 update'!$AS:$AS,('Included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6" s="82"/>
      <c r="AB26" t="str">
        <v>https://pubmed.ncbi.nlm.nih.gov/17067909/</v>
      </c>
      <c r="AC26">
        <f>IF(ISTEXT(AB26),_xlfn.XLOOKUP(AB26,'Included studies 2023 update'!C:C,'Included studies 2023 update'!J:J),"")</f>
        <v>72</v>
      </c>
      <c r="AD26" t="str">
        <f>IF(ISTEXT(AB26),_xlfn.XLOOKUP(AB26,'Included studies 2023 update'!C:C,'Included studies 2023 update'!E:E),"")</f>
        <v>No</v>
      </c>
      <c r="AE26" t="str">
        <f>IF(ISTEXT(AB26),_xlfn.XLOOKUP(AB26,'Included studies 2023 update'!C:C,'Included studies 2023 update'!I:I),"")</f>
        <v>Both</v>
      </c>
      <c r="AF26" t="str">
        <f>IF(ISTEXT(AB26),_xlfn.XLOOKUP(AB26,'Included studies 2023 update'!C:C,'Included studies 2023 update'!U:U),"")</f>
        <v>ACY and GAN</v>
      </c>
      <c r="AG26" t="str">
        <f>IF(ISTEXT(AB26),_xlfn.XLOOKUP(AB26,'Included studies 2023 update'!C:C,'Included studies 2023 update'!X:X),"")</f>
        <v>PBMC</v>
      </c>
      <c r="AH26" t="str">
        <f>IF(ISTEXT(AB26),_xlfn.XLOOKUP(AB26,'Included studies 2023 update'!C:C,'Included studies 2023 update'!Y:Y),"")</f>
        <v>Unclear or ND</v>
      </c>
      <c r="AI26" t="str">
        <f>IF(ISTEXT(AB26),_xlfn.XLOOKUP(AB26,'Included studies 2023 update'!C:C,'Included studies 2023 update'!Z:Z),"")</f>
        <v>Prospective</v>
      </c>
      <c r="AJ26" t="str">
        <f>IF(ISTEXT($AB26),_xlfn.XLOOKUP($AB26,'Included studies 2023 update'!$C:$C,'Included studies 2023 update'!AA:AA),"")</f>
        <v>ND</v>
      </c>
      <c r="AK26" t="str">
        <f>IF(ISTEXT($AB26),_xlfn.XLOOKUP($AB26,'Included studies 2023 update'!$C:$C,'Included studies 2023 update'!AB:AB),"")</f>
        <v>ND</v>
      </c>
      <c r="AL26" t="str">
        <f>IF(ISTEXT($AB26),_xlfn.XLOOKUP($AB26,'Included studies 2023 update'!$C:$C,'Included studies 2023 update'!AC:AC),"")</f>
        <v>ND</v>
      </c>
      <c r="AM26" t="str">
        <f>IF(ISTEXT($AB26),_xlfn.XLOOKUP($AB26,'Included studies 2023 update'!$C:$C,'Included studies 2023 update'!AD:AD),"")</f>
        <v>ND</v>
      </c>
      <c r="AN26" t="str">
        <f>IF(ISTEXT($AB26),_xlfn.XLOOKUP($AB26,'Included studies 2023 update'!$C:$C,'Included studies 2023 update'!AE:AE),"")</f>
        <v>ND</v>
      </c>
      <c r="AO26" t="str">
        <f>IF(ISTEXT($AB26),_xlfn.XLOOKUP($AB26,'Included studies 2023 update'!$C:$C,'Included studies 2023 update'!AF:AF),"")</f>
        <v>ND</v>
      </c>
      <c r="AP26" t="str">
        <f>IF(ISTEXT($AB26),_xlfn.XLOOKUP($AB26,'Included studies 2023 update'!$C:$C,'Included studies 2023 update'!AG:AG),"")</f>
        <v>ND</v>
      </c>
      <c r="AQ26" t="str">
        <f>IF(ISTEXT($AB26),_xlfn.XLOOKUP($AB26,'Included studies 2023 update'!$C:$C,'Included studies 2023 update'!AH:AH),"")</f>
        <v>ND</v>
      </c>
      <c r="AR26" t="str">
        <f>IF(ISTEXT($AB26),_xlfn.XLOOKUP($AB26,'Included studies 2023 update'!$C:$C,'Included studies 2023 update'!AI:AI),"")</f>
        <v>ND</v>
      </c>
      <c r="AS26" s="85" t="str">
        <f>IF(ISTEXT($AB26),_xlfn.XLOOKUP($AB26,'Included studies 2023 update'!$C:$C,'Included studies 2023 update'!AJ:AJ),"")</f>
        <v>ND</v>
      </c>
      <c r="AT26" s="85" t="str">
        <f>IF(ISTEXT($AB26),_xlfn.XLOOKUP($AB26,'Included studies 2023 update'!$C:$C,'Included studies 2023 update'!AK:AK),"")</f>
        <v>ND</v>
      </c>
      <c r="AU26" t="str">
        <f>IF(ISTEXT($AB26),_xlfn.XLOOKUP($AB26,'Included studies 2023 update'!$C:$C,'Included studies 2023 update'!AL:AL),"")</f>
        <v>ND</v>
      </c>
      <c r="AV26">
        <f>IF(ISTEXT($AB26),_xlfn.XLOOKUP($AB26,'Included studies 2023 update'!$C:$C,'Included studies 2023 update'!AM:AM),"")</f>
        <v>84</v>
      </c>
      <c r="AW26" t="str">
        <f>IF(ISTEXT($AB26),_xlfn.XLOOKUP($AB26,'Included studies 2023 update'!$C:$C,'Included studies 2023 update'!AN:AN),"")</f>
        <v>1x per week</v>
      </c>
      <c r="AX26">
        <f>IF(ISTEXT($AB26),_xlfn.XLOOKUP($AB26,'Included studies 2023 update'!$C:$C,'Included studies 2023 update'!AP:AP),"")</f>
        <v>0</v>
      </c>
      <c r="AY26">
        <f>IF(ISTEXT($AB26),_xlfn.XLOOKUP($AB26,'Included studies 2023 update'!$C:$C,'Included studies 2023 update'!AQ:AQ),"")</f>
        <v>0</v>
      </c>
      <c r="AZ26">
        <f>IF(ISTEXT($AB26),_xlfn.XLOOKUP($AB26,'Included studies 2023 update'!$C:$C,'Included studies 2023 update'!AR:AR),"")</f>
        <v>0</v>
      </c>
      <c r="BA26">
        <f>IF(ISTEXT($AB26),_xlfn.XLOOKUP($AB26,'Included studies 2023 update'!$C:$C,'Included studies 2023 update'!AS:AS),"")</f>
        <v>0</v>
      </c>
      <c r="BB26">
        <f>IF(ISTEXT($AB26),_xlfn.XLOOKUP($AB26,'Included studies 2023 update'!$C:$C,'Included studies 2023 update'!AT:AT),"")</f>
        <v>0</v>
      </c>
      <c r="BC26">
        <f>IF(ISTEXT($AB26),_xlfn.XLOOKUP($AB26,'Included studies 2023 update'!$C:$C,'Included studies 2023 update'!AU:AU),"")</f>
        <v>0</v>
      </c>
      <c r="BD26">
        <f>IF(ISTEXT($AB26),_xlfn.XLOOKUP($AB26,'Included studies 2023 update'!$C:$C,'Included studies 2023 update'!AV:AV),"")</f>
        <v>0</v>
      </c>
      <c r="BE26">
        <f>IF(ISTEXT($AB26),_xlfn.XLOOKUP($AB26,'Included studies 2023 update'!$C:$C,'Included studies 2023 update'!AW:AW),"")</f>
        <v>0</v>
      </c>
      <c r="BF26">
        <f>IF(ISTEXT($AB26),_xlfn.XLOOKUP($AB26,'Included studies 2023 update'!$C:$C,'Included studies 2023 update'!AX:AX),"")</f>
        <v>0</v>
      </c>
      <c r="BG26">
        <f>IF(ISTEXT($AB26),_xlfn.XLOOKUP($AB26,'Included studies 2023 update'!$C:$C,'Included studies 2023 update'!AY:AY),"")</f>
        <v>0</v>
      </c>
      <c r="BH26">
        <f>IF(ISTEXT($AB26),_xlfn.XLOOKUP($AB26,'Included studies 2023 update'!$C:$C,'Included studies 2023 update'!AZ:AZ),"")</f>
        <v>0</v>
      </c>
      <c r="BI26">
        <f>IF(ISTEXT($AB26),_xlfn.XLOOKUP($AB26,'Included studies 2023 update'!$C:$C,'Included studies 2023 update'!BA:BA),"")</f>
        <v>0</v>
      </c>
      <c r="BJ26">
        <f>IF(ISTEXT($AB26),_xlfn.XLOOKUP($AB26,'Included studies 2023 update'!$C:$C,'Included studies 2023 update'!BB:BB),"")</f>
        <v>0</v>
      </c>
      <c r="BK26">
        <f>IF(ISTEXT($AB26),_xlfn.XLOOKUP($AB26,'Included studies 2023 update'!$C:$C,'Included studies 2023 update'!BC:BC),"")</f>
        <v>0</v>
      </c>
      <c r="BL26">
        <f>IF(ISTEXT($AB26),_xlfn.XLOOKUP($AB26,'Included studies 2023 update'!$C:$C,'Included studies 2023 update'!BD:BD),"")</f>
        <v>72</v>
      </c>
      <c r="BM26">
        <f>IF(ISTEXT($AB26),_xlfn.XLOOKUP($AB26,'Included studies 2023 update'!$C:$C,'Included studies 2023 update'!BE:BE),"")</f>
        <v>0</v>
      </c>
      <c r="BN26" t="str">
        <f>IF(ISTEXT($AB26),_xlfn.XLOOKUP($AB26,'Included studies 2023 update'!$C:$C,'Included studies 2023 update'!BF:BF),"")</f>
        <v>Unclear or ND</v>
      </c>
      <c r="BO26" t="str">
        <f>IF(ISTEXT($AB26),_xlfn.XLOOKUP($AB26,'Included studies 2023 update'!$C:$C,'Included studies 2023 update'!BG:BG),"")</f>
        <v>Unclear or ND</v>
      </c>
      <c r="BP26">
        <f>IF(ISTEXT($AB26),_xlfn.XLOOKUP($AB26,'Included studies 2023 update'!$C:$C,'Included studies 2023 update'!BH:BH),"")</f>
        <v>0</v>
      </c>
      <c r="BQ26">
        <f>IF(ISTEXT($AB26),_xlfn.XLOOKUP($AB26,'Included studies 2023 update'!$C:$C,'Included studies 2023 update'!BI:BI),"")</f>
        <v>0</v>
      </c>
      <c r="BR26">
        <f>IF(ISTEXT($AB26),_xlfn.XLOOKUP($AB26,'Included studies 2023 update'!$C:$C,'Included studies 2023 update'!BJ:BJ),"")</f>
        <v>0</v>
      </c>
      <c r="BS26">
        <f>IF(ISTEXT($AB26),_xlfn.XLOOKUP($AB26,'Included studies 2023 update'!$C:$C,'Included studies 2023 update'!BK:BK),"")</f>
        <v>72</v>
      </c>
    </row>
    <row r="27" spans="1:71" ht="13" customHeight="1">
      <c r="A27" s="2">
        <v>24810656</v>
      </c>
      <c r="B27" s="11" t="s">
        <v>2750</v>
      </c>
      <c r="C27" s="2" t="s">
        <v>130</v>
      </c>
      <c r="D27" s="2" t="s">
        <v>2751</v>
      </c>
      <c r="E27" s="2" t="s">
        <v>2752</v>
      </c>
      <c r="F27" s="2">
        <v>2014</v>
      </c>
      <c r="G27" s="2" t="s">
        <v>10</v>
      </c>
      <c r="I27" s="2"/>
      <c r="Q27" s="2">
        <v>18695666</v>
      </c>
      <c r="R27">
        <f>IF(ISNUMBER(Q27), _xlfn.XLOOKUP(Q27,'Included studies 2023 update'!A:A,'Included studies 2023 update'!K:K)+_xlfn.XLOOKUP(Q27,'Included studies 2023 update'!A:A,'Included studies 2023 update'!L:L),"")</f>
        <v>72</v>
      </c>
      <c r="U27" s="162"/>
      <c r="V27" s="114" t="s">
        <v>3730</v>
      </c>
      <c r="W27" s="113" t="str">
        <f>""&amp;TEXT(SUM(BB:BB),"0")&amp;" ("&amp;TEXT(SUM(BB:BB)/(SUM(AX:BM)-SUM(BB:BB)),"0.0%")&amp;")"</f>
        <v>161 (10.0%)</v>
      </c>
      <c r="X27" s="113" t="str" cm="1">
        <f t="array" ref="X27">""&amp;TEXT(SUM(_xlfn._xlws.FILTER('Included studies 2023 update'!$AT:$AT,('Included studies 2023 update'!$E:$E="No")*('Included studies 2023 update'!$H:$H=X$2))),"0")&amp;" ("&amp;TEXT(SUM(_xlfn._xlws.FILTER('Included studies 2023 update'!$AT:$AT,('Included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161 (9.8%)</v>
      </c>
      <c r="Y27" s="113" t="str" cm="1">
        <f t="array" ref="Y27">""&amp;TEXT(SUM(_xlfn._xlws.FILTER('Included studies 2023 update'!$AT:$AT,('Included studies 2023 update'!$E:$E="No")*('Included studies 2023 update'!$H:$H=Y$2))),"0")&amp;" ("&amp;TEXT(SUM(_xlfn._xlws.FILTER('Included studies 2023 update'!$AT:$AT,('Included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7" s="113" t="str" cm="1">
        <f t="array" ref="Z27">""&amp;TEXT(SUM(_xlfn._xlws.FILTER('Included studies 2023 update'!$AT:$AT,('Included studies 2023 update'!$E:$E="No")*('Included studies 2023 update'!$H:$H=Z$2))),"0")&amp;" ("&amp;TEXT(SUM(_xlfn._xlws.FILTER('Included studies 2023 update'!$AT:$AT,('Included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7" s="82"/>
      <c r="AB27" t="str">
        <v>https://pubmed.ncbi.nlm.nih.gov/18695666/</v>
      </c>
      <c r="AC27">
        <f>IF(ISTEXT(AB27),_xlfn.XLOOKUP(AB27,'Included studies 2023 update'!C:C,'Included studies 2023 update'!J:J),"")</f>
        <v>72</v>
      </c>
      <c r="AD27" t="str">
        <f>IF(ISTEXT(AB27),_xlfn.XLOOKUP(AB27,'Included studies 2023 update'!C:C,'Included studies 2023 update'!E:E),"")</f>
        <v>No</v>
      </c>
      <c r="AE27" t="str">
        <f>IF(ISTEXT(AB27),_xlfn.XLOOKUP(AB27,'Included studies 2023 update'!C:C,'Included studies 2023 update'!I:I),"")</f>
        <v>Both</v>
      </c>
      <c r="AF27" t="str">
        <f>IF(ISTEXT(AB27),_xlfn.XLOOKUP(AB27,'Included studies 2023 update'!C:C,'Included studies 2023 update'!U:U),"")</f>
        <v>ACY and GAN</v>
      </c>
      <c r="AG27" t="str">
        <f>IF(ISTEXT(AB27),_xlfn.XLOOKUP(AB27,'Included studies 2023 update'!C:C,'Included studies 2023 update'!X:X),"")</f>
        <v>PBMC</v>
      </c>
      <c r="AH27" t="str">
        <f>IF(ISTEXT(AB27),_xlfn.XLOOKUP(AB27,'Included studies 2023 update'!C:C,'Included studies 2023 update'!Y:Y),"")</f>
        <v>Unclear or ND</v>
      </c>
      <c r="AI27" t="str">
        <f>IF(ISTEXT(AB27),_xlfn.XLOOKUP(AB27,'Included studies 2023 update'!C:C,'Included studies 2023 update'!Z:Z),"")</f>
        <v>Prospective</v>
      </c>
      <c r="AJ27">
        <f>IF(ISTEXT($AB27),_xlfn.XLOOKUP($AB27,'Included studies 2023 update'!$C:$C,'Included studies 2023 update'!AA:AA),"")</f>
        <v>37</v>
      </c>
      <c r="AK27">
        <f>IF(ISTEXT($AB27),_xlfn.XLOOKUP($AB27,'Included studies 2023 update'!$C:$C,'Included studies 2023 update'!AB:AB),"")</f>
        <v>0</v>
      </c>
      <c r="AL27">
        <f>IF(ISTEXT($AB27),_xlfn.XLOOKUP($AB27,'Included studies 2023 update'!$C:$C,'Included studies 2023 update'!AC:AC),"")</f>
        <v>22</v>
      </c>
      <c r="AM27">
        <f>IF(ISTEXT($AB27),_xlfn.XLOOKUP($AB27,'Included studies 2023 update'!$C:$C,'Included studies 2023 update'!AD:AD),"")</f>
        <v>6</v>
      </c>
      <c r="AN27">
        <f>IF(ISTEXT($AB27),_xlfn.XLOOKUP($AB27,'Included studies 2023 update'!$C:$C,'Included studies 2023 update'!AE:AE),"")</f>
        <v>3</v>
      </c>
      <c r="AO27">
        <f>IF(ISTEXT($AB27),_xlfn.XLOOKUP($AB27,'Included studies 2023 update'!$C:$C,'Included studies 2023 update'!AF:AF),"")</f>
        <v>1</v>
      </c>
      <c r="AP27">
        <f>IF(ISTEXT($AB27),_xlfn.XLOOKUP($AB27,'Included studies 2023 update'!$C:$C,'Included studies 2023 update'!AG:AG),"")</f>
        <v>0</v>
      </c>
      <c r="AQ27">
        <f>IF(ISTEXT($AB27),_xlfn.XLOOKUP($AB27,'Included studies 2023 update'!$C:$C,'Included studies 2023 update'!AH:AH),"")</f>
        <v>0</v>
      </c>
      <c r="AR27">
        <f>IF(ISTEXT($AB27),_xlfn.XLOOKUP($AB27,'Included studies 2023 update'!$C:$C,'Included studies 2023 update'!AI:AI),"")</f>
        <v>0</v>
      </c>
      <c r="AS27" s="85">
        <f>IF(ISTEXT($AB27),_xlfn.XLOOKUP($AB27,'Included studies 2023 update'!$C:$C,'Included studies 2023 update'!AJ:AJ),"")</f>
        <v>0</v>
      </c>
      <c r="AT27" s="85">
        <f>IF(ISTEXT($AB27),_xlfn.XLOOKUP($AB27,'Included studies 2023 update'!$C:$C,'Included studies 2023 update'!AK:AK),"")</f>
        <v>3</v>
      </c>
      <c r="AU27">
        <f>IF(ISTEXT($AB27),_xlfn.XLOOKUP($AB27,'Included studies 2023 update'!$C:$C,'Included studies 2023 update'!AL:AL),"")</f>
        <v>0</v>
      </c>
      <c r="AV27">
        <f>IF(ISTEXT($AB27),_xlfn.XLOOKUP($AB27,'Included studies 2023 update'!$C:$C,'Included studies 2023 update'!AM:AM),"")</f>
        <v>84</v>
      </c>
      <c r="AW27" t="str">
        <f>IF(ISTEXT($AB27),_xlfn.XLOOKUP($AB27,'Included studies 2023 update'!$C:$C,'Included studies 2023 update'!AN:AN),"")</f>
        <v>1x per week</v>
      </c>
      <c r="AX27" t="str">
        <f>IF(ISTEXT($AB27),_xlfn.XLOOKUP($AB27,'Included studies 2023 update'!$C:$C,'Included studies 2023 update'!AP:AP),"")</f>
        <v>Unclear or ND</v>
      </c>
      <c r="AY27" t="str">
        <f>IF(ISTEXT($AB27),_xlfn.XLOOKUP($AB27,'Included studies 2023 update'!$C:$C,'Included studies 2023 update'!AQ:AQ),"")</f>
        <v>Unclear or ND</v>
      </c>
      <c r="AZ27" t="str">
        <f>IF(ISTEXT($AB27),_xlfn.XLOOKUP($AB27,'Included studies 2023 update'!$C:$C,'Included studies 2023 update'!AR:AR),"")</f>
        <v>Unclear or ND</v>
      </c>
      <c r="BA27" t="str">
        <f>IF(ISTEXT($AB27),_xlfn.XLOOKUP($AB27,'Included studies 2023 update'!$C:$C,'Included studies 2023 update'!AS:AS),"")</f>
        <v>Unclear or ND</v>
      </c>
      <c r="BB27" t="str">
        <f>IF(ISTEXT($AB27),_xlfn.XLOOKUP($AB27,'Included studies 2023 update'!$C:$C,'Included studies 2023 update'!AT:AT),"")</f>
        <v>Unclear or ND</v>
      </c>
      <c r="BC27" t="str">
        <f>IF(ISTEXT($AB27),_xlfn.XLOOKUP($AB27,'Included studies 2023 update'!$C:$C,'Included studies 2023 update'!AU:AU),"")</f>
        <v>Unclear or ND</v>
      </c>
      <c r="BD27" t="str">
        <f>IF(ISTEXT($AB27),_xlfn.XLOOKUP($AB27,'Included studies 2023 update'!$C:$C,'Included studies 2023 update'!AV:AV),"")</f>
        <v>Unclear or ND</v>
      </c>
      <c r="BE27" t="str">
        <f>IF(ISTEXT($AB27),_xlfn.XLOOKUP($AB27,'Included studies 2023 update'!$C:$C,'Included studies 2023 update'!AW:AW),"")</f>
        <v>Unclear or ND</v>
      </c>
      <c r="BF27" t="str">
        <f>IF(ISTEXT($AB27),_xlfn.XLOOKUP($AB27,'Included studies 2023 update'!$C:$C,'Included studies 2023 update'!AX:AX),"")</f>
        <v>Unclear or ND</v>
      </c>
      <c r="BG27" t="str">
        <f>IF(ISTEXT($AB27),_xlfn.XLOOKUP($AB27,'Included studies 2023 update'!$C:$C,'Included studies 2023 update'!AY:AY),"")</f>
        <v>Unclear or ND</v>
      </c>
      <c r="BH27" t="str">
        <f>IF(ISTEXT($AB27),_xlfn.XLOOKUP($AB27,'Included studies 2023 update'!$C:$C,'Included studies 2023 update'!AZ:AZ),"")</f>
        <v>Unclear or ND</v>
      </c>
      <c r="BI27" t="str">
        <f>IF(ISTEXT($AB27),_xlfn.XLOOKUP($AB27,'Included studies 2023 update'!$C:$C,'Included studies 2023 update'!BA:BA),"")</f>
        <v>Unclear or ND</v>
      </c>
      <c r="BJ27" t="str">
        <f>IF(ISTEXT($AB27),_xlfn.XLOOKUP($AB27,'Included studies 2023 update'!$C:$C,'Included studies 2023 update'!BB:BB),"")</f>
        <v>Unclear or ND</v>
      </c>
      <c r="BK27" t="str">
        <f>IF(ISTEXT($AB27),_xlfn.XLOOKUP($AB27,'Included studies 2023 update'!$C:$C,'Included studies 2023 update'!BC:BC),"")</f>
        <v>Unclear or ND</v>
      </c>
      <c r="BL27" t="str">
        <f>IF(ISTEXT($AB27),_xlfn.XLOOKUP($AB27,'Included studies 2023 update'!$C:$C,'Included studies 2023 update'!BD:BD),"")</f>
        <v>Unclear or ND</v>
      </c>
      <c r="BM27" t="str">
        <f>IF(ISTEXT($AB27),_xlfn.XLOOKUP($AB27,'Included studies 2023 update'!$C:$C,'Included studies 2023 update'!BE:BE),"")</f>
        <v>Unclear or ND</v>
      </c>
      <c r="BN27">
        <f>IF(ISTEXT($AB27),_xlfn.XLOOKUP($AB27,'Included studies 2023 update'!$C:$C,'Included studies 2023 update'!BF:BF),"")</f>
        <v>62</v>
      </c>
      <c r="BO27">
        <f>IF(ISTEXT($AB27),_xlfn.XLOOKUP($AB27,'Included studies 2023 update'!$C:$C,'Included studies 2023 update'!BG:BG),"")</f>
        <v>6</v>
      </c>
      <c r="BP27">
        <f>IF(ISTEXT($AB27),_xlfn.XLOOKUP($AB27,'Included studies 2023 update'!$C:$C,'Included studies 2023 update'!BH:BH),"")</f>
        <v>6</v>
      </c>
      <c r="BQ27">
        <f>IF(ISTEXT($AB27),_xlfn.XLOOKUP($AB27,'Included studies 2023 update'!$C:$C,'Included studies 2023 update'!BI:BI),"")</f>
        <v>0</v>
      </c>
      <c r="BR27">
        <f>IF(ISTEXT($AB27),_xlfn.XLOOKUP($AB27,'Included studies 2023 update'!$C:$C,'Included studies 2023 update'!BJ:BJ),"")</f>
        <v>8</v>
      </c>
      <c r="BS27">
        <f>IF(ISTEXT($AB27),_xlfn.XLOOKUP($AB27,'Included studies 2023 update'!$C:$C,'Included studies 2023 update'!BK:BK),"")</f>
        <v>58</v>
      </c>
    </row>
    <row r="28" spans="1:71" ht="13" customHeight="1">
      <c r="A28" s="2">
        <v>33326670</v>
      </c>
      <c r="B28" s="11" t="s">
        <v>2753</v>
      </c>
      <c r="C28" s="2" t="s">
        <v>269</v>
      </c>
      <c r="D28" s="2" t="s">
        <v>2754</v>
      </c>
      <c r="E28" s="2" t="s">
        <v>2755</v>
      </c>
      <c r="F28" s="2">
        <v>2020</v>
      </c>
      <c r="G28" s="2" t="s">
        <v>10</v>
      </c>
      <c r="I28" s="2"/>
      <c r="Q28" s="2">
        <v>1652312</v>
      </c>
      <c r="R28">
        <f>IF(ISNUMBER(Q28), _xlfn.XLOOKUP(Q28,'Included studies 2023 update'!A:A,'Included studies 2023 update'!K:K)+_xlfn.XLOOKUP(Q28,'Included studies 2023 update'!A:A,'Included studies 2023 update'!L:L),"")</f>
        <v>25</v>
      </c>
      <c r="U28" s="162"/>
      <c r="V28" s="114" t="s">
        <v>3731</v>
      </c>
      <c r="W28" s="113" t="str">
        <f>""&amp;TEXT(SUM(BC:BC),"0")&amp;" ("&amp;TEXT(SUM(BC:BC)/(SUM(AX:BM)-SUM(BC:BC)),"0.0%")&amp;")"</f>
        <v>101 (6.0%)</v>
      </c>
      <c r="X28" s="113" t="str" cm="1">
        <f t="array" ref="X28">""&amp;TEXT(SUM(_xlfn._xlws.FILTER('Included studies 2023 update'!$AU:$AU,('Included studies 2023 update'!$E:$E="No")*('Included studies 2023 update'!$H:$H=X$2))),"0")&amp;" ("&amp;TEXT(SUM(_xlfn._xlws.FILTER('Included studies 2023 update'!$AU:$AU,('Included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101 (6.2%)</v>
      </c>
      <c r="Y28" s="113" t="str" cm="1">
        <f t="array" ref="Y28">""&amp;TEXT(SUM(_xlfn._xlws.FILTER('Included studies 2023 update'!$AU:$AU,('Included studies 2023 update'!$E:$E="No")*('Included studies 2023 update'!$H:$H=Y$2))),"0")&amp;" ("&amp;TEXT(SUM(_xlfn._xlws.FILTER('Included studies 2023 update'!$AU:$AU,('Included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8" s="113" t="str" cm="1">
        <f t="array" ref="Z28">""&amp;TEXT(SUM(_xlfn._xlws.FILTER('Included studies 2023 update'!$AU:$AU,('Included studies 2023 update'!$E:$E="No")*('Included studies 2023 update'!$H:$H=Z$2))),"0")&amp;" ("&amp;TEXT(SUM(_xlfn._xlws.FILTER('Included studies 2023 update'!$AU:$AU,('Included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8" s="82"/>
      <c r="AB28" t="str">
        <v>https://pubmed.ncbi.nlm.nih.gov/1652312/</v>
      </c>
      <c r="AC28">
        <f>IF(ISTEXT(AB28),_xlfn.XLOOKUP(AB28,'Included studies 2023 update'!C:C,'Included studies 2023 update'!J:J),"")</f>
        <v>25</v>
      </c>
      <c r="AD28" t="str">
        <f>IF(ISTEXT(AB28),_xlfn.XLOOKUP(AB28,'Included studies 2023 update'!C:C,'Included studies 2023 update'!E:E),"")</f>
        <v>No</v>
      </c>
      <c r="AE28" t="str">
        <f>IF(ISTEXT(AB28),_xlfn.XLOOKUP(AB28,'Included studies 2023 update'!C:C,'Included studies 2023 update'!I:I),"")</f>
        <v>Pediatric</v>
      </c>
      <c r="AF28" t="str">
        <f>IF(ISTEXT(AB28),_xlfn.XLOOKUP(AB28,'Included studies 2023 update'!C:C,'Included studies 2023 update'!U:U),"")</f>
        <v>IVIg</v>
      </c>
      <c r="AG28" t="str">
        <f>IF(ISTEXT(AB28),_xlfn.XLOOKUP(AB28,'Included studies 2023 update'!C:C,'Included studies 2023 update'!X:X),"")</f>
        <v>PBMC</v>
      </c>
      <c r="AH28" t="str">
        <f>IF(ISTEXT(AB28),_xlfn.XLOOKUP(AB28,'Included studies 2023 update'!C:C,'Included studies 2023 update'!Y:Y),"")</f>
        <v>Unclear or ND</v>
      </c>
      <c r="AI28" t="str">
        <f>IF(ISTEXT(AB28),_xlfn.XLOOKUP(AB28,'Included studies 2023 update'!C:C,'Included studies 2023 update'!Z:Z),"")</f>
        <v>Prospective</v>
      </c>
      <c r="AJ28">
        <f>IF(ISTEXT($AB28),_xlfn.XLOOKUP($AB28,'Included studies 2023 update'!$C:$C,'Included studies 2023 update'!AA:AA),"")</f>
        <v>10</v>
      </c>
      <c r="AK28">
        <f>IF(ISTEXT($AB28),_xlfn.XLOOKUP($AB28,'Included studies 2023 update'!$C:$C,'Included studies 2023 update'!AB:AB),"")</f>
        <v>0</v>
      </c>
      <c r="AL28">
        <f>IF(ISTEXT($AB28),_xlfn.XLOOKUP($AB28,'Included studies 2023 update'!$C:$C,'Included studies 2023 update'!AC:AC),"")</f>
        <v>1</v>
      </c>
      <c r="AM28">
        <f>IF(ISTEXT($AB28),_xlfn.XLOOKUP($AB28,'Included studies 2023 update'!$C:$C,'Included studies 2023 update'!AD:AD),"")</f>
        <v>3</v>
      </c>
      <c r="AN28">
        <f>IF(ISTEXT($AB28),_xlfn.XLOOKUP($AB28,'Included studies 2023 update'!$C:$C,'Included studies 2023 update'!AE:AE),"")</f>
        <v>0</v>
      </c>
      <c r="AO28">
        <f>IF(ISTEXT($AB28),_xlfn.XLOOKUP($AB28,'Included studies 2023 update'!$C:$C,'Included studies 2023 update'!AF:AF),"")</f>
        <v>0</v>
      </c>
      <c r="AP28">
        <f>IF(ISTEXT($AB28),_xlfn.XLOOKUP($AB28,'Included studies 2023 update'!$C:$C,'Included studies 2023 update'!AG:AG),"")</f>
        <v>0</v>
      </c>
      <c r="AQ28">
        <f>IF(ISTEXT($AB28),_xlfn.XLOOKUP($AB28,'Included studies 2023 update'!$C:$C,'Included studies 2023 update'!AH:AH),"")</f>
        <v>0</v>
      </c>
      <c r="AR28">
        <f>IF(ISTEXT($AB28),_xlfn.XLOOKUP($AB28,'Included studies 2023 update'!$C:$C,'Included studies 2023 update'!AI:AI),"")</f>
        <v>0</v>
      </c>
      <c r="AS28" s="85">
        <f>IF(ISTEXT($AB28),_xlfn.XLOOKUP($AB28,'Included studies 2023 update'!$C:$C,'Included studies 2023 update'!AJ:AJ),"")</f>
        <v>11</v>
      </c>
      <c r="AT28" s="85">
        <f>IF(ISTEXT($AB28),_xlfn.XLOOKUP($AB28,'Included studies 2023 update'!$C:$C,'Included studies 2023 update'!AK:AK),"")</f>
        <v>0</v>
      </c>
      <c r="AU28">
        <f>IF(ISTEXT($AB28),_xlfn.XLOOKUP($AB28,'Included studies 2023 update'!$C:$C,'Included studies 2023 update'!AL:AL),"")</f>
        <v>0</v>
      </c>
      <c r="AV28" t="str">
        <f>IF(ISTEXT($AB28),_xlfn.XLOOKUP($AB28,'Included studies 2023 update'!$C:$C,'Included studies 2023 update'!AM:AM),"")</f>
        <v>Unclear</v>
      </c>
      <c r="AW28" t="str">
        <f>IF(ISTEXT($AB28),_xlfn.XLOOKUP($AB28,'Included studies 2023 update'!$C:$C,'Included studies 2023 update'!AN:AN),"")</f>
        <v>1x per week</v>
      </c>
      <c r="AX28">
        <f>IF(ISTEXT($AB28),_xlfn.XLOOKUP($AB28,'Included studies 2023 update'!$C:$C,'Included studies 2023 update'!AP:AP),"")</f>
        <v>0</v>
      </c>
      <c r="AY28">
        <f>IF(ISTEXT($AB28),_xlfn.XLOOKUP($AB28,'Included studies 2023 update'!$C:$C,'Included studies 2023 update'!AQ:AQ),"")</f>
        <v>0</v>
      </c>
      <c r="AZ28">
        <f>IF(ISTEXT($AB28),_xlfn.XLOOKUP($AB28,'Included studies 2023 update'!$C:$C,'Included studies 2023 update'!AR:AR),"")</f>
        <v>19</v>
      </c>
      <c r="BA28">
        <f>IF(ISTEXT($AB28),_xlfn.XLOOKUP($AB28,'Included studies 2023 update'!$C:$C,'Included studies 2023 update'!AS:AS),"")</f>
        <v>0</v>
      </c>
      <c r="BB28">
        <f>IF(ISTEXT($AB28),_xlfn.XLOOKUP($AB28,'Included studies 2023 update'!$C:$C,'Included studies 2023 update'!AT:AT),"")</f>
        <v>0</v>
      </c>
      <c r="BC28">
        <f>IF(ISTEXT($AB28),_xlfn.XLOOKUP($AB28,'Included studies 2023 update'!$C:$C,'Included studies 2023 update'!AU:AU),"")</f>
        <v>0</v>
      </c>
      <c r="BD28">
        <f>IF(ISTEXT($AB28),_xlfn.XLOOKUP($AB28,'Included studies 2023 update'!$C:$C,'Included studies 2023 update'!AV:AV),"")</f>
        <v>0</v>
      </c>
      <c r="BE28">
        <f>IF(ISTEXT($AB28),_xlfn.XLOOKUP($AB28,'Included studies 2023 update'!$C:$C,'Included studies 2023 update'!AW:AW),"")</f>
        <v>0</v>
      </c>
      <c r="BF28">
        <f>IF(ISTEXT($AB28),_xlfn.XLOOKUP($AB28,'Included studies 2023 update'!$C:$C,'Included studies 2023 update'!AX:AX),"")</f>
        <v>0</v>
      </c>
      <c r="BG28">
        <f>IF(ISTEXT($AB28),_xlfn.XLOOKUP($AB28,'Included studies 2023 update'!$C:$C,'Included studies 2023 update'!AY:AY),"")</f>
        <v>0</v>
      </c>
      <c r="BH28">
        <f>IF(ISTEXT($AB28),_xlfn.XLOOKUP($AB28,'Included studies 2023 update'!$C:$C,'Included studies 2023 update'!AZ:AZ),"")</f>
        <v>5</v>
      </c>
      <c r="BI28">
        <f>IF(ISTEXT($AB28),_xlfn.XLOOKUP($AB28,'Included studies 2023 update'!$C:$C,'Included studies 2023 update'!BA:BA),"")</f>
        <v>0</v>
      </c>
      <c r="BJ28">
        <f>IF(ISTEXT($AB28),_xlfn.XLOOKUP($AB28,'Included studies 2023 update'!$C:$C,'Included studies 2023 update'!BB:BB),"")</f>
        <v>0</v>
      </c>
      <c r="BK28">
        <f>IF(ISTEXT($AB28),_xlfn.XLOOKUP($AB28,'Included studies 2023 update'!$C:$C,'Included studies 2023 update'!BC:BC),"")</f>
        <v>0</v>
      </c>
      <c r="BL28">
        <f>IF(ISTEXT($AB28),_xlfn.XLOOKUP($AB28,'Included studies 2023 update'!$C:$C,'Included studies 2023 update'!BD:BD),"")</f>
        <v>0</v>
      </c>
      <c r="BM28">
        <f>IF(ISTEXT($AB28),_xlfn.XLOOKUP($AB28,'Included studies 2023 update'!$C:$C,'Included studies 2023 update'!BE:BE),"")</f>
        <v>0</v>
      </c>
      <c r="BN28">
        <f>IF(ISTEXT($AB28),_xlfn.XLOOKUP($AB28,'Included studies 2023 update'!$C:$C,'Included studies 2023 update'!BF:BF),"")</f>
        <v>9</v>
      </c>
      <c r="BO28">
        <f>IF(ISTEXT($AB28),_xlfn.XLOOKUP($AB28,'Included studies 2023 update'!$C:$C,'Included studies 2023 update'!BG:BG),"")</f>
        <v>16</v>
      </c>
      <c r="BP28">
        <f>IF(ISTEXT($AB28),_xlfn.XLOOKUP($AB28,'Included studies 2023 update'!$C:$C,'Included studies 2023 update'!BH:BH),"")</f>
        <v>25</v>
      </c>
      <c r="BQ28">
        <f>IF(ISTEXT($AB28),_xlfn.XLOOKUP($AB28,'Included studies 2023 update'!$C:$C,'Included studies 2023 update'!BI:BI),"")</f>
        <v>0</v>
      </c>
      <c r="BR28">
        <f>IF(ISTEXT($AB28),_xlfn.XLOOKUP($AB28,'Included studies 2023 update'!$C:$C,'Included studies 2023 update'!BJ:BJ),"")</f>
        <v>0</v>
      </c>
      <c r="BS28">
        <f>IF(ISTEXT($AB28),_xlfn.XLOOKUP($AB28,'Included studies 2023 update'!$C:$C,'Included studies 2023 update'!BK:BK),"")</f>
        <v>0</v>
      </c>
    </row>
    <row r="29" spans="1:71" ht="13" customHeight="1">
      <c r="A29" s="2">
        <v>32663845</v>
      </c>
      <c r="B29" s="11" t="s">
        <v>2756</v>
      </c>
      <c r="C29" s="2" t="s">
        <v>36</v>
      </c>
      <c r="D29" s="2" t="s">
        <v>2757</v>
      </c>
      <c r="E29" s="2" t="s">
        <v>2758</v>
      </c>
      <c r="F29" s="2">
        <v>2020</v>
      </c>
      <c r="G29" s="2" t="s">
        <v>10</v>
      </c>
      <c r="I29" s="2"/>
      <c r="Q29" s="2">
        <v>22641196</v>
      </c>
      <c r="R29">
        <f>IF(ISNUMBER(Q29), _xlfn.XLOOKUP(Q29,'Included studies 2023 update'!A:A,'Included studies 2023 update'!K:K)+_xlfn.XLOOKUP(Q29,'Included studies 2023 update'!A:A,'Included studies 2023 update'!L:L),"")</f>
        <v>315</v>
      </c>
      <c r="U29" s="162"/>
      <c r="V29" s="114" t="s">
        <v>3732</v>
      </c>
      <c r="W29" s="113" t="str">
        <f>""&amp;TEXT(SUM(BD:BD),"0")&amp;" ("&amp;TEXT(SUM(BD:BD)/(SUM(AX:BM)-SUM(BD:BD)),"0.0%")&amp;")"</f>
        <v>136 (8.3%)</v>
      </c>
      <c r="X29" s="113" t="str" cm="1">
        <f t="array" ref="X29">""&amp;TEXT(SUM(_xlfn._xlws.FILTER('Included studies 2023 update'!$AV:$AV,('Included studies 2023 update'!$E:$E="No")*('Included studies 2023 update'!$H:$H=X$2))),"0")&amp;" ("&amp;TEXT(SUM(_xlfn._xlws.FILTER('Included studies 2023 update'!$AV:$AV,('Included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136 (8.3%)</v>
      </c>
      <c r="Y29" s="113" t="str" cm="1">
        <f t="array" ref="Y29">""&amp;TEXT(SUM(_xlfn._xlws.FILTER('Included studies 2023 update'!$AV:$AV,('Included studies 2023 update'!$E:$E="No")*('Included studies 2023 update'!$H:$H=Y$2))),"0")&amp;" ("&amp;TEXT(SUM(_xlfn._xlws.FILTER('Included studies 2023 update'!$AV:$AV,('Included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9" s="113" t="str" cm="1">
        <f t="array" ref="Z29">""&amp;TEXT(SUM(_xlfn._xlws.FILTER('Included studies 2023 update'!$AV:$AV,('Included studies 2023 update'!$E:$E="No")*('Included studies 2023 update'!$H:$H=Z$2))),"0")&amp;" ("&amp;TEXT(SUM(_xlfn._xlws.FILTER('Included studies 2023 update'!$AV:$AV,('Included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9" s="82"/>
      <c r="AB29" t="str">
        <v>https://pubmed.ncbi.nlm.nih.gov/22641196/</v>
      </c>
      <c r="AC29">
        <f>IF(ISTEXT(AB29),_xlfn.XLOOKUP(AB29,'Included studies 2023 update'!C:C,'Included studies 2023 update'!J:J),"")</f>
        <v>315</v>
      </c>
      <c r="AD29" t="str">
        <f>IF(ISTEXT(AB29),_xlfn.XLOOKUP(AB29,'Included studies 2023 update'!C:C,'Included studies 2023 update'!E:E),"")</f>
        <v>No</v>
      </c>
      <c r="AE29" t="str">
        <f>IF(ISTEXT(AB29),_xlfn.XLOOKUP(AB29,'Included studies 2023 update'!C:C,'Included studies 2023 update'!I:I),"")</f>
        <v>Both</v>
      </c>
      <c r="AF29" t="str">
        <f>IF(ISTEXT(AB29),_xlfn.XLOOKUP(AB29,'Included studies 2023 update'!C:C,'Included studies 2023 update'!U:U),"")</f>
        <v>Unclear or ND</v>
      </c>
      <c r="AG29" t="str">
        <f>IF(ISTEXT(AB29),_xlfn.XLOOKUP(AB29,'Included studies 2023 update'!C:C,'Included studies 2023 update'!X:X),"")</f>
        <v>Plasma</v>
      </c>
      <c r="AH29">
        <f>IF(ISTEXT(AB29),_xlfn.XLOOKUP(AB29,'Included studies 2023 update'!C:C,'Included studies 2023 update'!Y:Y),"")</f>
        <v>25</v>
      </c>
      <c r="AI29" t="str">
        <f>IF(ISTEXT(AB29),_xlfn.XLOOKUP(AB29,'Included studies 2023 update'!C:C,'Included studies 2023 update'!Z:Z),"")</f>
        <v>Prospective</v>
      </c>
      <c r="AJ29" t="str">
        <f>IF(ISTEXT($AB29),_xlfn.XLOOKUP($AB29,'Included studies 2023 update'!$C:$C,'Included studies 2023 update'!AA:AA),"")</f>
        <v>ND</v>
      </c>
      <c r="AK29" t="str">
        <f>IF(ISTEXT($AB29),_xlfn.XLOOKUP($AB29,'Included studies 2023 update'!$C:$C,'Included studies 2023 update'!AB:AB),"")</f>
        <v>ND</v>
      </c>
      <c r="AL29" t="str">
        <f>IF(ISTEXT($AB29),_xlfn.XLOOKUP($AB29,'Included studies 2023 update'!$C:$C,'Included studies 2023 update'!AC:AC),"")</f>
        <v>ND</v>
      </c>
      <c r="AM29" t="str">
        <f>IF(ISTEXT($AB29),_xlfn.XLOOKUP($AB29,'Included studies 2023 update'!$C:$C,'Included studies 2023 update'!AD:AD),"")</f>
        <v>ND</v>
      </c>
      <c r="AN29" t="str">
        <f>IF(ISTEXT($AB29),_xlfn.XLOOKUP($AB29,'Included studies 2023 update'!$C:$C,'Included studies 2023 update'!AE:AE),"")</f>
        <v>ND</v>
      </c>
      <c r="AO29" t="str">
        <f>IF(ISTEXT($AB29),_xlfn.XLOOKUP($AB29,'Included studies 2023 update'!$C:$C,'Included studies 2023 update'!AF:AF),"")</f>
        <v>ND</v>
      </c>
      <c r="AP29" t="str">
        <f>IF(ISTEXT($AB29),_xlfn.XLOOKUP($AB29,'Included studies 2023 update'!$C:$C,'Included studies 2023 update'!AG:AG),"")</f>
        <v>ND</v>
      </c>
      <c r="AQ29" t="str">
        <f>IF(ISTEXT($AB29),_xlfn.XLOOKUP($AB29,'Included studies 2023 update'!$C:$C,'Included studies 2023 update'!AH:AH),"")</f>
        <v>ND</v>
      </c>
      <c r="AR29" t="str">
        <f>IF(ISTEXT($AB29),_xlfn.XLOOKUP($AB29,'Included studies 2023 update'!$C:$C,'Included studies 2023 update'!AI:AI),"")</f>
        <v>ND</v>
      </c>
      <c r="AS29" s="85" t="str">
        <f>IF(ISTEXT($AB29),_xlfn.XLOOKUP($AB29,'Included studies 2023 update'!$C:$C,'Included studies 2023 update'!AJ:AJ),"")</f>
        <v>ND</v>
      </c>
      <c r="AT29" s="85" t="str">
        <f>IF(ISTEXT($AB29),_xlfn.XLOOKUP($AB29,'Included studies 2023 update'!$C:$C,'Included studies 2023 update'!AK:AK),"")</f>
        <v>ND</v>
      </c>
      <c r="AU29" t="str">
        <f>IF(ISTEXT($AB29),_xlfn.XLOOKUP($AB29,'Included studies 2023 update'!$C:$C,'Included studies 2023 update'!AL:AL),"")</f>
        <v>ND</v>
      </c>
      <c r="AV29" t="str">
        <f>IF(ISTEXT($AB29),_xlfn.XLOOKUP($AB29,'Included studies 2023 update'!$C:$C,'Included studies 2023 update'!AM:AM),"")</f>
        <v>Unclear</v>
      </c>
      <c r="AW29" t="str">
        <f>IF(ISTEXT($AB29),_xlfn.XLOOKUP($AB29,'Included studies 2023 update'!$C:$C,'Included studies 2023 update'!AN:AN),"")</f>
        <v>Unclear or ND</v>
      </c>
      <c r="AX29" t="str">
        <f>IF(ISTEXT($AB29),_xlfn.XLOOKUP($AB29,'Included studies 2023 update'!$C:$C,'Included studies 2023 update'!AP:AP),"")</f>
        <v>Unclear or ND</v>
      </c>
      <c r="AY29" t="str">
        <f>IF(ISTEXT($AB29),_xlfn.XLOOKUP($AB29,'Included studies 2023 update'!$C:$C,'Included studies 2023 update'!AQ:AQ),"")</f>
        <v>Unclear or ND</v>
      </c>
      <c r="AZ29" t="str">
        <f>IF(ISTEXT($AB29),_xlfn.XLOOKUP($AB29,'Included studies 2023 update'!$C:$C,'Included studies 2023 update'!AR:AR),"")</f>
        <v>Unclear or ND</v>
      </c>
      <c r="BA29" t="str">
        <f>IF(ISTEXT($AB29),_xlfn.XLOOKUP($AB29,'Included studies 2023 update'!$C:$C,'Included studies 2023 update'!AS:AS),"")</f>
        <v>Unclear or ND</v>
      </c>
      <c r="BB29" t="str">
        <f>IF(ISTEXT($AB29),_xlfn.XLOOKUP($AB29,'Included studies 2023 update'!$C:$C,'Included studies 2023 update'!AT:AT),"")</f>
        <v>Unclear or ND</v>
      </c>
      <c r="BC29" t="str">
        <f>IF(ISTEXT($AB29),_xlfn.XLOOKUP($AB29,'Included studies 2023 update'!$C:$C,'Included studies 2023 update'!AU:AU),"")</f>
        <v>Unclear or ND</v>
      </c>
      <c r="BD29" t="str">
        <f>IF(ISTEXT($AB29),_xlfn.XLOOKUP($AB29,'Included studies 2023 update'!$C:$C,'Included studies 2023 update'!AV:AV),"")</f>
        <v>Unclear or ND</v>
      </c>
      <c r="BE29" t="str">
        <f>IF(ISTEXT($AB29),_xlfn.XLOOKUP($AB29,'Included studies 2023 update'!$C:$C,'Included studies 2023 update'!AW:AW),"")</f>
        <v>Unclear or ND</v>
      </c>
      <c r="BF29" t="str">
        <f>IF(ISTEXT($AB29),_xlfn.XLOOKUP($AB29,'Included studies 2023 update'!$C:$C,'Included studies 2023 update'!AX:AX),"")</f>
        <v>Unclear or ND</v>
      </c>
      <c r="BG29" t="str">
        <f>IF(ISTEXT($AB29),_xlfn.XLOOKUP($AB29,'Included studies 2023 update'!$C:$C,'Included studies 2023 update'!AY:AY),"")</f>
        <v>Unclear or ND</v>
      </c>
      <c r="BH29" t="str">
        <f>IF(ISTEXT($AB29),_xlfn.XLOOKUP($AB29,'Included studies 2023 update'!$C:$C,'Included studies 2023 update'!AZ:AZ),"")</f>
        <v>Unclear or ND</v>
      </c>
      <c r="BI29" t="str">
        <f>IF(ISTEXT($AB29),_xlfn.XLOOKUP($AB29,'Included studies 2023 update'!$C:$C,'Included studies 2023 update'!BA:BA),"")</f>
        <v>Unclear or ND</v>
      </c>
      <c r="BJ29" t="str">
        <f>IF(ISTEXT($AB29),_xlfn.XLOOKUP($AB29,'Included studies 2023 update'!$C:$C,'Included studies 2023 update'!BB:BB),"")</f>
        <v>Unclear or ND</v>
      </c>
      <c r="BK29" t="str">
        <f>IF(ISTEXT($AB29),_xlfn.XLOOKUP($AB29,'Included studies 2023 update'!$C:$C,'Included studies 2023 update'!BC:BC),"")</f>
        <v>Unclear or ND</v>
      </c>
      <c r="BL29" t="str">
        <f>IF(ISTEXT($AB29),_xlfn.XLOOKUP($AB29,'Included studies 2023 update'!$C:$C,'Included studies 2023 update'!BD:BD),"")</f>
        <v>Unclear or ND</v>
      </c>
      <c r="BM29" t="str">
        <f>IF(ISTEXT($AB29),_xlfn.XLOOKUP($AB29,'Included studies 2023 update'!$C:$C,'Included studies 2023 update'!BE:BE),"")</f>
        <v>Unclear or ND</v>
      </c>
      <c r="BN29">
        <f>IF(ISTEXT($AB29),_xlfn.XLOOKUP($AB29,'Included studies 2023 update'!$C:$C,'Included studies 2023 update'!BF:BF),"")</f>
        <v>34</v>
      </c>
      <c r="BO29">
        <f>IF(ISTEXT($AB29),_xlfn.XLOOKUP($AB29,'Included studies 2023 update'!$C:$C,'Included studies 2023 update'!BG:BG),"")</f>
        <v>281</v>
      </c>
      <c r="BP29">
        <f>IF(ISTEXT($AB29),_xlfn.XLOOKUP($AB29,'Included studies 2023 update'!$C:$C,'Included studies 2023 update'!BH:BH),"")</f>
        <v>61</v>
      </c>
      <c r="BQ29">
        <f>IF(ISTEXT($AB29),_xlfn.XLOOKUP($AB29,'Included studies 2023 update'!$C:$C,'Included studies 2023 update'!BI:BI),"")</f>
        <v>21</v>
      </c>
      <c r="BR29">
        <f>IF(ISTEXT($AB29),_xlfn.XLOOKUP($AB29,'Included studies 2023 update'!$C:$C,'Included studies 2023 update'!BJ:BJ),"")</f>
        <v>233</v>
      </c>
      <c r="BS29">
        <f>IF(ISTEXT($AB29),_xlfn.XLOOKUP($AB29,'Included studies 2023 update'!$C:$C,'Included studies 2023 update'!BK:BK),"")</f>
        <v>0</v>
      </c>
    </row>
    <row r="30" spans="1:71" ht="13" customHeight="1">
      <c r="A30" s="2">
        <v>29020348</v>
      </c>
      <c r="B30" s="11" t="s">
        <v>2759</v>
      </c>
      <c r="C30" s="2" t="s">
        <v>482</v>
      </c>
      <c r="D30" s="2" t="s">
        <v>2760</v>
      </c>
      <c r="E30" s="2" t="s">
        <v>2761</v>
      </c>
      <c r="F30" s="2">
        <v>2018</v>
      </c>
      <c r="G30" s="2" t="s">
        <v>10</v>
      </c>
      <c r="I30" s="2"/>
      <c r="Q30" s="2">
        <v>15824982</v>
      </c>
      <c r="R30">
        <f>IF(ISNUMBER(Q30), _xlfn.XLOOKUP(Q30,'Included studies 2023 update'!A:A,'Included studies 2023 update'!K:K)+_xlfn.XLOOKUP(Q30,'Included studies 2023 update'!A:A,'Included studies 2023 update'!L:L),"")</f>
        <v>110</v>
      </c>
      <c r="U30" s="162"/>
      <c r="V30" s="114" t="s">
        <v>3733</v>
      </c>
      <c r="W30" s="113" t="str">
        <f>""&amp;TEXT(SUM(BE:BE),"0")&amp;" ("&amp;TEXT(SUM(BE:BE)/(SUM(AX:BM)-SUM(BE:BE)),"0.0%")&amp;")"</f>
        <v>34 (2.0%)</v>
      </c>
      <c r="X30" s="113" t="str" cm="1">
        <f t="array" ref="X30">""&amp;TEXT(SUM(_xlfn._xlws.FILTER('Included studies 2023 update'!$AW:$AW,('Included studies 2023 update'!$E:$E="No")*('Included studies 2023 update'!$H:$H=X$2))),"0")&amp;" ("&amp;TEXT(SUM(_xlfn._xlws.FILTER('Included studies 2023 update'!$AW:$AW,('Included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34 (2.1%)</v>
      </c>
      <c r="Y30" s="113" t="str" cm="1">
        <f t="array" ref="Y30">""&amp;TEXT(SUM(_xlfn._xlws.FILTER('Included studies 2023 update'!$AW:$AW,('Included studies 2023 update'!$E:$E="No")*('Included studies 2023 update'!$H:$H=Y$2))),"0")&amp;" ("&amp;TEXT(SUM(_xlfn._xlws.FILTER('Included studies 2023 update'!$AW:$AW,('Included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0" s="113" t="str" cm="1">
        <f t="array" ref="Z30">""&amp;TEXT(SUM(_xlfn._xlws.FILTER('Included studies 2023 update'!$AW:$AW,('Included studies 2023 update'!$E:$E="No")*('Included studies 2023 update'!$H:$H=Z$2))),"0")&amp;" ("&amp;TEXT(SUM(_xlfn._xlws.FILTER('Included studies 2023 update'!$AW:$AW,('Included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0" s="82"/>
      <c r="AB30" t="str">
        <v>https://pubmed.ncbi.nlm.nih.gov/15824982/</v>
      </c>
      <c r="AC30">
        <f>IF(ISTEXT(AB30),_xlfn.XLOOKUP(AB30,'Included studies 2023 update'!C:C,'Included studies 2023 update'!J:J),"")</f>
        <v>110</v>
      </c>
      <c r="AD30" t="str">
        <f>IF(ISTEXT(AB30),_xlfn.XLOOKUP(AB30,'Included studies 2023 update'!C:C,'Included studies 2023 update'!E:E),"")</f>
        <v>No</v>
      </c>
      <c r="AE30" t="str">
        <f>IF(ISTEXT(AB30),_xlfn.XLOOKUP(AB30,'Included studies 2023 update'!C:C,'Included studies 2023 update'!I:I),"")</f>
        <v>Both</v>
      </c>
      <c r="AF30" t="str">
        <f>IF(ISTEXT(AB30),_xlfn.XLOOKUP(AB30,'Included studies 2023 update'!C:C,'Included studies 2023 update'!U:U),"")</f>
        <v>ACY</v>
      </c>
      <c r="AG30" t="str">
        <f>IF(ISTEXT(AB30),_xlfn.XLOOKUP(AB30,'Included studies 2023 update'!C:C,'Included studies 2023 update'!X:X),"")</f>
        <v>Plasma</v>
      </c>
      <c r="AH30">
        <f>IF(ISTEXT(AB30),_xlfn.XLOOKUP(AB30,'Included studies 2023 update'!C:C,'Included studies 2023 update'!Y:Y),"")</f>
        <v>25</v>
      </c>
      <c r="AI30" t="str">
        <f>IF(ISTEXT(AB30),_xlfn.XLOOKUP(AB30,'Included studies 2023 update'!C:C,'Included studies 2023 update'!Z:Z),"")</f>
        <v>Prospective</v>
      </c>
      <c r="AJ30">
        <f>IF(ISTEXT($AB30),_xlfn.XLOOKUP($AB30,'Included studies 2023 update'!$C:$C,'Included studies 2023 update'!AA:AA),"")</f>
        <v>0</v>
      </c>
      <c r="AK30">
        <f>IF(ISTEXT($AB30),_xlfn.XLOOKUP($AB30,'Included studies 2023 update'!$C:$C,'Included studies 2023 update'!AB:AB),"")</f>
        <v>0</v>
      </c>
      <c r="AL30">
        <f>IF(ISTEXT($AB30),_xlfn.XLOOKUP($AB30,'Included studies 2023 update'!$C:$C,'Included studies 2023 update'!AC:AC),"")</f>
        <v>31</v>
      </c>
      <c r="AM30">
        <f>IF(ISTEXT($AB30),_xlfn.XLOOKUP($AB30,'Included studies 2023 update'!$C:$C,'Included studies 2023 update'!AD:AD),"")</f>
        <v>0</v>
      </c>
      <c r="AN30">
        <f>IF(ISTEXT($AB30),_xlfn.XLOOKUP($AB30,'Included studies 2023 update'!$C:$C,'Included studies 2023 update'!AE:AE),"")</f>
        <v>0</v>
      </c>
      <c r="AO30">
        <f>IF(ISTEXT($AB30),_xlfn.XLOOKUP($AB30,'Included studies 2023 update'!$C:$C,'Included studies 2023 update'!AF:AF),"")</f>
        <v>0</v>
      </c>
      <c r="AP30">
        <f>IF(ISTEXT($AB30),_xlfn.XLOOKUP($AB30,'Included studies 2023 update'!$C:$C,'Included studies 2023 update'!AG:AG),"")</f>
        <v>0</v>
      </c>
      <c r="AQ30">
        <f>IF(ISTEXT($AB30),_xlfn.XLOOKUP($AB30,'Included studies 2023 update'!$C:$C,'Included studies 2023 update'!AH:AH),"")</f>
        <v>0</v>
      </c>
      <c r="AR30">
        <f>IF(ISTEXT($AB30),_xlfn.XLOOKUP($AB30,'Included studies 2023 update'!$C:$C,'Included studies 2023 update'!AI:AI),"")</f>
        <v>0</v>
      </c>
      <c r="AS30" s="85">
        <f>IF(ISTEXT($AB30),_xlfn.XLOOKUP($AB30,'Included studies 2023 update'!$C:$C,'Included studies 2023 update'!AJ:AJ),"")</f>
        <v>59</v>
      </c>
      <c r="AT30" s="85">
        <f>IF(ISTEXT($AB30),_xlfn.XLOOKUP($AB30,'Included studies 2023 update'!$C:$C,'Included studies 2023 update'!AK:AK),"")</f>
        <v>0</v>
      </c>
      <c r="AU30">
        <f>IF(ISTEXT($AB30),_xlfn.XLOOKUP($AB30,'Included studies 2023 update'!$C:$C,'Included studies 2023 update'!AL:AL),"")</f>
        <v>20</v>
      </c>
      <c r="AV30">
        <f>IF(ISTEXT($AB30),_xlfn.XLOOKUP($AB30,'Included studies 2023 update'!$C:$C,'Included studies 2023 update'!AM:AM),"")</f>
        <v>100</v>
      </c>
      <c r="AW30" t="str">
        <f>IF(ISTEXT($AB30),_xlfn.XLOOKUP($AB30,'Included studies 2023 update'!$C:$C,'Included studies 2023 update'!AN:AN),"")</f>
        <v>1x per week</v>
      </c>
      <c r="AX30">
        <f>IF(ISTEXT($AB30),_xlfn.XLOOKUP($AB30,'Included studies 2023 update'!$C:$C,'Included studies 2023 update'!AP:AP),"")</f>
        <v>0</v>
      </c>
      <c r="AY30">
        <f>IF(ISTEXT($AB30),_xlfn.XLOOKUP($AB30,'Included studies 2023 update'!$C:$C,'Included studies 2023 update'!AQ:AQ),"")</f>
        <v>0</v>
      </c>
      <c r="AZ30">
        <f>IF(ISTEXT($AB30),_xlfn.XLOOKUP($AB30,'Included studies 2023 update'!$C:$C,'Included studies 2023 update'!AR:AR),"")</f>
        <v>0</v>
      </c>
      <c r="BA30">
        <f>IF(ISTEXT($AB30),_xlfn.XLOOKUP($AB30,'Included studies 2023 update'!$C:$C,'Included studies 2023 update'!AS:AS),"")</f>
        <v>0</v>
      </c>
      <c r="BB30">
        <f>IF(ISTEXT($AB30),_xlfn.XLOOKUP($AB30,'Included studies 2023 update'!$C:$C,'Included studies 2023 update'!AT:AT),"")</f>
        <v>0</v>
      </c>
      <c r="BC30">
        <f>IF(ISTEXT($AB30),_xlfn.XLOOKUP($AB30,'Included studies 2023 update'!$C:$C,'Included studies 2023 update'!AU:AU),"")</f>
        <v>0</v>
      </c>
      <c r="BD30">
        <f>IF(ISTEXT($AB30),_xlfn.XLOOKUP($AB30,'Included studies 2023 update'!$C:$C,'Included studies 2023 update'!AV:AV),"")</f>
        <v>0</v>
      </c>
      <c r="BE30">
        <f>IF(ISTEXT($AB30),_xlfn.XLOOKUP($AB30,'Included studies 2023 update'!$C:$C,'Included studies 2023 update'!AW:AW),"")</f>
        <v>0</v>
      </c>
      <c r="BF30">
        <f>IF(ISTEXT($AB30),_xlfn.XLOOKUP($AB30,'Included studies 2023 update'!$C:$C,'Included studies 2023 update'!AX:AX),"")</f>
        <v>0</v>
      </c>
      <c r="BG30">
        <f>IF(ISTEXT($AB30),_xlfn.XLOOKUP($AB30,'Included studies 2023 update'!$C:$C,'Included studies 2023 update'!AY:AY),"")</f>
        <v>0</v>
      </c>
      <c r="BH30">
        <f>IF(ISTEXT($AB30),_xlfn.XLOOKUP($AB30,'Included studies 2023 update'!$C:$C,'Included studies 2023 update'!AZ:AZ),"")</f>
        <v>99</v>
      </c>
      <c r="BI30">
        <f>IF(ISTEXT($AB30),_xlfn.XLOOKUP($AB30,'Included studies 2023 update'!$C:$C,'Included studies 2023 update'!BA:BA),"")</f>
        <v>0</v>
      </c>
      <c r="BJ30">
        <f>IF(ISTEXT($AB30),_xlfn.XLOOKUP($AB30,'Included studies 2023 update'!$C:$C,'Included studies 2023 update'!BB:BB),"")</f>
        <v>0</v>
      </c>
      <c r="BK30">
        <f>IF(ISTEXT($AB30),_xlfn.XLOOKUP($AB30,'Included studies 2023 update'!$C:$C,'Included studies 2023 update'!BC:BC),"")</f>
        <v>0</v>
      </c>
      <c r="BL30">
        <f>IF(ISTEXT($AB30),_xlfn.XLOOKUP($AB30,'Included studies 2023 update'!$C:$C,'Included studies 2023 update'!BD:BD),"")</f>
        <v>0</v>
      </c>
      <c r="BM30">
        <f>IF(ISTEXT($AB30),_xlfn.XLOOKUP($AB30,'Included studies 2023 update'!$C:$C,'Included studies 2023 update'!BE:BE),"")</f>
        <v>0</v>
      </c>
      <c r="BN30">
        <f>IF(ISTEXT($AB30),_xlfn.XLOOKUP($AB30,'Included studies 2023 update'!$C:$C,'Included studies 2023 update'!BF:BF),"")</f>
        <v>35</v>
      </c>
      <c r="BO30">
        <f>IF(ISTEXT($AB30),_xlfn.XLOOKUP($AB30,'Included studies 2023 update'!$C:$C,'Included studies 2023 update'!BG:BG),"")</f>
        <v>75</v>
      </c>
      <c r="BP30">
        <f>IF(ISTEXT($AB30),_xlfn.XLOOKUP($AB30,'Included studies 2023 update'!$C:$C,'Included studies 2023 update'!BH:BH),"")</f>
        <v>127</v>
      </c>
      <c r="BQ30">
        <f>IF(ISTEXT($AB30),_xlfn.XLOOKUP($AB30,'Included studies 2023 update'!$C:$C,'Included studies 2023 update'!BI:BI),"")</f>
        <v>0</v>
      </c>
      <c r="BR30">
        <f>IF(ISTEXT($AB30),_xlfn.XLOOKUP($AB30,'Included studies 2023 update'!$C:$C,'Included studies 2023 update'!BJ:BJ),"")</f>
        <v>69</v>
      </c>
      <c r="BS30">
        <f>IF(ISTEXT($AB30),_xlfn.XLOOKUP($AB30,'Included studies 2023 update'!$C:$C,'Included studies 2023 update'!BK:BK),"")</f>
        <v>0</v>
      </c>
    </row>
    <row r="31" spans="1:71" ht="13" customHeight="1">
      <c r="A31" s="2">
        <v>28209721</v>
      </c>
      <c r="B31" s="11" t="s">
        <v>2762</v>
      </c>
      <c r="C31" s="2" t="s">
        <v>308</v>
      </c>
      <c r="D31" s="2" t="s">
        <v>2763</v>
      </c>
      <c r="E31" s="2" t="s">
        <v>2761</v>
      </c>
      <c r="F31" s="2">
        <v>2017</v>
      </c>
      <c r="G31" s="2" t="s">
        <v>10</v>
      </c>
      <c r="I31" s="2"/>
      <c r="Q31" s="2">
        <v>30742492</v>
      </c>
      <c r="R31">
        <f>IF(ISNUMBER(Q31), _xlfn.XLOOKUP(Q31,'Included studies 2023 update'!A:A,'Included studies 2023 update'!K:K)+_xlfn.XLOOKUP(Q31,'Included studies 2023 update'!A:A,'Included studies 2023 update'!L:L),"")</f>
        <v>738</v>
      </c>
      <c r="U31" s="162"/>
      <c r="V31" s="114" t="s">
        <v>3734</v>
      </c>
      <c r="W31" s="113" t="str">
        <f>""&amp;TEXT(SUM(BF:BF),"0")&amp;" ("&amp;TEXT(SUM(BF:BF)/(SUM(AX:BM)-SUM(BF:BF)),"0.0%")&amp;")"</f>
        <v>172 (10.7%)</v>
      </c>
      <c r="X31" s="113" t="str" cm="1">
        <f t="array" ref="X31">""&amp;TEXT(SUM(_xlfn._xlws.FILTER('Included studies 2023 update'!$AX:$AX,('Included studies 2023 update'!$E:$E="No")*('Included studies 2023 update'!$H:$H=X$2))),"0")&amp;" ("&amp;TEXT(SUM(_xlfn._xlws.FILTER('Included studies 2023 update'!$AX:$AX,('Included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172 (10.5%)</v>
      </c>
      <c r="Y31" s="113" t="str" cm="1">
        <f t="array" ref="Y31">""&amp;TEXT(SUM(_xlfn._xlws.FILTER('Included studies 2023 update'!$AX:$AX,('Included studies 2023 update'!$E:$E="No")*('Included studies 2023 update'!$H:$H=Y$2))),"0")&amp;" ("&amp;TEXT(SUM(_xlfn._xlws.FILTER('Included studies 2023 update'!$AX:$AX,('Included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1" s="113" t="str" cm="1">
        <f t="array" ref="Z31">""&amp;TEXT(SUM(_xlfn._xlws.FILTER('Included studies 2023 update'!$AX:$AX,('Included studies 2023 update'!$E:$E="No")*('Included studies 2023 update'!$H:$H=Z$2))),"0")&amp;" ("&amp;TEXT(SUM(_xlfn._xlws.FILTER('Included studies 2023 update'!$AX:$AX,('Included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1" s="82"/>
      <c r="AB31" t="str">
        <v>https://pubmed.ncbi.nlm.nih.gov/30742492/</v>
      </c>
      <c r="AC31">
        <f>IF(ISTEXT(AB31),_xlfn.XLOOKUP(AB31,'Included studies 2023 update'!C:C,'Included studies 2023 update'!J:J),"")</f>
        <v>738</v>
      </c>
      <c r="AD31" t="str">
        <f>IF(ISTEXT(AB31),_xlfn.XLOOKUP(AB31,'Included studies 2023 update'!C:C,'Included studies 2023 update'!E:E),"")</f>
        <v>No</v>
      </c>
      <c r="AE31" t="str">
        <f>IF(ISTEXT(AB31),_xlfn.XLOOKUP(AB31,'Included studies 2023 update'!C:C,'Included studies 2023 update'!I:I),"")</f>
        <v>Both</v>
      </c>
      <c r="AF31" t="str">
        <f>IF(ISTEXT(AB31),_xlfn.XLOOKUP(AB31,'Included studies 2023 update'!C:C,'Included studies 2023 update'!U:U),"")</f>
        <v>Unclear or ND</v>
      </c>
      <c r="AG31" t="str">
        <f>IF(ISTEXT(AB31),_xlfn.XLOOKUP(AB31,'Included studies 2023 update'!C:C,'Included studies 2023 update'!X:X),"")</f>
        <v>Plasma</v>
      </c>
      <c r="AH31">
        <f>IF(ISTEXT(AB31),_xlfn.XLOOKUP(AB31,'Included studies 2023 update'!C:C,'Included studies 2023 update'!Y:Y),"")</f>
        <v>100</v>
      </c>
      <c r="AI31" t="str">
        <f>IF(ISTEXT(AB31),_xlfn.XLOOKUP(AB31,'Included studies 2023 update'!C:C,'Included studies 2023 update'!Z:Z),"")</f>
        <v>Retrospective</v>
      </c>
      <c r="AJ31">
        <f>IF(ISTEXT($AB31),_xlfn.XLOOKUP($AB31,'Included studies 2023 update'!$C:$C,'Included studies 2023 update'!AA:AA),"")</f>
        <v>0</v>
      </c>
      <c r="AK31">
        <f>IF(ISTEXT($AB31),_xlfn.XLOOKUP($AB31,'Included studies 2023 update'!$C:$C,'Included studies 2023 update'!AB:AB),"")</f>
        <v>0</v>
      </c>
      <c r="AL31">
        <f>IF(ISTEXT($AB31),_xlfn.XLOOKUP($AB31,'Included studies 2023 update'!$C:$C,'Included studies 2023 update'!AC:AC),"")</f>
        <v>0</v>
      </c>
      <c r="AM31">
        <f>IF(ISTEXT($AB31),_xlfn.XLOOKUP($AB31,'Included studies 2023 update'!$C:$C,'Included studies 2023 update'!AD:AD),"")</f>
        <v>0</v>
      </c>
      <c r="AN31">
        <f>IF(ISTEXT($AB31),_xlfn.XLOOKUP($AB31,'Included studies 2023 update'!$C:$C,'Included studies 2023 update'!AE:AE),"")</f>
        <v>0</v>
      </c>
      <c r="AO31">
        <f>IF(ISTEXT($AB31),_xlfn.XLOOKUP($AB31,'Included studies 2023 update'!$C:$C,'Included studies 2023 update'!AF:AF),"")</f>
        <v>0</v>
      </c>
      <c r="AP31">
        <f>IF(ISTEXT($AB31),_xlfn.XLOOKUP($AB31,'Included studies 2023 update'!$C:$C,'Included studies 2023 update'!AG:AG),"")</f>
        <v>0</v>
      </c>
      <c r="AQ31">
        <f>IF(ISTEXT($AB31),_xlfn.XLOOKUP($AB31,'Included studies 2023 update'!$C:$C,'Included studies 2023 update'!AH:AH),"")</f>
        <v>0</v>
      </c>
      <c r="AR31">
        <f>IF(ISTEXT($AB31),_xlfn.XLOOKUP($AB31,'Included studies 2023 update'!$C:$C,'Included studies 2023 update'!AI:AI),"")</f>
        <v>0</v>
      </c>
      <c r="AS31" s="85">
        <f>IF(ISTEXT($AB31),_xlfn.XLOOKUP($AB31,'Included studies 2023 update'!$C:$C,'Included studies 2023 update'!AJ:AJ),"")</f>
        <v>623</v>
      </c>
      <c r="AT31" s="85">
        <f>IF(ISTEXT($AB31),_xlfn.XLOOKUP($AB31,'Included studies 2023 update'!$C:$C,'Included studies 2023 update'!AK:AK),"")</f>
        <v>115</v>
      </c>
      <c r="AU31">
        <f>IF(ISTEXT($AB31),_xlfn.XLOOKUP($AB31,'Included studies 2023 update'!$C:$C,'Included studies 2023 update'!AL:AL),"")</f>
        <v>0</v>
      </c>
      <c r="AV31" t="str">
        <f>IF(ISTEXT($AB31),_xlfn.XLOOKUP($AB31,'Included studies 2023 update'!$C:$C,'Included studies 2023 update'!AM:AM),"")</f>
        <v>Unclear</v>
      </c>
      <c r="AW31" t="str">
        <f>IF(ISTEXT($AB31),_xlfn.XLOOKUP($AB31,'Included studies 2023 update'!$C:$C,'Included studies 2023 update'!AN:AN),"")</f>
        <v>Unclear or ND</v>
      </c>
      <c r="AX31" t="str">
        <f>IF(ISTEXT($AB31),_xlfn.XLOOKUP($AB31,'Included studies 2023 update'!$C:$C,'Included studies 2023 update'!AP:AP),"")</f>
        <v>Unclear or ND</v>
      </c>
      <c r="AY31" t="str">
        <f>IF(ISTEXT($AB31),_xlfn.XLOOKUP($AB31,'Included studies 2023 update'!$C:$C,'Included studies 2023 update'!AQ:AQ),"")</f>
        <v>Unclear or ND</v>
      </c>
      <c r="AZ31" t="str">
        <f>IF(ISTEXT($AB31),_xlfn.XLOOKUP($AB31,'Included studies 2023 update'!$C:$C,'Included studies 2023 update'!AR:AR),"")</f>
        <v>Unclear or ND</v>
      </c>
      <c r="BA31" t="str">
        <f>IF(ISTEXT($AB31),_xlfn.XLOOKUP($AB31,'Included studies 2023 update'!$C:$C,'Included studies 2023 update'!AS:AS),"")</f>
        <v>Unclear or ND</v>
      </c>
      <c r="BB31" t="str">
        <f>IF(ISTEXT($AB31),_xlfn.XLOOKUP($AB31,'Included studies 2023 update'!$C:$C,'Included studies 2023 update'!AT:AT),"")</f>
        <v>Unclear or ND</v>
      </c>
      <c r="BC31" t="str">
        <f>IF(ISTEXT($AB31),_xlfn.XLOOKUP($AB31,'Included studies 2023 update'!$C:$C,'Included studies 2023 update'!AU:AU),"")</f>
        <v>Unclear or ND</v>
      </c>
      <c r="BD31" t="str">
        <f>IF(ISTEXT($AB31),_xlfn.XLOOKUP($AB31,'Included studies 2023 update'!$C:$C,'Included studies 2023 update'!AV:AV),"")</f>
        <v>Unclear or ND</v>
      </c>
      <c r="BE31" t="str">
        <f>IF(ISTEXT($AB31),_xlfn.XLOOKUP($AB31,'Included studies 2023 update'!$C:$C,'Included studies 2023 update'!AW:AW),"")</f>
        <v>Unclear or ND</v>
      </c>
      <c r="BF31" t="str">
        <f>IF(ISTEXT($AB31),_xlfn.XLOOKUP($AB31,'Included studies 2023 update'!$C:$C,'Included studies 2023 update'!AX:AX),"")</f>
        <v>Unclear or ND</v>
      </c>
      <c r="BG31" t="str">
        <f>IF(ISTEXT($AB31),_xlfn.XLOOKUP($AB31,'Included studies 2023 update'!$C:$C,'Included studies 2023 update'!AY:AY),"")</f>
        <v>Unclear or ND</v>
      </c>
      <c r="BH31" t="str">
        <f>IF(ISTEXT($AB31),_xlfn.XLOOKUP($AB31,'Included studies 2023 update'!$C:$C,'Included studies 2023 update'!AZ:AZ),"")</f>
        <v>Unclear or ND</v>
      </c>
      <c r="BI31" t="str">
        <f>IF(ISTEXT($AB31),_xlfn.XLOOKUP($AB31,'Included studies 2023 update'!$C:$C,'Included studies 2023 update'!BA:BA),"")</f>
        <v>Unclear or ND</v>
      </c>
      <c r="BJ31" t="str">
        <f>IF(ISTEXT($AB31),_xlfn.XLOOKUP($AB31,'Included studies 2023 update'!$C:$C,'Included studies 2023 update'!BB:BB),"")</f>
        <v>Unclear or ND</v>
      </c>
      <c r="BK31" t="str">
        <f>IF(ISTEXT($AB31),_xlfn.XLOOKUP($AB31,'Included studies 2023 update'!$C:$C,'Included studies 2023 update'!BC:BC),"")</f>
        <v>Unclear or ND</v>
      </c>
      <c r="BL31" t="str">
        <f>IF(ISTEXT($AB31),_xlfn.XLOOKUP($AB31,'Included studies 2023 update'!$C:$C,'Included studies 2023 update'!BD:BD),"")</f>
        <v>Unclear or ND</v>
      </c>
      <c r="BM31" t="str">
        <f>IF(ISTEXT($AB31),_xlfn.XLOOKUP($AB31,'Included studies 2023 update'!$C:$C,'Included studies 2023 update'!BE:BE),"")</f>
        <v>Unclear or ND</v>
      </c>
      <c r="BN31">
        <f>IF(ISTEXT($AB31),_xlfn.XLOOKUP($AB31,'Included studies 2023 update'!$C:$C,'Included studies 2023 update'!BF:BF),"")</f>
        <v>220</v>
      </c>
      <c r="BO31">
        <f>IF(ISTEXT($AB31),_xlfn.XLOOKUP($AB31,'Included studies 2023 update'!$C:$C,'Included studies 2023 update'!BG:BG),"")</f>
        <v>518</v>
      </c>
      <c r="BP31">
        <f>IF(ISTEXT($AB31),_xlfn.XLOOKUP($AB31,'Included studies 2023 update'!$C:$C,'Included studies 2023 update'!BH:BH),"")</f>
        <v>87</v>
      </c>
      <c r="BQ31">
        <f>IF(ISTEXT($AB31),_xlfn.XLOOKUP($AB31,'Included studies 2023 update'!$C:$C,'Included studies 2023 update'!BI:BI),"")</f>
        <v>51</v>
      </c>
      <c r="BR31">
        <f>IF(ISTEXT($AB31),_xlfn.XLOOKUP($AB31,'Included studies 2023 update'!$C:$C,'Included studies 2023 update'!BJ:BJ),"")</f>
        <v>600</v>
      </c>
      <c r="BS31">
        <f>IF(ISTEXT($AB31),_xlfn.XLOOKUP($AB31,'Included studies 2023 update'!$C:$C,'Included studies 2023 update'!BK:BK),"")</f>
        <v>0</v>
      </c>
    </row>
    <row r="32" spans="1:71" ht="13" customHeight="1">
      <c r="A32" s="2">
        <v>31449472</v>
      </c>
      <c r="B32" s="11" t="s">
        <v>2764</v>
      </c>
      <c r="C32" s="2" t="s">
        <v>51</v>
      </c>
      <c r="D32" s="2" t="s">
        <v>2765</v>
      </c>
      <c r="E32" s="2" t="s">
        <v>2761</v>
      </c>
      <c r="F32" s="2">
        <v>2019</v>
      </c>
      <c r="G32" s="2" t="s">
        <v>10</v>
      </c>
      <c r="I32" s="2"/>
      <c r="Q32" s="2"/>
      <c r="R32" t="str">
        <f>IF(ISNUMBER(Q32), _xlfn.XLOOKUP(Q32,'Included studies 2023 update'!A:A,'Included studies 2023 update'!K:K)+_xlfn.XLOOKUP(Q32,'Included studies 2023 update'!A:A,'Included studies 2023 update'!L:L),"")</f>
        <v/>
      </c>
      <c r="U32" s="162"/>
      <c r="V32" s="114" t="s">
        <v>3735</v>
      </c>
      <c r="W32" s="113" t="str">
        <f>""&amp;TEXT(SUM(BG:BG),"0")&amp;" ("&amp;TEXT(SUM(BG:BG)/(SUM(AX:BM)-SUM(BG:BG)),"0.0%")&amp;")"</f>
        <v>26 (1.5%)</v>
      </c>
      <c r="X32" s="113" t="str" cm="1">
        <f t="array" ref="X32">""&amp;TEXT(SUM(_xlfn._xlws.FILTER('Included studies 2023 update'!$AY:$AY,('Included studies 2023 update'!$E:$E="No")*('Included studies 2023 update'!$H:$H=X$2))),"0")&amp;" ("&amp;TEXT(SUM(_xlfn._xlws.FILTER('Included studies 2023 update'!$AY:$AY,('Included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26 (1.6%)</v>
      </c>
      <c r="Y32" s="113" t="str" cm="1">
        <f t="array" ref="Y32">""&amp;TEXT(SUM(_xlfn._xlws.FILTER('Included studies 2023 update'!$AY:$AY,('Included studies 2023 update'!$E:$E="No")*('Included studies 2023 update'!$H:$H=Y$2))),"0")&amp;" ("&amp;TEXT(SUM(_xlfn._xlws.FILTER('Included studies 2023 update'!$AY:$AY,('Included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26 (12.4%)</v>
      </c>
      <c r="Z32" s="113" t="str" cm="1">
        <f t="array" ref="Z32">""&amp;TEXT(SUM(_xlfn._xlws.FILTER('Included studies 2023 update'!$AY:$AY,('Included studies 2023 update'!$E:$E="No")*('Included studies 2023 update'!$H:$H=Z$2))),"0")&amp;" ("&amp;TEXT(SUM(_xlfn._xlws.FILTER('Included studies 2023 update'!$AY:$AY,('Included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26 (8.7%)</v>
      </c>
      <c r="AA32" s="82"/>
      <c r="AB32" t="str">
        <v>https://pubmed.ncbi.nlm.nih.gov/27703035/</v>
      </c>
      <c r="AC32">
        <f>IF(ISTEXT(AB32),_xlfn.XLOOKUP(AB32,'Included studies 2023 update'!C:C,'Included studies 2023 update'!J:J),"")</f>
        <v>20</v>
      </c>
      <c r="AD32" t="str">
        <f>IF(ISTEXT(AB32),_xlfn.XLOOKUP(AB32,'Included studies 2023 update'!C:C,'Included studies 2023 update'!E:E),"")</f>
        <v>Yes</v>
      </c>
      <c r="AE32" t="str">
        <f>IF(ISTEXT(AB32),_xlfn.XLOOKUP(AB32,'Included studies 2023 update'!C:C,'Included studies 2023 update'!I:I),"")</f>
        <v>Both</v>
      </c>
      <c r="AF32" t="str">
        <f>IF(ISTEXT(AB32),_xlfn.XLOOKUP(AB32,'Included studies 2023 update'!C:C,'Included studies 2023 update'!U:U),"")</f>
        <v>Unclear or ND</v>
      </c>
      <c r="AG32" t="str">
        <f>IF(ISTEXT(AB32),_xlfn.XLOOKUP(AB32,'Included studies 2023 update'!C:C,'Included studies 2023 update'!X:X),"")</f>
        <v>PBMC</v>
      </c>
      <c r="AH32" t="str">
        <f>IF(ISTEXT(AB32),_xlfn.XLOOKUP(AB32,'Included studies 2023 update'!C:C,'Included studies 2023 update'!Y:Y),"")</f>
        <v>Unclear or ND</v>
      </c>
      <c r="AI32">
        <f>IF(ISTEXT(AB32),_xlfn.XLOOKUP(AB32,'Included studies 2023 update'!C:C,'Included studies 2023 update'!Z:Z),"")</f>
        <v>0</v>
      </c>
      <c r="BM32" s="62"/>
    </row>
    <row r="33" spans="1:65" ht="13" customHeight="1">
      <c r="A33" s="2">
        <v>23243510</v>
      </c>
      <c r="B33" s="11" t="s">
        <v>2766</v>
      </c>
      <c r="C33" s="2" t="s">
        <v>462</v>
      </c>
      <c r="D33" s="2" t="s">
        <v>2767</v>
      </c>
      <c r="E33" s="2" t="s">
        <v>2768</v>
      </c>
      <c r="F33" s="2">
        <v>2012</v>
      </c>
      <c r="G33" s="2" t="s">
        <v>10</v>
      </c>
      <c r="I33" s="2"/>
      <c r="Q33" s="2"/>
      <c r="R33" t="str">
        <f>IF(ISNUMBER(Q33), _xlfn.XLOOKUP(Q33,'Included studies 2023 update'!A:A,'Included studies 2023 update'!K:K)+_xlfn.XLOOKUP(Q33,'Included studies 2023 update'!A:A,'Included studies 2023 update'!L:L),"")</f>
        <v/>
      </c>
      <c r="U33" s="162"/>
      <c r="V33" s="114" t="s">
        <v>3736</v>
      </c>
      <c r="W33" s="113" t="str">
        <f>""&amp;TEXT(SUM(BH:BH),"0")&amp;" ("&amp;TEXT(SUM(BH:BH)/(SUM(AX:BM)-SUM(BH:BH)),"0.0%")&amp;")"</f>
        <v>436 (32.5%)</v>
      </c>
      <c r="X33" s="113" t="str" cm="1">
        <f t="array" ref="X33">""&amp;TEXT(SUM(_xlfn._xlws.FILTER('Included studies 2023 update'!$AZ:$AZ,('Included studies 2023 update'!$E:$E="No")*('Included studies 2023 update'!$H:$H=X$2))),"0")&amp;" ("&amp;TEXT(SUM(_xlfn._xlws.FILTER('Included studies 2023 update'!$AZ:$AZ,('Included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431 (26.3%)</v>
      </c>
      <c r="Y33" s="113" t="str" cm="1">
        <f t="array" ref="Y33">""&amp;TEXT(SUM(_xlfn._xlws.FILTER('Included studies 2023 update'!$AZ:$AZ,('Included studies 2023 update'!$E:$E="No")*('Included studies 2023 update'!$H:$H=Y$2))),"0")&amp;" ("&amp;TEXT(SUM(_xlfn._xlws.FILTER('Included studies 2023 update'!$AZ:$AZ,('Included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 (2.4%)</v>
      </c>
      <c r="Z33" s="113" t="str" cm="1">
        <f t="array" ref="Z33">""&amp;TEXT(SUM(_xlfn._xlws.FILTER('Included studies 2023 update'!$AZ:$AZ,('Included studies 2023 update'!$E:$E="No")*('Included studies 2023 update'!$H:$H=Z$2))),"0")&amp;" ("&amp;TEXT(SUM(_xlfn._xlws.FILTER('Included studies 2023 update'!$AZ:$AZ,('Included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3" s="82"/>
      <c r="AB33" t="str">
        <v>https://pubmed.ncbi.nlm.nih.gov/29297965/</v>
      </c>
      <c r="AC33">
        <f>IF(ISTEXT(AB33),_xlfn.XLOOKUP(AB33,'Included studies 2023 update'!C:C,'Included studies 2023 update'!J:J),"")</f>
        <v>171</v>
      </c>
      <c r="AD33" t="str">
        <f>IF(ISTEXT(AB33),_xlfn.XLOOKUP(AB33,'Included studies 2023 update'!C:C,'Included studies 2023 update'!E:E),"")</f>
        <v>Yes</v>
      </c>
      <c r="AE33" t="str">
        <f>IF(ISTEXT(AB33),_xlfn.XLOOKUP(AB33,'Included studies 2023 update'!C:C,'Included studies 2023 update'!I:I),"")</f>
        <v>Pediatric</v>
      </c>
      <c r="AF33" t="str">
        <f>IF(ISTEXT(AB33),_xlfn.XLOOKUP(AB33,'Included studies 2023 update'!C:C,'Included studies 2023 update'!U:U),"")</f>
        <v>ACY</v>
      </c>
      <c r="AG33" t="str">
        <f>IF(ISTEXT(AB33),_xlfn.XLOOKUP(AB33,'Included studies 2023 update'!C:C,'Included studies 2023 update'!X:X),"")</f>
        <v>Plasma</v>
      </c>
      <c r="AH33" t="str">
        <f>IF(ISTEXT(AB33),_xlfn.XLOOKUP(AB33,'Included studies 2023 update'!C:C,'Included studies 2023 update'!Y:Y),"")</f>
        <v>Unclear or ND</v>
      </c>
      <c r="AI33">
        <f>IF(ISTEXT(AB33),_xlfn.XLOOKUP(AB33,'Included studies 2023 update'!C:C,'Included studies 2023 update'!Z:Z),"")</f>
        <v>0</v>
      </c>
      <c r="BM33" s="62"/>
    </row>
    <row r="34" spans="1:65" ht="13" customHeight="1">
      <c r="A34" s="2">
        <v>29542206</v>
      </c>
      <c r="B34" s="11" t="s">
        <v>2769</v>
      </c>
      <c r="C34" s="2" t="s">
        <v>414</v>
      </c>
      <c r="D34" s="2" t="s">
        <v>2770</v>
      </c>
      <c r="E34" s="2" t="s">
        <v>2771</v>
      </c>
      <c r="F34" s="2">
        <v>2018</v>
      </c>
      <c r="G34" s="2" t="s">
        <v>10</v>
      </c>
      <c r="I34" s="2"/>
      <c r="Q34" s="2"/>
      <c r="R34" t="str">
        <f>IF(ISNUMBER(Q34), _xlfn.XLOOKUP(Q34,'Included studies 2023 update'!A:A,'Included studies 2023 update'!K:K)+_xlfn.XLOOKUP(Q34,'Included studies 2023 update'!A:A,'Included studies 2023 update'!L:L),"")</f>
        <v/>
      </c>
      <c r="U34" s="162"/>
      <c r="V34" s="114" t="s">
        <v>3737</v>
      </c>
      <c r="W34" s="113" t="str">
        <f>""&amp;TEXT(SUM(BI:BI),"0")&amp;" ("&amp;TEXT(SUM(BI:BI)/(SUM(AX:BM)-SUM(BI:BI)),"0.0%")&amp;")"</f>
        <v>82 (4.8%)</v>
      </c>
      <c r="X34" s="113" t="str" cm="1">
        <f t="array" ref="X34">""&amp;TEXT(SUM(_xlfn._xlws.FILTER('Included studies 2023 update'!$BA:$BA,('Included studies 2023 update'!$E:$E="No")*('Included studies 2023 update'!$H:$H=X$2))),"0")&amp;" ("&amp;TEXT(SUM(_xlfn._xlws.FILTER('Included studies 2023 update'!$BA:$BA,('Included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82 (5.0%)</v>
      </c>
      <c r="Y34" s="113" t="str" cm="1">
        <f t="array" ref="Y34">""&amp;TEXT(SUM(_xlfn._xlws.FILTER('Included studies 2023 update'!$BA:$BA,('Included studies 2023 update'!$E:$E="No")*('Included studies 2023 update'!$H:$H=Y$2))),"0")&amp;" ("&amp;TEXT(SUM(_xlfn._xlws.FILTER('Included studies 2023 update'!$BA:$BA,('Included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4" s="113" t="str" cm="1">
        <f t="array" ref="Z34">""&amp;TEXT(SUM(_xlfn._xlws.FILTER('Included studies 2023 update'!$BA:$BA,('Included studies 2023 update'!$E:$E="No")*('Included studies 2023 update'!$H:$H=Z$2))),"0")&amp;" ("&amp;TEXT(SUM(_xlfn._xlws.FILTER('Included studies 2023 update'!$BA:$BA,('Included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4" s="82"/>
      <c r="AB34" t="str">
        <v>https://pubmed.ncbi.nlm.nih.gov/8382723/</v>
      </c>
      <c r="AC34">
        <f>IF(ISTEXT(AB34),_xlfn.XLOOKUP(AB34,'Included studies 2023 update'!C:C,'Included studies 2023 update'!J:J),"")</f>
        <v>16</v>
      </c>
      <c r="AD34" t="str">
        <f>IF(ISTEXT(AB34),_xlfn.XLOOKUP(AB34,'Included studies 2023 update'!C:C,'Included studies 2023 update'!E:E),"")</f>
        <v>Yes</v>
      </c>
      <c r="AE34" t="str">
        <f>IF(ISTEXT(AB34),_xlfn.XLOOKUP(AB34,'Included studies 2023 update'!C:C,'Included studies 2023 update'!I:I),"")</f>
        <v>Adult</v>
      </c>
      <c r="AF34" t="str">
        <f>IF(ISTEXT(AB34),_xlfn.XLOOKUP(AB34,'Included studies 2023 update'!C:C,'Included studies 2023 update'!U:U),"")</f>
        <v>ACY</v>
      </c>
      <c r="AG34" t="str">
        <f>IF(ISTEXT(AB34),_xlfn.XLOOKUP(AB34,'Included studies 2023 update'!C:C,'Included studies 2023 update'!X:X),"")</f>
        <v>Plasma</v>
      </c>
      <c r="AH34" t="str">
        <f>IF(ISTEXT(AB34),_xlfn.XLOOKUP(AB34,'Included studies 2023 update'!C:C,'Included studies 2023 update'!Y:Y),"")</f>
        <v>Unclear or ND</v>
      </c>
      <c r="AI34">
        <f>IF(ISTEXT(AB34),_xlfn.XLOOKUP(AB34,'Included studies 2023 update'!C:C,'Included studies 2023 update'!Z:Z),"")</f>
        <v>0</v>
      </c>
      <c r="BM34" s="62"/>
    </row>
    <row r="35" spans="1:65" ht="13" customHeight="1">
      <c r="A35" s="2">
        <v>23514960</v>
      </c>
      <c r="B35" s="11" t="s">
        <v>2772</v>
      </c>
      <c r="C35" s="2" t="s">
        <v>118</v>
      </c>
      <c r="D35" s="2" t="s">
        <v>2773</v>
      </c>
      <c r="E35" s="2" t="s">
        <v>2774</v>
      </c>
      <c r="F35" s="2">
        <v>2013</v>
      </c>
      <c r="G35" s="2" t="s">
        <v>10</v>
      </c>
      <c r="I35" s="2"/>
      <c r="Q35" s="2"/>
      <c r="R35" t="str">
        <f>IF(ISNUMBER(Q35), _xlfn.XLOOKUP(Q35,'Included studies 2023 update'!A:A,'Included studies 2023 update'!K:K)+_xlfn.XLOOKUP(Q35,'Included studies 2023 update'!A:A,'Included studies 2023 update'!L:L),"")</f>
        <v/>
      </c>
      <c r="U35" s="162"/>
      <c r="V35" s="114" t="s">
        <v>3738</v>
      </c>
      <c r="W35" s="113" t="str">
        <f>""&amp;TEXT(SUM(BJ:BJ),"0")&amp;" ("&amp;TEXT(SUM(BJ:BJ)/(SUM(AX:BM)-SUM(BJ:BJ)),"0.0%")&amp;")"</f>
        <v>53 (3.1%)</v>
      </c>
      <c r="X35" s="113" t="str" cm="1">
        <f t="array" ref="X35">""&amp;TEXT(SUM(_xlfn._xlws.FILTER('Included studies 2023 update'!$BB:$BB,('Included studies 2023 update'!$E:$E="No")*('Included studies 2023 update'!$H:$H=X$2))),"0")&amp;" ("&amp;TEXT(SUM(_xlfn._xlws.FILTER('Included studies 2023 update'!$BB:$BB,('Included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5" s="113" t="str" cm="1">
        <f t="array" ref="Y35">""&amp;TEXT(SUM(_xlfn._xlws.FILTER('Included studies 2023 update'!$BB:$BB,('Included studies 2023 update'!$E:$E="No")*('Included studies 2023 update'!$H:$H=Y$2))),"0")&amp;" ("&amp;TEXT(SUM(_xlfn._xlws.FILTER('Included studies 2023 update'!$BB:$BB,('Included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5" s="113" t="str" cm="1">
        <f t="array" ref="Z35">""&amp;TEXT(SUM(_xlfn._xlws.FILTER('Included studies 2023 update'!$BB:$BB,('Included studies 2023 update'!$E:$E="No")*('Included studies 2023 update'!$H:$H=Z$2))),"0")&amp;" ("&amp;TEXT(SUM(_xlfn._xlws.FILTER('Included studies 2023 update'!$BB:$BB,('Included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53 (17.8%)</v>
      </c>
      <c r="AA35" s="82"/>
      <c r="AB35" t="str">
        <v>https://pubmed.ncbi.nlm.nih.gov/20872080/</v>
      </c>
      <c r="AC35">
        <f>IF(ISTEXT(AB35),_xlfn.XLOOKUP(AB35,'Included studies 2023 update'!C:C,'Included studies 2023 update'!J:J),"")</f>
        <v>7</v>
      </c>
      <c r="AD35" t="str">
        <f>IF(ISTEXT(AB35),_xlfn.XLOOKUP(AB35,'Included studies 2023 update'!C:C,'Included studies 2023 update'!E:E),"")</f>
        <v>Yes</v>
      </c>
      <c r="AE35" t="str">
        <f>IF(ISTEXT(AB35),_xlfn.XLOOKUP(AB35,'Included studies 2023 update'!C:C,'Included studies 2023 update'!I:I),"")</f>
        <v>Adult </v>
      </c>
      <c r="AF35" t="str">
        <f>IF(ISTEXT(AB35),_xlfn.XLOOKUP(AB35,'Included studies 2023 update'!C:C,'Included studies 2023 update'!U:U),"")</f>
        <v>ACY</v>
      </c>
      <c r="AG35" t="str">
        <f>IF(ISTEXT(AB35),_xlfn.XLOOKUP(AB35,'Included studies 2023 update'!C:C,'Included studies 2023 update'!X:X),"")</f>
        <v>Plasma</v>
      </c>
      <c r="AH35" t="str">
        <f>IF(ISTEXT(AB35),_xlfn.XLOOKUP(AB35,'Included studies 2023 update'!C:C,'Included studies 2023 update'!Y:Y),"")</f>
        <v>Unclear or ND</v>
      </c>
      <c r="AI35">
        <f>IF(ISTEXT(AB35),_xlfn.XLOOKUP(AB35,'Included studies 2023 update'!C:C,'Included studies 2023 update'!Z:Z),"")</f>
        <v>0</v>
      </c>
      <c r="BM35" s="62"/>
    </row>
    <row r="36" spans="1:65" ht="13" customHeight="1">
      <c r="A36" s="2">
        <v>8652850</v>
      </c>
      <c r="B36" s="11" t="s">
        <v>2775</v>
      </c>
      <c r="C36" s="2" t="s">
        <v>159</v>
      </c>
      <c r="D36" s="2" t="s">
        <v>2776</v>
      </c>
      <c r="E36" s="2" t="s">
        <v>2777</v>
      </c>
      <c r="F36" s="2">
        <v>1996</v>
      </c>
      <c r="G36" s="2" t="s">
        <v>10</v>
      </c>
      <c r="I36" s="2"/>
      <c r="Q36" s="2"/>
      <c r="R36" t="str">
        <f>IF(ISNUMBER(Q36), _xlfn.XLOOKUP(Q36,'Included studies 2023 update'!A:A,'Included studies 2023 update'!K:K)+_xlfn.XLOOKUP(Q36,'Included studies 2023 update'!A:A,'Included studies 2023 update'!L:L),"")</f>
        <v/>
      </c>
      <c r="U36" s="162"/>
      <c r="V36" s="114" t="s">
        <v>3739</v>
      </c>
      <c r="W36" s="113" t="str">
        <f>""&amp;TEXT(SUM(BK:BK),"0")&amp;" ("&amp;TEXT(SUM(BK:BK)/(SUM(AX:BM)-SUM(BK:BK)),"0.0%")&amp;")"</f>
        <v>3 (0.2%)</v>
      </c>
      <c r="X36" s="113" t="str" cm="1">
        <f t="array" ref="X36">""&amp;TEXT(SUM(_xlfn._xlws.FILTER('Included studies 2023 update'!$BC:$BC,('Included studies 2023 update'!$E:$E="No")*('Included studies 2023 update'!$H:$H=X$2))),"0")&amp;" ("&amp;TEXT(SUM(_xlfn._xlws.FILTER('Included studies 2023 update'!$BC:$BC,('Included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36" s="113" t="str" cm="1">
        <f t="array" ref="Y36">""&amp;TEXT(SUM(_xlfn._xlws.FILTER('Included studies 2023 update'!$BC:$BC,('Included studies 2023 update'!$E:$E="No")*('Included studies 2023 update'!$H:$H=Y$2))),"0")&amp;" ("&amp;TEXT(SUM(_xlfn._xlws.FILTER('Included studies 2023 update'!$BC:$BC,('Included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6" s="113" t="str" cm="1">
        <f t="array" ref="Z36">""&amp;TEXT(SUM(_xlfn._xlws.FILTER('Included studies 2023 update'!$BC:$BC,('Included studies 2023 update'!$E:$E="No")*('Included studies 2023 update'!$H:$H=Z$2))),"0")&amp;" ("&amp;TEXT(SUM(_xlfn._xlws.FILTER('Included studies 2023 update'!$BC:$BC,('Included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6" s="82"/>
      <c r="AB36" t="str">
        <v>https://pubmed.ncbi.nlm.nih.gov/31449472/</v>
      </c>
      <c r="AC36">
        <f>IF(ISTEXT(AB36),_xlfn.XLOOKUP(AB36,'Included studies 2023 update'!C:C,'Included studies 2023 update'!J:J),"")</f>
        <v>553</v>
      </c>
      <c r="AD36" t="str">
        <f>IF(ISTEXT(AB36),_xlfn.XLOOKUP(AB36,'Included studies 2023 update'!C:C,'Included studies 2023 update'!E:E),"")</f>
        <v>Yes</v>
      </c>
      <c r="AE36" t="str">
        <f>IF(ISTEXT(AB36),_xlfn.XLOOKUP(AB36,'Included studies 2023 update'!C:C,'Included studies 2023 update'!I:I),"")</f>
        <v>Adult</v>
      </c>
      <c r="AF36" t="str">
        <f>IF(ISTEXT(AB36),_xlfn.XLOOKUP(AB36,'Included studies 2023 update'!C:C,'Included studies 2023 update'!U:U),"")</f>
        <v>Unclear or ND</v>
      </c>
      <c r="AG36" t="str">
        <f>IF(ISTEXT(AB36),_xlfn.XLOOKUP(AB36,'Included studies 2023 update'!C:C,'Included studies 2023 update'!X:X),"")</f>
        <v>BALF</v>
      </c>
      <c r="AH36">
        <f>IF(ISTEXT(AB36),_xlfn.XLOOKUP(AB36,'Included studies 2023 update'!C:C,'Included studies 2023 update'!Y:Y),"")</f>
        <v>50</v>
      </c>
      <c r="AI36">
        <f>IF(ISTEXT(AB36),_xlfn.XLOOKUP(AB36,'Included studies 2023 update'!C:C,'Included studies 2023 update'!Z:Z),"")</f>
        <v>0</v>
      </c>
      <c r="BM36" s="62"/>
    </row>
    <row r="37" spans="1:65" ht="13" customHeight="1">
      <c r="A37" s="2">
        <v>18367292</v>
      </c>
      <c r="B37" s="11" t="s">
        <v>2778</v>
      </c>
      <c r="C37" s="2" t="s">
        <v>207</v>
      </c>
      <c r="D37" s="2" t="s">
        <v>2779</v>
      </c>
      <c r="E37" s="2" t="s">
        <v>2780</v>
      </c>
      <c r="F37" s="2">
        <v>2008</v>
      </c>
      <c r="G37" s="2" t="s">
        <v>10</v>
      </c>
      <c r="I37" s="2"/>
      <c r="Q37" s="2"/>
      <c r="R37" t="str">
        <f>IF(ISNUMBER(Q37), _xlfn.XLOOKUP(Q37,'Included studies 2023 update'!A:A,'Included studies 2023 update'!K:K)+_xlfn.XLOOKUP(Q37,'Included studies 2023 update'!A:A,'Included studies 2023 update'!L:L),"")</f>
        <v/>
      </c>
      <c r="U37" s="162"/>
      <c r="V37" s="128" t="s">
        <v>3740</v>
      </c>
      <c r="W37" s="113" t="str">
        <f>""&amp;TEXT(SUM(BL:BL),"0")&amp;" ("&amp;TEXT(SUM(BL:BL)/(SUM(AX:BM)-SUM(BL:BL)),"0.0%")&amp;")"</f>
        <v>174 (10.9%)</v>
      </c>
      <c r="X37" s="113" t="str" cm="1">
        <f t="array" ref="X37">""&amp;TEXT(SUM(_xlfn._xlws.FILTER('Included studies 2023 update'!$BD:$BD,('Included studies 2023 update'!$E:$E="No")*('Included studies 2023 update'!$H:$H=X$2))),"0")&amp;" ("&amp;TEXT(SUM(_xlfn._xlws.FILTER('Included studies 2023 update'!$BD:$BD,('Included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174 (10.6%)</v>
      </c>
      <c r="Y37" s="113" t="str" cm="1">
        <f t="array" ref="Y37">""&amp;TEXT(SUM(_xlfn._xlws.FILTER('Included studies 2023 update'!$BD:$BD,('Included studies 2023 update'!$E:$E="No")*('Included studies 2023 update'!$H:$H=Y$2))),"0")&amp;" ("&amp;TEXT(SUM(_xlfn._xlws.FILTER('Included studies 2023 update'!$BD:$BD,('Included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102 (48.6%)</v>
      </c>
      <c r="Z37" s="113" t="str" cm="1">
        <f t="array" ref="Z37">""&amp;TEXT(SUM(_xlfn._xlws.FILTER('Included studies 2023 update'!$BD:$BD,('Included studies 2023 update'!$E:$E="No")*('Included studies 2023 update'!$H:$H=Z$2))),"0")&amp;" ("&amp;TEXT(SUM(_xlfn._xlws.FILTER('Included studies 2023 update'!$BD:$BD,('Included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102 (34.2%)</v>
      </c>
      <c r="AA37" s="82"/>
      <c r="AB37" t="str">
        <v>https://pubmed.ncbi.nlm.nih.gov/38228644</v>
      </c>
      <c r="AC37">
        <f>IF(ISTEXT(AB37),_xlfn.XLOOKUP(AB37,'Included studies 2023 update'!C:C,'Included studies 2023 update'!J:J),"")</f>
        <v>115</v>
      </c>
      <c r="AD37" t="str">
        <f>IF(ISTEXT(AB37),_xlfn.XLOOKUP(AB37,'Included studies 2023 update'!C:C,'Included studies 2023 update'!E:E),"")</f>
        <v>Yes</v>
      </c>
      <c r="AE37" t="str">
        <f>IF(ISTEXT(AB37),_xlfn.XLOOKUP(AB37,'Included studies 2023 update'!C:C,'Included studies 2023 update'!I:I),"")</f>
        <v>Adult</v>
      </c>
      <c r="AF37" t="str">
        <f>IF(ISTEXT(AB37),_xlfn.XLOOKUP(AB37,'Included studies 2023 update'!C:C,'Included studies 2023 update'!U:U),"")</f>
        <v xml:space="preserve"> </v>
      </c>
      <c r="AG37">
        <f>IF(ISTEXT(AB37),_xlfn.XLOOKUP(AB37,'Included studies 2023 update'!C:C,'Included studies 2023 update'!X:X),"")</f>
        <v>0</v>
      </c>
      <c r="AH37">
        <f>IF(ISTEXT(AB37),_xlfn.XLOOKUP(AB37,'Included studies 2023 update'!C:C,'Included studies 2023 update'!Y:Y),"")</f>
        <v>0</v>
      </c>
      <c r="AI37">
        <f>IF(ISTEXT(AB37),_xlfn.XLOOKUP(AB37,'Included studies 2023 update'!C:C,'Included studies 2023 update'!Z:Z),"")</f>
        <v>0</v>
      </c>
      <c r="BM37" s="62"/>
    </row>
    <row r="38" spans="1:65" ht="13" customHeight="1">
      <c r="A38" s="2">
        <v>23461659</v>
      </c>
      <c r="B38" s="11" t="s">
        <v>2781</v>
      </c>
      <c r="C38" s="2" t="s">
        <v>326</v>
      </c>
      <c r="D38" s="2" t="s">
        <v>2782</v>
      </c>
      <c r="E38" s="2" t="s">
        <v>2783</v>
      </c>
      <c r="F38" s="2">
        <v>2013</v>
      </c>
      <c r="G38" s="2" t="s">
        <v>10</v>
      </c>
      <c r="I38" s="2"/>
      <c r="Q38" s="2"/>
      <c r="R38" t="str">
        <f>IF(ISNUMBER(Q38), _xlfn.XLOOKUP(Q38,'Included studies 2023 update'!A:A,'Included studies 2023 update'!K:K)+_xlfn.XLOOKUP(Q38,'Included studies 2023 update'!A:A,'Included studies 2023 update'!L:L),"")</f>
        <v/>
      </c>
      <c r="U38" s="166"/>
      <c r="V38" s="120" t="s">
        <v>3741</v>
      </c>
      <c r="W38" s="113" t="str">
        <f>""&amp;TEXT(SUM(BM:BM),"0")&amp;" ("&amp;TEXT(SUM(BM:BM)/(SUM(AX:BM)-SUM(BM:BM)),"0.0%")&amp;")"</f>
        <v>59 (3.4%)</v>
      </c>
      <c r="X38" s="113" t="str" cm="1">
        <f t="array" ref="X38">""&amp;TEXT(SUM(_xlfn._xlws.FILTER('Included studies 2023 update'!$BE:$BE,('Included studies 2023 update'!$E:$E="No")*('Included studies 2023 update'!$H:$H=X$2))),"0")&amp;" ("&amp;TEXT(SUM(_xlfn._xlws.FILTER('Included studies 2023 update'!$BE:$BE,('Included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8" s="113" t="str" cm="1">
        <f t="array" ref="Y38">""&amp;TEXT(SUM(_xlfn._xlws.FILTER('Included studies 2023 update'!$BE:$BE,('Included studies 2023 update'!$E:$E="No")*('Included studies 2023 update'!$H:$H=Y$2))),"0")&amp;" ("&amp;TEXT(SUM(_xlfn._xlws.FILTER('Included studies 2023 update'!$BE:$BE,('Included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8" s="113" t="str" cm="1">
        <f t="array" ref="Z38">""&amp;TEXT(SUM(_xlfn._xlws.FILTER('Included studies 2023 update'!$BE:$BE,('Included studies 2023 update'!$E:$E="No")*('Included studies 2023 update'!$H:$H=Z$2))),"0")&amp;" ("&amp;TEXT(SUM(_xlfn._xlws.FILTER('Included studies 2023 update'!$BE:$BE,('Included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59 (19.8%)</v>
      </c>
      <c r="AA38" s="82"/>
      <c r="AB38" t="str">
        <v>https://pubmed.ncbi.nlm.nih.gov/18367292/</v>
      </c>
      <c r="AC38">
        <f>IF(ISTEXT(AB38),_xlfn.XLOOKUP(AB38,'Included studies 2023 update'!C:C,'Included studies 2023 update'!J:J),"")</f>
        <v>15</v>
      </c>
      <c r="AD38" t="str">
        <f>IF(ISTEXT(AB38),_xlfn.XLOOKUP(AB38,'Included studies 2023 update'!C:C,'Included studies 2023 update'!E:E),"")</f>
        <v>Yes</v>
      </c>
      <c r="AE38" t="str">
        <f>IF(ISTEXT(AB38),_xlfn.XLOOKUP(AB38,'Included studies 2023 update'!C:C,'Included studies 2023 update'!I:I),"")</f>
        <v>Adult</v>
      </c>
      <c r="AF38" t="str">
        <f>IF(ISTEXT(AB38),_xlfn.XLOOKUP(AB38,'Included studies 2023 update'!C:C,'Included studies 2023 update'!U:U),"")</f>
        <v>ACY</v>
      </c>
      <c r="AG38" t="str">
        <f>IF(ISTEXT(AB38),_xlfn.XLOOKUP(AB38,'Included studies 2023 update'!C:C,'Included studies 2023 update'!X:X),"")</f>
        <v>Whole blood</v>
      </c>
      <c r="AH38" t="str">
        <f>IF(ISTEXT(AB38),_xlfn.XLOOKUP(AB38,'Included studies 2023 update'!C:C,'Included studies 2023 update'!Y:Y),"")</f>
        <v>Unclear or ND</v>
      </c>
      <c r="AI38">
        <f>IF(ISTEXT(AB38),_xlfn.XLOOKUP(AB38,'Included studies 2023 update'!C:C,'Included studies 2023 update'!Z:Z),"")</f>
        <v>0</v>
      </c>
      <c r="BM38" s="62"/>
    </row>
    <row r="39" spans="1:65" ht="13" customHeight="1">
      <c r="A39" s="2">
        <v>9509968</v>
      </c>
      <c r="B39" s="11" t="s">
        <v>2784</v>
      </c>
      <c r="C39" s="2" t="s">
        <v>502</v>
      </c>
      <c r="D39" s="2" t="s">
        <v>2785</v>
      </c>
      <c r="E39" s="2" t="s">
        <v>2786</v>
      </c>
      <c r="F39" s="2">
        <v>1998</v>
      </c>
      <c r="G39" s="2" t="s">
        <v>10</v>
      </c>
      <c r="I39" s="2"/>
      <c r="Q39" s="2"/>
      <c r="R39" t="str">
        <f>IF(ISNUMBER(Q39), _xlfn.XLOOKUP(Q39,'Included studies 2023 update'!A:A,'Included studies 2023 update'!K:K)+_xlfn.XLOOKUP(Q39,'Included studies 2023 update'!A:A,'Included studies 2023 update'!L:L),"")</f>
        <v/>
      </c>
      <c r="U39" s="165" t="s">
        <v>3641</v>
      </c>
      <c r="V39" s="119" t="s">
        <v>3724</v>
      </c>
      <c r="W39" s="95" t="str">
        <f>""&amp;TEXT(SUM(BN:BN),"0")&amp;" ("&amp;TEXT(SUM(BN:BN)/SUM(BN:BO),"0.0%")&amp;")"</f>
        <v>1179 (34.7%)</v>
      </c>
      <c r="X39" s="111" t="str" cm="1">
        <f t="array" ref="X39">""&amp;TEXT(SUM(_xlfn._xlws.FILTER('Included studies 2023 update'!$BF:$BF,('Included studies 2023 update'!$E:$E="No")*('Included studies 2023 update'!$H:$H=X$2))),"0")&amp;" ("&amp;TEXT(SUM(_xlfn._xlws.FILTER('Included studies 2023 update'!$BF:$BF,('Included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1170 (34.6%)</v>
      </c>
      <c r="Y39" s="111" t="str" cm="1">
        <f t="array" ref="Y39">""&amp;TEXT(SUM(_xlfn._xlws.FILTER('Included studies 2023 update'!$BF:$BF,('Included studies 2023 update'!$E:$E="No")*('Included studies 2023 update'!$H:$H=Y$2))),"0")&amp;" ("&amp;TEXT(SUM(_xlfn._xlws.FILTER('Included studies 2023 update'!$BF:$BF,('Included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400 (27.1%)</v>
      </c>
      <c r="Z39" s="111" t="str" cm="1">
        <f t="array" ref="Z39">""&amp;TEXT(SUM(_xlfn._xlws.FILTER('Included studies 2023 update'!$BF:$BF,('Included studies 2023 update'!$E:$E="No")*('Included studies 2023 update'!$H:$H=Z$2))),"0")&amp;" ("&amp;TEXT(SUM(_xlfn._xlws.FILTER('Included studies 2023 update'!$BF:$BF,('Included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391 (27.0%)</v>
      </c>
      <c r="AA39" s="82"/>
      <c r="AB39" t="str">
        <v>https://pubmed.ncbi.nlm.nih.gov/34523191</v>
      </c>
      <c r="AC39">
        <f>IF(ISTEXT(AB39),_xlfn.XLOOKUP(AB39,'Included studies 2023 update'!C:C,'Included studies 2023 update'!J:J),"")</f>
        <v>30</v>
      </c>
      <c r="AD39" t="str">
        <f>IF(ISTEXT(AB39),_xlfn.XLOOKUP(AB39,'Included studies 2023 update'!C:C,'Included studies 2023 update'!E:E),"")</f>
        <v>Yes</v>
      </c>
      <c r="AE39" t="str">
        <f>IF(ISTEXT(AB39),_xlfn.XLOOKUP(AB39,'Included studies 2023 update'!C:C,'Included studies 2023 update'!I:I),"")</f>
        <v>Adult</v>
      </c>
      <c r="AF39" t="str">
        <f>IF(ISTEXT(AB39),_xlfn.XLOOKUP(AB39,'Included studies 2023 update'!C:C,'Included studies 2023 update'!U:U),"")</f>
        <v>ACY</v>
      </c>
      <c r="AG39" t="str">
        <f>IF(ISTEXT(AB39),_xlfn.XLOOKUP(AB39,'Included studies 2023 update'!C:C,'Included studies 2023 update'!X:X),"")</f>
        <v>Whole blood</v>
      </c>
      <c r="AH39" t="str">
        <f>IF(ISTEXT(AB39),_xlfn.XLOOKUP(AB39,'Included studies 2023 update'!C:C,'Included studies 2023 update'!Y:Y),"")</f>
        <v>Unclear or ND</v>
      </c>
      <c r="AI39">
        <f>IF(ISTEXT(AB39),_xlfn.XLOOKUP(AB39,'Included studies 2023 update'!C:C,'Included studies 2023 update'!Z:Z),"")</f>
        <v>0</v>
      </c>
      <c r="BM39" s="62"/>
    </row>
    <row r="40" spans="1:65" ht="13" customHeight="1">
      <c r="A40" s="2">
        <v>29797616</v>
      </c>
      <c r="B40" s="11" t="s">
        <v>2787</v>
      </c>
      <c r="C40" s="2" t="s">
        <v>47</v>
      </c>
      <c r="D40" s="2" t="s">
        <v>2788</v>
      </c>
      <c r="E40" s="2" t="s">
        <v>2789</v>
      </c>
      <c r="F40" s="2">
        <v>2018</v>
      </c>
      <c r="G40" s="2" t="s">
        <v>10</v>
      </c>
      <c r="I40" s="2"/>
      <c r="Q40" s="2"/>
      <c r="R40" t="str">
        <f>IF(ISNUMBER(Q40), _xlfn.XLOOKUP(Q40,'Included studies 2023 update'!A:A,'Included studies 2023 update'!K:K)+_xlfn.XLOOKUP(Q40,'Included studies 2023 update'!A:A,'Included studies 2023 update'!L:L),"")</f>
        <v/>
      </c>
      <c r="U40" s="166"/>
      <c r="V40" s="129" t="s">
        <v>3725</v>
      </c>
      <c r="W40" s="121" t="str">
        <f>""&amp;TEXT(SUM(BO:BO),"0")&amp;" ("&amp;TEXT(SUM(BO:BO)/SUM(BN:BO),"0.0%")&amp;")"</f>
        <v>2223 (65.3%)</v>
      </c>
      <c r="X40" s="132" t="str" cm="1">
        <f t="array" ref="X40">""&amp;TEXT(SUM(_xlfn._xlws.FILTER('Included studies 2023 update'!$BG:$BG,('Included studies 2023 update'!$E:$E="No")*('Included studies 2023 update'!$H:$H=X$2))),"0")&amp;" ("&amp;TEXT(SUM(_xlfn._xlws.FILTER('Included studies 2023 update'!$BG:$BG,('Included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2207 (65.4%)</v>
      </c>
      <c r="Y40" s="132" t="str" cm="1">
        <f t="array" ref="Y40">""&amp;TEXT(SUM(_xlfn._xlws.FILTER('Included studies 2023 update'!$BG:$BG,('Included studies 2023 update'!$E:$E="No")*('Included studies 2023 update'!$H:$H=Y$2))),"0")&amp;" ("&amp;TEXT(SUM(_xlfn._xlws.FILTER('Included studies 2023 update'!$BG:$BG,('Included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1074 (72.9%)</v>
      </c>
      <c r="Z40" s="132" t="str" cm="1">
        <f t="array" ref="Z40">""&amp;TEXT(SUM(_xlfn._xlws.FILTER('Included studies 2023 update'!$BG:$BG,('Included studies 2023 update'!$E:$E="No")*('Included studies 2023 update'!$H:$H=Z$2))),"0")&amp;" ("&amp;TEXT(SUM(_xlfn._xlws.FILTER('Included studies 2023 update'!$BG:$BG,('Included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1058 (73.0%)</v>
      </c>
      <c r="AA40" s="82"/>
      <c r="AB40" t="str">
        <v>https://pubmed.ncbi.nlm.nih.gov/12123421/</v>
      </c>
      <c r="AC40">
        <f>IF(ISTEXT(AB40),_xlfn.XLOOKUP(AB40,'Included studies 2023 update'!C:C,'Included studies 2023 update'!J:J),"")</f>
        <v>14</v>
      </c>
      <c r="AD40" t="str">
        <f>IF(ISTEXT(AB40),_xlfn.XLOOKUP(AB40,'Included studies 2023 update'!C:C,'Included studies 2023 update'!E:E),"")</f>
        <v>Yes</v>
      </c>
      <c r="AE40" t="str">
        <f>IF(ISTEXT(AB40),_xlfn.XLOOKUP(AB40,'Included studies 2023 update'!C:C,'Included studies 2023 update'!I:I),"")</f>
        <v>Both</v>
      </c>
      <c r="AF40" t="str">
        <f>IF(ISTEXT(AB40),_xlfn.XLOOKUP(AB40,'Included studies 2023 update'!C:C,'Included studies 2023 update'!U:U),"")</f>
        <v>Unclear or ND</v>
      </c>
      <c r="AG40" t="str">
        <f>IF(ISTEXT(AB40),_xlfn.XLOOKUP(AB40,'Included studies 2023 update'!C:C,'Included studies 2023 update'!X:X),"")</f>
        <v>PBMC</v>
      </c>
      <c r="AH40" t="str">
        <f>IF(ISTEXT(AB40),_xlfn.XLOOKUP(AB40,'Included studies 2023 update'!C:C,'Included studies 2023 update'!Y:Y),"")</f>
        <v>Unclear or ND</v>
      </c>
      <c r="AI40">
        <f>IF(ISTEXT(AB40),_xlfn.XLOOKUP(AB40,'Included studies 2023 update'!C:C,'Included studies 2023 update'!Z:Z),"")</f>
        <v>0</v>
      </c>
      <c r="BM40" s="62"/>
    </row>
    <row r="41" spans="1:65" ht="13" customHeight="1">
      <c r="A41" s="2">
        <v>22048789</v>
      </c>
      <c r="B41" s="11" t="s">
        <v>2790</v>
      </c>
      <c r="C41" s="2" t="s">
        <v>97</v>
      </c>
      <c r="D41" s="2" t="s">
        <v>2791</v>
      </c>
      <c r="E41" s="2" t="s">
        <v>2792</v>
      </c>
      <c r="F41" s="2">
        <v>2012</v>
      </c>
      <c r="G41" s="2" t="s">
        <v>10</v>
      </c>
      <c r="I41" s="2"/>
      <c r="Q41" s="2"/>
      <c r="R41" t="str">
        <f>IF(ISNUMBER(Q41), _xlfn.XLOOKUP(Q41,'Included studies 2023 update'!A:A,'Included studies 2023 update'!K:K)+_xlfn.XLOOKUP(Q41,'Included studies 2023 update'!A:A,'Included studies 2023 update'!L:L),"")</f>
        <v/>
      </c>
      <c r="U41" s="165" t="s">
        <v>3655</v>
      </c>
      <c r="V41" s="114" t="s">
        <v>3646</v>
      </c>
      <c r="W41" s="109" t="str">
        <f>""&amp;TEXT(COUNTIFS(AD:AD,"No",AF:AF,V41),"0")&amp;" ("&amp;TEXT(COUNTIFS(AD:AD,"No",AF:AF,V41)/SUM(COUNTIFS(AD:AD,"No",AF:AF,$V$41),COUNTIFS(AD:AD,"No",AF:AF,$V$42),COUNTIFS(AD:AD,"No",AF:AF,$V$43),COUNTIFS(AD:AD,"No",AF:AF,$V$44),COUNTIFS(AD:AD,"No",AF:AF,$V$45)),"0.0%")&amp;")"</f>
        <v>12 (42.9%)</v>
      </c>
      <c r="X41" s="109" t="str" cm="1">
        <f t="array" ref="X41">""&amp;TEXT(SUM(IF(_xlfn._xlws.FILTER(_xlfn._xlws.FILTER('Included studies 2023 update'!$U:$U,('Included studies 2023 update'!$E:$E="No")*('Included studies 2023 update'!$H:$H=X$2)),_xlfn._xlws.FILTER('Included studies 2023 update'!$U:$U,('Included studies 2023 update'!$E:$E="No")*('Included studies 2023 update'!$H:$H=X$2))=$V41,0)=0,0,1)),"0")&amp;" ("&amp;TEXT(SUM(IF(_xlfn._xlws.FILTER(_xlfn._xlws.FILTER('Included studies 2023 update'!$U:$U,('Included studies 2023 update'!$E:$E="No")*('Included studies 2023 update'!$H:$H=X$2)),_xlfn._xlws.FILTER('Included studies 2023 update'!$U:$U,('Included studies 2023 update'!$E:$E="No")*('Included studies 2023 update'!$H:$H=X$2))=$V41,0)=0,0,1))/SUM(SUM(IF(_xlfn._xlws.FILTER(_xlfn._xlws.FILTER('Included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10 (40.0%)</v>
      </c>
      <c r="Y41" s="109" t="str" cm="1">
        <f t="array" ref="Y41">""&amp;TEXT(SUM(IF(_xlfn._xlws.FILTER(_xlfn._xlws.FILTER('Included studies 2023 update'!$U:$U,('Included studies 2023 update'!$E:$E="No")*('Included studies 2023 update'!$H:$H=Y$2)),_xlfn._xlws.FILTER('Included studies 2023 update'!$U:$U,('Included studies 2023 update'!$E:$E="No")*('Included studies 2023 update'!$H:$H=Y$2))=$V41,0)=0,0,1)),"0")&amp;" ("&amp;TEXT(SUM(IF(_xlfn._xlws.FILTER(_xlfn._xlws.FILTER('Included studies 2023 update'!$U:$U,('Included studies 2023 update'!$E:$E="No")*('Included studies 2023 update'!$H:$H=Y$2)),_xlfn._xlws.FILTER('Included studies 2023 update'!$U:$U,('Included studies 2023 update'!$E:$E="No")*('Included studies 2023 update'!$H:$H=Y$2))=$V41,0)=0,0,1))/SUM(SUM(IF(_xlfn._xlws.FILTER(_xlfn._xlws.FILTER('Included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2 (25.0%)</v>
      </c>
      <c r="Z41" s="109" t="str" cm="1">
        <f t="array" ref="Z41">""&amp;TEXT(SUM(IF(_xlfn._xlws.FILTER(_xlfn._xlws.FILTER('Included studies 2023 update'!$U:$U,('Included studies 2023 update'!$E:$E="No")*('Included studies 2023 update'!$H:$H=Z$2)),_xlfn._xlws.FILTER('Included studies 2023 update'!$U:$U,('Included studies 2023 update'!$E:$E="No")*('Included studies 2023 update'!$H:$H=Z$2))=$V41,0)=0,0,1)),"0")&amp;" ("&amp;TEXT(SUM(IF(_xlfn._xlws.FILTER(_xlfn._xlws.FILTER('Included studies 2023 update'!$U:$U,('Included studies 2023 update'!$E:$E="No")*('Included studies 2023 update'!$H:$H=Z$2)),_xlfn._xlws.FILTER('Included studies 2023 update'!$U:$U,('Included studies 2023 update'!$E:$E="No")*('Included studies 2023 update'!$H:$H=Z$2))=$V41,0)=0,0,1))/SUM(SUM(IF(_xlfn._xlws.FILTER(_xlfn._xlws.FILTER('Included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2 (28.6%)</v>
      </c>
      <c r="AB41" t="str">
        <v>https://pubmed.ncbi.nlm.nih.gov/27419347/</v>
      </c>
      <c r="AC41">
        <f>IF(ISTEXT(AB41),_xlfn.XLOOKUP(AB41,'Included studies 2023 update'!C:C,'Included studies 2023 update'!J:J),"")</f>
        <v>9</v>
      </c>
      <c r="AD41" t="str">
        <f>IF(ISTEXT(AB41),_xlfn.XLOOKUP(AB41,'Included studies 2023 update'!C:C,'Included studies 2023 update'!E:E),"")</f>
        <v>Yes</v>
      </c>
      <c r="AE41" t="str">
        <f>IF(ISTEXT(AB41),_xlfn.XLOOKUP(AB41,'Included studies 2023 update'!C:C,'Included studies 2023 update'!I:I),"")</f>
        <v>Adult</v>
      </c>
      <c r="AF41" t="str">
        <f>IF(ISTEXT(AB41),_xlfn.XLOOKUP(AB41,'Included studies 2023 update'!C:C,'Included studies 2023 update'!U:U),"")</f>
        <v>Unclear or ND</v>
      </c>
      <c r="AG41" t="str">
        <f>IF(ISTEXT(AB41),_xlfn.XLOOKUP(AB41,'Included studies 2023 update'!C:C,'Included studies 2023 update'!X:X),"")</f>
        <v>PBMC</v>
      </c>
      <c r="AH41" t="str">
        <f>IF(ISTEXT(AB41),_xlfn.XLOOKUP(AB41,'Included studies 2023 update'!C:C,'Included studies 2023 update'!Y:Y),"")</f>
        <v>Unclear or ND</v>
      </c>
      <c r="AI41">
        <f>IF(ISTEXT(AB41),_xlfn.XLOOKUP(AB41,'Included studies 2023 update'!C:C,'Included studies 2023 update'!Z:Z),"")</f>
        <v>0</v>
      </c>
      <c r="BM41" s="62"/>
    </row>
    <row r="42" spans="1:65" ht="13" customHeight="1">
      <c r="A42" s="2">
        <v>24658548</v>
      </c>
      <c r="B42" s="11" t="s">
        <v>2793</v>
      </c>
      <c r="C42" s="2" t="s">
        <v>115</v>
      </c>
      <c r="D42" s="2" t="s">
        <v>2794</v>
      </c>
      <c r="E42" s="2" t="s">
        <v>2795</v>
      </c>
      <c r="F42" s="2">
        <v>2014</v>
      </c>
      <c r="G42" s="2" t="s">
        <v>10</v>
      </c>
      <c r="I42" s="2"/>
      <c r="Q42" s="2"/>
      <c r="R42" t="str">
        <f>IF(ISNUMBER(Q42), _xlfn.XLOOKUP(Q42,'Included studies 2023 update'!A:A,'Included studies 2023 update'!K:K)+_xlfn.XLOOKUP(Q42,'Included studies 2023 update'!A:A,'Included studies 2023 update'!L:L),"")</f>
        <v/>
      </c>
      <c r="U42" s="164"/>
      <c r="V42" s="114" t="s">
        <v>3647</v>
      </c>
      <c r="W42" s="109" t="str">
        <f>""&amp;TEXT(COUNTIFS(AD:AD,"No",AF:AF,V42),"0")&amp;" ("&amp;TEXT(COUNTIFS(AD:AD,"No",AF:AF,V42)/SUM(COUNTIFS(AD:AD,"No",AF:AF,$V$41),COUNTIFS(AD:AD,"No",AF:AF,$V$42),COUNTIFS(AD:AD,"No",AF:AF,$V$43),COUNTIFS(AD:AD,"No",AF:AF,$V$44),COUNTIFS(AD:AD,"No",AF:AF,$V$45)),"0.0%")&amp;")"</f>
        <v>2 (7.1%)</v>
      </c>
      <c r="X42" s="109" t="str" cm="1">
        <f t="array" ref="X42">""&amp;TEXT(SUM(IF(_xlfn._xlws.FILTER(_xlfn._xlws.FILTER('Included studies 2023 update'!$U:$U,('Included studies 2023 update'!$E:$E="No")*('Included studies 2023 update'!$H:$H=X$2)),_xlfn._xlws.FILTER('Included studies 2023 update'!$U:$U,('Included studies 2023 update'!$E:$E="No")*('Included studies 2023 update'!$H:$H=X$2))=$V42,0)=0,0,1)),"0")&amp;" ("&amp;TEXT(SUM(IF(_xlfn._xlws.FILTER(_xlfn._xlws.FILTER('Included studies 2023 update'!$U:$U,('Included studies 2023 update'!$E:$E="No")*('Included studies 2023 update'!$H:$H=X$2)),_xlfn._xlws.FILTER('Included studies 2023 update'!$U:$U,('Included studies 2023 update'!$E:$E="No")*('Included studies 2023 update'!$H:$H=X$2))=$V42,0)=0,0,1))/SUM(SUM(IF(_xlfn._xlws.FILTER(_xlfn._xlws.FILTER('Included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2 (8.0%)</v>
      </c>
      <c r="Y42" s="109" t="str" cm="1">
        <f t="array" ref="Y42">""&amp;TEXT(SUM(IF(_xlfn._xlws.FILTER(_xlfn._xlws.FILTER('Included studies 2023 update'!$U:$U,('Included studies 2023 update'!$E:$E="No")*('Included studies 2023 update'!$H:$H=Y$2)),_xlfn._xlws.FILTER('Included studies 2023 update'!$U:$U,('Included studies 2023 update'!$E:$E="No")*('Included studies 2023 update'!$H:$H=Y$2))=$V42,0)=0,0,1)),"0")&amp;" ("&amp;TEXT(SUM(IF(_xlfn._xlws.FILTER(_xlfn._xlws.FILTER('Included studies 2023 update'!$U:$U,('Included studies 2023 update'!$E:$E="No")*('Included studies 2023 update'!$H:$H=Y$2)),_xlfn._xlws.FILTER('Included studies 2023 update'!$U:$U,('Included studies 2023 update'!$E:$E="No")*('Included studies 2023 update'!$H:$H=Y$2))=$V42,0)=0,0,1))/SUM(SUM(IF(_xlfn._xlws.FILTER(_xlfn._xlws.FILTER('Included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0 (0.0%)</v>
      </c>
      <c r="Z42" s="109" t="str" cm="1">
        <f t="array" ref="Z42">""&amp;TEXT(SUM(IF(_xlfn._xlws.FILTER(_xlfn._xlws.FILTER('Included studies 2023 update'!$U:$U,('Included studies 2023 update'!$E:$E="No")*('Included studies 2023 update'!$H:$H=Z$2)),_xlfn._xlws.FILTER('Included studies 2023 update'!$U:$U,('Included studies 2023 update'!$E:$E="No")*('Included studies 2023 update'!$H:$H=Z$2))=$V42,0)=0,0,1)),"0")&amp;" ("&amp;TEXT(SUM(IF(_xlfn._xlws.FILTER(_xlfn._xlws.FILTER('Included studies 2023 update'!$U:$U,('Included studies 2023 update'!$E:$E="No")*('Included studies 2023 update'!$H:$H=Z$2)),_xlfn._xlws.FILTER('Included studies 2023 update'!$U:$U,('Included studies 2023 update'!$E:$E="No")*('Included studies 2023 update'!$H:$H=Z$2))=$V42,0)=0,0,1))/SUM(SUM(IF(_xlfn._xlws.FILTER(_xlfn._xlws.FILTER('Included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2" t="str">
        <v>https://pubmed.ncbi.nlm.nih.gov/20228849/</v>
      </c>
      <c r="AC42">
        <f>IF(ISTEXT(AB42),_xlfn.XLOOKUP(AB42,'Included studies 2023 update'!C:C,'Included studies 2023 update'!J:J),"")</f>
        <v>145</v>
      </c>
      <c r="AD42" t="str">
        <f>IF(ISTEXT(AB42),_xlfn.XLOOKUP(AB42,'Included studies 2023 update'!C:C,'Included studies 2023 update'!E:E),"")</f>
        <v>Yes</v>
      </c>
      <c r="AE42" t="str">
        <f>IF(ISTEXT(AB42),_xlfn.XLOOKUP(AB42,'Included studies 2023 update'!C:C,'Included studies 2023 update'!I:I),"")</f>
        <v>Pediatric</v>
      </c>
      <c r="AF42" t="str">
        <f>IF(ISTEXT(AB42),_xlfn.XLOOKUP(AB42,'Included studies 2023 update'!C:C,'Included studies 2023 update'!U:U),"")</f>
        <v>ACY</v>
      </c>
      <c r="AG42" t="str">
        <f>IF(ISTEXT(AB42),_xlfn.XLOOKUP(AB42,'Included studies 2023 update'!C:C,'Included studies 2023 update'!X:X),"")</f>
        <v>Whole blood</v>
      </c>
      <c r="AH42" t="str">
        <f>IF(ISTEXT(AB42),_xlfn.XLOOKUP(AB42,'Included studies 2023 update'!C:C,'Included studies 2023 update'!Y:Y),"")</f>
        <v>Unclear or ND</v>
      </c>
      <c r="AI42">
        <f>IF(ISTEXT(AB42),_xlfn.XLOOKUP(AB42,'Included studies 2023 update'!C:C,'Included studies 2023 update'!Z:Z),"")</f>
        <v>0</v>
      </c>
      <c r="BM42" s="62"/>
    </row>
    <row r="43" spans="1:65" ht="13" customHeight="1">
      <c r="A43" s="2">
        <v>26920464</v>
      </c>
      <c r="B43" s="11" t="s">
        <v>2796</v>
      </c>
      <c r="C43" s="2" t="s">
        <v>530</v>
      </c>
      <c r="D43" s="2" t="s">
        <v>2797</v>
      </c>
      <c r="E43" s="2" t="s">
        <v>2798</v>
      </c>
      <c r="F43" s="2">
        <v>2016</v>
      </c>
      <c r="G43" s="2" t="s">
        <v>10</v>
      </c>
      <c r="I43" s="2"/>
      <c r="Q43" s="2"/>
      <c r="R43" t="str">
        <f>IF(ISNUMBER(Q43), _xlfn.XLOOKUP(Q43,'Included studies 2023 update'!A:A,'Included studies 2023 update'!K:K)+_xlfn.XLOOKUP(Q43,'Included studies 2023 update'!A:A,'Included studies 2023 update'!L:L),"")</f>
        <v/>
      </c>
      <c r="U43" s="164"/>
      <c r="V43" s="114" t="s">
        <v>3648</v>
      </c>
      <c r="W43" s="109" t="str">
        <f>""&amp;TEXT(COUNTIFS(AD:AD,"No",AF:AF,V43),"0")&amp;" ("&amp;TEXT(COUNTIFS(AD:AD,"No",AF:AF,V43)/SUM(COUNTIFS(AD:AD,"No",AF:AF,$V$41),COUNTIFS(AD:AD,"No",AF:AF,$V$42),COUNTIFS(AD:AD,"No",AF:AF,$V$43),COUNTIFS(AD:AD,"No",AF:AF,$V$44),COUNTIFS(AD:AD,"No",AF:AF,$V$45)),"0.0%")&amp;")"</f>
        <v>4 (14.3%)</v>
      </c>
      <c r="X43" s="109" t="str" cm="1">
        <f t="array" ref="X43">""&amp;TEXT(SUM(IF(_xlfn._xlws.FILTER(_xlfn._xlws.FILTER('Included studies 2023 update'!$U:$U,('Included studies 2023 update'!$E:$E="No")*('Included studies 2023 update'!$H:$H=X$2)),_xlfn._xlws.FILTER('Included studies 2023 update'!$U:$U,('Included studies 2023 update'!$E:$E="No")*('Included studies 2023 update'!$H:$H=X$2))=$V43,0)=0,0,1)),"0")&amp;" ("&amp;TEXT(SUM(IF(_xlfn._xlws.FILTER(_xlfn._xlws.FILTER('Included studies 2023 update'!$U:$U,('Included studies 2023 update'!$E:$E="No")*('Included studies 2023 update'!$H:$H=X$2)),_xlfn._xlws.FILTER('Included studies 2023 update'!$U:$U,('Included studies 2023 update'!$E:$E="No")*('Included studies 2023 update'!$H:$H=X$2))=$V43,0)=0,0,1))/SUM(SUM(IF(_xlfn._xlws.FILTER(_xlfn._xlws.FILTER('Included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4 (16.0%)</v>
      </c>
      <c r="Y43" s="109" t="str" cm="1">
        <f t="array" ref="Y43">""&amp;TEXT(SUM(IF(_xlfn._xlws.FILTER(_xlfn._xlws.FILTER('Included studies 2023 update'!$U:$U,('Included studies 2023 update'!$E:$E="No")*('Included studies 2023 update'!$H:$H=Y$2)),_xlfn._xlws.FILTER('Included studies 2023 update'!$U:$U,('Included studies 2023 update'!$E:$E="No")*('Included studies 2023 update'!$H:$H=Y$2))=$V43,0)=0,0,1)),"0")&amp;" ("&amp;TEXT(SUM(IF(_xlfn._xlws.FILTER(_xlfn._xlws.FILTER('Included studies 2023 update'!$U:$U,('Included studies 2023 update'!$E:$E="No")*('Included studies 2023 update'!$H:$H=Y$2)),_xlfn._xlws.FILTER('Included studies 2023 update'!$U:$U,('Included studies 2023 update'!$E:$E="No")*('Included studies 2023 update'!$H:$H=Y$2))=$V43,0)=0,0,1))/SUM(SUM(IF(_xlfn._xlws.FILTER(_xlfn._xlws.FILTER('Included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3" s="109" t="str" cm="1">
        <f t="array" ref="Z43">""&amp;TEXT(SUM(IF(_xlfn._xlws.FILTER(_xlfn._xlws.FILTER('Included studies 2023 update'!$U:$U,('Included studies 2023 update'!$E:$E="No")*('Included studies 2023 update'!$H:$H=Z$2)),_xlfn._xlws.FILTER('Included studies 2023 update'!$U:$U,('Included studies 2023 update'!$E:$E="No")*('Included studies 2023 update'!$H:$H=Z$2))=$V43,0)=0,0,1)),"0")&amp;" ("&amp;TEXT(SUM(IF(_xlfn._xlws.FILTER(_xlfn._xlws.FILTER('Included studies 2023 update'!$U:$U,('Included studies 2023 update'!$E:$E="No")*('Included studies 2023 update'!$H:$H=Z$2)),_xlfn._xlws.FILTER('Included studies 2023 update'!$U:$U,('Included studies 2023 update'!$E:$E="No")*('Included studies 2023 update'!$H:$H=Z$2))=$V43,0)=0,0,1))/SUM(SUM(IF(_xlfn._xlws.FILTER(_xlfn._xlws.FILTER('Included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1 (14.3%)</v>
      </c>
      <c r="AB43" t="str">
        <v>https://pubmed.ncbi.nlm.nih.gov/29181879/</v>
      </c>
      <c r="AC43">
        <f>IF(ISTEXT(AB43),_xlfn.XLOOKUP(AB43,'Included studies 2023 update'!C:C,'Included studies 2023 update'!J:J),"")</f>
        <v>14</v>
      </c>
      <c r="AD43" t="str">
        <f>IF(ISTEXT(AB43),_xlfn.XLOOKUP(AB43,'Included studies 2023 update'!C:C,'Included studies 2023 update'!E:E),"")</f>
        <v>Yes</v>
      </c>
      <c r="AE43" t="str">
        <f>IF(ISTEXT(AB43),_xlfn.XLOOKUP(AB43,'Included studies 2023 update'!C:C,'Included studies 2023 update'!I:I),"")</f>
        <v>Pediatric</v>
      </c>
      <c r="AF43" t="str">
        <f>IF(ISTEXT(AB43),_xlfn.XLOOKUP(AB43,'Included studies 2023 update'!C:C,'Included studies 2023 update'!U:U),"")</f>
        <v>ACY</v>
      </c>
      <c r="AG43" t="str">
        <f>IF(ISTEXT(AB43),_xlfn.XLOOKUP(AB43,'Included studies 2023 update'!C:C,'Included studies 2023 update'!X:X),"")</f>
        <v>Whole blood</v>
      </c>
      <c r="AH43">
        <f>IF(ISTEXT(AB43),_xlfn.XLOOKUP(AB43,'Included studies 2023 update'!C:C,'Included studies 2023 update'!Y:Y),"")</f>
        <v>1000</v>
      </c>
      <c r="AI43">
        <f>IF(ISTEXT(AB43),_xlfn.XLOOKUP(AB43,'Included studies 2023 update'!C:C,'Included studies 2023 update'!Z:Z),"")</f>
        <v>0</v>
      </c>
      <c r="BM43" s="62"/>
    </row>
    <row r="44" spans="1:65" ht="13" customHeight="1">
      <c r="A44" s="2">
        <v>10998432</v>
      </c>
      <c r="B44" s="11" t="s">
        <v>2799</v>
      </c>
      <c r="C44" s="2" t="s">
        <v>215</v>
      </c>
      <c r="D44" s="2" t="s">
        <v>2800</v>
      </c>
      <c r="E44" s="2" t="s">
        <v>2801</v>
      </c>
      <c r="F44" s="2">
        <v>2000</v>
      </c>
      <c r="G44" s="2" t="s">
        <v>10</v>
      </c>
      <c r="I44" s="2"/>
      <c r="Q44" s="2"/>
      <c r="U44" s="164"/>
      <c r="V44" s="114" t="s">
        <v>3649</v>
      </c>
      <c r="W44" s="109" t="str">
        <f>""&amp;TEXT(COUNTIFS(AD:AD,"No",AF:AF,V44),"0")&amp;" ("&amp;TEXT(COUNTIFS(AD:AD,"No",AF:AF,V44)/SUM(COUNTIFS(AD:AD,"No",AF:AF,$V$41),COUNTIFS(AD:AD,"No",AF:AF,$V$42),COUNTIFS(AD:AD,"No",AF:AF,$V$43),COUNTIFS(AD:AD,"No",AF:AF,$V$44),COUNTIFS(AD:AD,"No",AF:AF,$V$45)),"0.0%")&amp;")"</f>
        <v>1 (3.6%)</v>
      </c>
      <c r="X44" s="109" t="str" cm="1">
        <f t="array" ref="X44">""&amp;TEXT(SUM(IF(_xlfn._xlws.FILTER(_xlfn._xlws.FILTER('Included studies 2023 update'!$U:$U,('Included studies 2023 update'!$E:$E="No")*('Included studies 2023 update'!$H:$H=X$2)),_xlfn._xlws.FILTER('Included studies 2023 update'!$U:$U,('Included studies 2023 update'!$E:$E="No")*('Included studies 2023 update'!$H:$H=X$2))=$V44,0)=0,0,1)),"0")&amp;" ("&amp;TEXT(SUM(IF(_xlfn._xlws.FILTER(_xlfn._xlws.FILTER('Included studies 2023 update'!$U:$U,('Included studies 2023 update'!$E:$E="No")*('Included studies 2023 update'!$H:$H=X$2)),_xlfn._xlws.FILTER('Included studies 2023 update'!$U:$U,('Included studies 2023 update'!$E:$E="No")*('Included studies 2023 update'!$H:$H=X$2))=$V44,0)=0,0,1))/SUM(SUM(IF(_xlfn._xlws.FILTER(_xlfn._xlws.FILTER('Included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0 (0.0%)</v>
      </c>
      <c r="Y44" s="109" t="str" cm="1">
        <f t="array" ref="Y44">""&amp;TEXT(SUM(IF(_xlfn._xlws.FILTER(_xlfn._xlws.FILTER('Included studies 2023 update'!$U:$U,('Included studies 2023 update'!$E:$E="No")*('Included studies 2023 update'!$H:$H=Y$2)),_xlfn._xlws.FILTER('Included studies 2023 update'!$U:$U,('Included studies 2023 update'!$E:$E="No")*('Included studies 2023 update'!$H:$H=Y$2))=$V44,0)=0,0,1)),"0")&amp;" ("&amp;TEXT(SUM(IF(_xlfn._xlws.FILTER(_xlfn._xlws.FILTER('Included studies 2023 update'!$U:$U,('Included studies 2023 update'!$E:$E="No")*('Included studies 2023 update'!$H:$H=Y$2)),_xlfn._xlws.FILTER('Included studies 2023 update'!$U:$U,('Included studies 2023 update'!$E:$E="No")*('Included studies 2023 update'!$H:$H=Y$2))=$V44,0)=0,0,1))/SUM(SUM(IF(_xlfn._xlws.FILTER(_xlfn._xlws.FILTER('Included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4" s="109" t="str" cm="1">
        <f t="array" ref="Z44">""&amp;TEXT(SUM(IF(_xlfn._xlws.FILTER(_xlfn._xlws.FILTER('Included studies 2023 update'!$U:$U,('Included studies 2023 update'!$E:$E="No")*('Included studies 2023 update'!$H:$H=Z$2)),_xlfn._xlws.FILTER('Included studies 2023 update'!$U:$U,('Included studies 2023 update'!$E:$E="No")*('Included studies 2023 update'!$H:$H=Z$2))=$V44,0)=0,0,1)),"0")&amp;" ("&amp;TEXT(SUM(IF(_xlfn._xlws.FILTER(_xlfn._xlws.FILTER('Included studies 2023 update'!$U:$U,('Included studies 2023 update'!$E:$E="No")*('Included studies 2023 update'!$H:$H=Z$2)),_xlfn._xlws.FILTER('Included studies 2023 update'!$U:$U,('Included studies 2023 update'!$E:$E="No")*('Included studies 2023 update'!$H:$H=Z$2))=$V44,0)=0,0,1))/SUM(SUM(IF(_xlfn._xlws.FILTER(_xlfn._xlws.FILTER('Included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4" t="str">
        <v>https://pubmed.ncbi.nlm.nih.gov/23771003/</v>
      </c>
      <c r="AC44">
        <f>IF(ISTEXT(AB44),_xlfn.XLOOKUP(AB44,'Included studies 2023 update'!C:C,'Included studies 2023 update'!J:J),"")</f>
        <v>108</v>
      </c>
      <c r="AD44" t="str">
        <f>IF(ISTEXT(AB44),_xlfn.XLOOKUP(AB44,'Included studies 2023 update'!C:C,'Included studies 2023 update'!E:E),"")</f>
        <v>Yes</v>
      </c>
      <c r="AE44" t="str">
        <f>IF(ISTEXT(AB44),_xlfn.XLOOKUP(AB44,'Included studies 2023 update'!C:C,'Included studies 2023 update'!I:I),"")</f>
        <v>Adult</v>
      </c>
      <c r="AF44" t="str">
        <f>IF(ISTEXT(AB44),_xlfn.XLOOKUP(AB44,'Included studies 2023 update'!C:C,'Included studies 2023 update'!U:U),"")</f>
        <v xml:space="preserve"> </v>
      </c>
      <c r="AG44" t="str">
        <f>IF(ISTEXT(AB44),_xlfn.XLOOKUP(AB44,'Included studies 2023 update'!C:C,'Included studies 2023 update'!X:X),"")</f>
        <v>Plasma</v>
      </c>
      <c r="AH44" t="str">
        <f>IF(ISTEXT(AB44),_xlfn.XLOOKUP(AB44,'Included studies 2023 update'!C:C,'Included studies 2023 update'!Y:Y),"")</f>
        <v>Unclear or ND</v>
      </c>
      <c r="AI44">
        <f>IF(ISTEXT(AB44),_xlfn.XLOOKUP(AB44,'Included studies 2023 update'!C:C,'Included studies 2023 update'!Z:Z),"")</f>
        <v>0</v>
      </c>
      <c r="BM44" s="62"/>
    </row>
    <row r="45" spans="1:65" ht="13" customHeight="1">
      <c r="A45" s="2">
        <v>24964991</v>
      </c>
      <c r="B45" s="11" t="s">
        <v>2802</v>
      </c>
      <c r="C45" s="2" t="s">
        <v>458</v>
      </c>
      <c r="D45" s="2" t="s">
        <v>2803</v>
      </c>
      <c r="E45" s="2" t="s">
        <v>2804</v>
      </c>
      <c r="F45" s="2">
        <v>2014</v>
      </c>
      <c r="G45" s="2" t="s">
        <v>10</v>
      </c>
      <c r="I45" s="2"/>
      <c r="Q45" s="2"/>
      <c r="U45" s="166"/>
      <c r="V45" s="116" t="s">
        <v>3650</v>
      </c>
      <c r="W45" s="109" t="str">
        <f>""&amp;TEXT(COUNTIFS(AD:AD,"No",AF:AF,V45),"0")&amp;" ("&amp;TEXT(COUNTIFS(AD:AD,"No",AF:AF,V45)/SUM(COUNTIFS(AD:AD,"No",AF:AF,$V$41),COUNTIFS(AD:AD,"No",AF:AF,$V$42),COUNTIFS(AD:AD,"No",AF:AF,$V$43),COUNTIFS(AD:AD,"No",AF:AF,$V$44),COUNTIFS(AD:AD,"No",AF:AF,$V$45)),"0.0%")&amp;")"</f>
        <v>9 (32.1%)</v>
      </c>
      <c r="X45" s="109" t="str" cm="1">
        <f t="array" ref="X45">""&amp;TEXT(SUM(IF(_xlfn._xlws.FILTER(_xlfn._xlws.FILTER('Included studies 2023 update'!$U:$U,('Included studies 2023 update'!$E:$E="No")*('Included studies 2023 update'!$H:$H=X$2)),_xlfn._xlws.FILTER('Included studies 2023 update'!$U:$U,('Included studies 2023 update'!$E:$E="No")*('Included studies 2023 update'!$H:$H=X$2))=$V45,0)=0,0,1)),"0")&amp;" ("&amp;TEXT(SUM(IF(_xlfn._xlws.FILTER(_xlfn._xlws.FILTER('Included studies 2023 update'!$U:$U,('Included studies 2023 update'!$E:$E="No")*('Included studies 2023 update'!$H:$H=X$2)),_xlfn._xlws.FILTER('Included studies 2023 update'!$U:$U,('Included studies 2023 update'!$E:$E="No")*('Included studies 2023 update'!$H:$H=X$2))=$V45,0)=0,0,1))/SUM(SUM(IF(_xlfn._xlws.FILTER(_xlfn._xlws.FILTER('Included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9 (36.0%)</v>
      </c>
      <c r="Y45" s="109" t="str" cm="1">
        <f t="array" ref="Y45">""&amp;TEXT(SUM(IF(_xlfn._xlws.FILTER(_xlfn._xlws.FILTER('Included studies 2023 update'!$U:$U,('Included studies 2023 update'!$E:$E="No")*('Included studies 2023 update'!$H:$H=Y$2)),_xlfn._xlws.FILTER('Included studies 2023 update'!$U:$U,('Included studies 2023 update'!$E:$E="No")*('Included studies 2023 update'!$H:$H=Y$2))=$V45,0)=0,0,1)),"0")&amp;" ("&amp;TEXT(SUM(IF(_xlfn._xlws.FILTER(_xlfn._xlws.FILTER('Included studies 2023 update'!$U:$U,('Included studies 2023 update'!$E:$E="No")*('Included studies 2023 update'!$H:$H=Y$2)),_xlfn._xlws.FILTER('Included studies 2023 update'!$U:$U,('Included studies 2023 update'!$E:$E="No")*('Included studies 2023 update'!$H:$H=Y$2))=$V45,0)=0,0,1))/SUM(SUM(IF(_xlfn._xlws.FILTER(_xlfn._xlws.FILTER('Included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4 (50.0%)</v>
      </c>
      <c r="Z45" s="109" t="str" cm="1">
        <f t="array" ref="Z45">""&amp;TEXT(SUM(IF(_xlfn._xlws.FILTER(_xlfn._xlws.FILTER('Included studies 2023 update'!$U:$U,('Included studies 2023 update'!$E:$E="No")*('Included studies 2023 update'!$H:$H=Z$2)),_xlfn._xlws.FILTER('Included studies 2023 update'!$U:$U,('Included studies 2023 update'!$E:$E="No")*('Included studies 2023 update'!$H:$H=Z$2))=$V45,0)=0,0,1)),"0")&amp;" ("&amp;TEXT(SUM(IF(_xlfn._xlws.FILTER(_xlfn._xlws.FILTER('Included studies 2023 update'!$U:$U,('Included studies 2023 update'!$E:$E="No")*('Included studies 2023 update'!$H:$H=Z$2)),_xlfn._xlws.FILTER('Included studies 2023 update'!$U:$U,('Included studies 2023 update'!$E:$E="No")*('Included studies 2023 update'!$H:$H=Z$2))=$V45,0)=0,0,1))/SUM(SUM(IF(_xlfn._xlws.FILTER(_xlfn._xlws.FILTER('Included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4 (57.1%)</v>
      </c>
      <c r="AB45" t="str">
        <v>https://pubmed.ncbi.nlm.nih.gov/23243510/</v>
      </c>
      <c r="AC45">
        <f>IF(ISTEXT(AB45),_xlfn.XLOOKUP(AB45,'Included studies 2023 update'!C:C,'Included studies 2023 update'!J:J),"")</f>
        <v>26</v>
      </c>
      <c r="AD45" t="str">
        <f>IF(ISTEXT(AB45),_xlfn.XLOOKUP(AB45,'Included studies 2023 update'!C:C,'Included studies 2023 update'!E:E),"")</f>
        <v>Yes</v>
      </c>
      <c r="AE45" t="str">
        <f>IF(ISTEXT(AB45),_xlfn.XLOOKUP(AB45,'Included studies 2023 update'!C:C,'Included studies 2023 update'!I:I),"")</f>
        <v>Adult</v>
      </c>
      <c r="AF45" t="str">
        <f>IF(ISTEXT(AB45),_xlfn.XLOOKUP(AB45,'Included studies 2023 update'!C:C,'Included studies 2023 update'!U:U),"")</f>
        <v xml:space="preserve"> </v>
      </c>
      <c r="AG45" t="str">
        <f>IF(ISTEXT(AB45),_xlfn.XLOOKUP(AB45,'Included studies 2023 update'!C:C,'Included studies 2023 update'!X:X),"")</f>
        <v>Plasma</v>
      </c>
      <c r="AH45">
        <f>IF(ISTEXT(AB45),_xlfn.XLOOKUP(AB45,'Included studies 2023 update'!C:C,'Included studies 2023 update'!Y:Y),"")</f>
        <v>1000</v>
      </c>
      <c r="AI45">
        <f>IF(ISTEXT(AB45),_xlfn.XLOOKUP(AB45,'Included studies 2023 update'!C:C,'Included studies 2023 update'!Z:Z),"")</f>
        <v>0</v>
      </c>
    </row>
    <row r="46" spans="1:65" ht="13" customHeight="1">
      <c r="A46" s="2">
        <v>27703035</v>
      </c>
      <c r="B46" s="11" t="s">
        <v>2805</v>
      </c>
      <c r="C46" s="2" t="s">
        <v>185</v>
      </c>
      <c r="D46" s="2" t="s">
        <v>2806</v>
      </c>
      <c r="E46" s="2" t="s">
        <v>2807</v>
      </c>
      <c r="F46" s="2">
        <v>2016</v>
      </c>
      <c r="G46" s="2" t="s">
        <v>10</v>
      </c>
      <c r="I46" s="2"/>
      <c r="J46" s="16"/>
      <c r="K46" s="2"/>
      <c r="L46" s="2"/>
      <c r="M46" s="2"/>
      <c r="N46" s="2"/>
      <c r="O46" s="2"/>
      <c r="Q46" s="2"/>
      <c r="U46" s="95" t="s">
        <v>3742</v>
      </c>
      <c r="V46" s="100" t="s">
        <v>3743</v>
      </c>
      <c r="W46" s="111" t="str" cm="1">
        <f t="array" ref="W46">""&amp;TEXT(MIN(_xlfn._xlws.FILTER('Included studies 2023 update'!$O:$O,'Included studies 2023 update'!$E:$E="No"))*100,"0")&amp;" - "&amp;TEXT(MAX(_xlfn._xlws.FILTER('Included studies 2023 update'!O:O,'Included studies 2023 update'!E:E="No")),"0%")&amp;""</f>
        <v>4 - 65%</v>
      </c>
      <c r="X46" s="101" t="str" cm="1">
        <f t="array" ref="X46">""&amp;TEXT(MIN(_xlfn._xlws.FILTER('Included studies 2023 update'!$O:$O,('Included studies 2023 update'!$E:$E="No")*('Included studies 2023 update'!$H:$H='Full-text review 2023 update'!X$2)))*100,"0")&amp;" - "&amp;TEXT(MAX(_xlfn._xlws.FILTER('Included studies 2023 update'!$O:$O,('Included studies 2023 update'!$E:$E="No")*('Included studies 2023 update'!$H:$H='Full-text review 2023 update'!X$2))),"0%")&amp;""</f>
        <v>7 - 65%</v>
      </c>
      <c r="Y46" s="101" t="str" cm="1">
        <f t="array" ref="Y46">""&amp;TEXT(MIN(_xlfn._xlws.FILTER('Included studies 2023 update'!$O:$O,('Included studies 2023 update'!$E:$E="No")*('Included studies 2023 update'!$H:$H='Full-text review 2023 update'!Y$2)))*100,"0")&amp;" - "&amp;TEXT(MAX(_xlfn._xlws.FILTER('Included studies 2023 update'!$O:$O,('Included studies 2023 update'!$E:$E="No")*('Included studies 2023 update'!$H:$H='Full-text review 2023 update'!Y$2))),"0%")&amp;""</f>
        <v>4 - 42%</v>
      </c>
      <c r="Z46" s="112" t="str" cm="1">
        <f t="array" ref="Z46">""&amp;TEXT(MIN(_xlfn._xlws.FILTER('Included studies 2023 update'!$O:$O,('Included studies 2023 update'!$E:$E="No")*('Included studies 2023 update'!$H:$H='Full-text review 2023 update'!Z$2)))*100,"0")&amp;" - "&amp;TEXT(MAX(_xlfn._xlws.FILTER('Included studies 2023 update'!$O:$O,('Included studies 2023 update'!$E:$E="No")*('Included studies 2023 update'!$H:$H='Full-text review 2023 update'!Z$2))),"0%")&amp;""</f>
        <v>6 - 30%</v>
      </c>
      <c r="AB46" t="str">
        <v>https://pubmed.ncbi.nlm.nih.gov/23461659/</v>
      </c>
      <c r="AC46">
        <f>IF(ISTEXT(AB46),_xlfn.XLOOKUP(AB46,'Included studies 2023 update'!C:C,'Included studies 2023 update'!J:J),"")</f>
        <v>54</v>
      </c>
      <c r="AD46" t="str">
        <f>IF(ISTEXT(AB46),_xlfn.XLOOKUP(AB46,'Included studies 2023 update'!C:C,'Included studies 2023 update'!E:E),"")</f>
        <v>Yes</v>
      </c>
      <c r="AE46" t="str">
        <f>IF(ISTEXT(AB46),_xlfn.XLOOKUP(AB46,'Included studies 2023 update'!C:C,'Included studies 2023 update'!I:I),"")</f>
        <v>Adult</v>
      </c>
      <c r="AF46" t="str">
        <f>IF(ISTEXT(AB46),_xlfn.XLOOKUP(AB46,'Included studies 2023 update'!C:C,'Included studies 2023 update'!U:U),"")</f>
        <v xml:space="preserve"> </v>
      </c>
      <c r="AG46" t="str">
        <f>IF(ISTEXT(AB46),_xlfn.XLOOKUP(AB46,'Included studies 2023 update'!C:C,'Included studies 2023 update'!X:X),"")</f>
        <v>Whole blood</v>
      </c>
      <c r="AH46" t="str">
        <f>IF(ISTEXT(AB46),_xlfn.XLOOKUP(AB46,'Included studies 2023 update'!C:C,'Included studies 2023 update'!Y:Y),"")</f>
        <v>Unclear or ND</v>
      </c>
      <c r="AI46">
        <f>IF(ISTEXT(AB46),_xlfn.XLOOKUP(AB46,'Included studies 2023 update'!C:C,'Included studies 2023 update'!Z:Z),"")</f>
        <v>0</v>
      </c>
    </row>
    <row r="47" spans="1:65" ht="13" customHeight="1">
      <c r="A47" s="2">
        <v>26518057</v>
      </c>
      <c r="B47" s="11" t="s">
        <v>2808</v>
      </c>
      <c r="C47" s="2" t="s">
        <v>135</v>
      </c>
      <c r="D47" s="2" t="s">
        <v>2809</v>
      </c>
      <c r="E47" s="2" t="s">
        <v>2810</v>
      </c>
      <c r="F47" s="2">
        <v>2016</v>
      </c>
      <c r="G47" s="2" t="s">
        <v>10</v>
      </c>
      <c r="I47" s="2"/>
      <c r="J47" s="16"/>
      <c r="K47" s="2"/>
      <c r="L47" s="2"/>
      <c r="M47" s="2"/>
      <c r="N47" s="2"/>
      <c r="O47" s="2"/>
      <c r="Q47" s="2"/>
      <c r="U47" s="95" t="s">
        <v>3744</v>
      </c>
      <c r="V47" s="100" t="s">
        <v>3745</v>
      </c>
      <c r="W47" s="101" t="str" cm="1">
        <f t="array" ref="W47">""&amp;TEXT(AVERAGEIF(AD:AD,"No",AV:AV),"0.0")&amp;" ("&amp;MIN(_xlfn._xlws.FILTER(AV:AV,AD:AD="No"))&amp;"-"&amp;MAX(_xlfn._xlws.FILTER(AV:AV,AD:AD="No"))&amp;")"</f>
        <v>99.9 (28-365)</v>
      </c>
      <c r="X47" s="101" t="str" cm="1">
        <f t="array" ref="X47">""&amp;TEXT(AVERAGE(_xlfn._xlws.FILTER('Included studies 2023 update'!$AM:$AM,('Included studies 2023 update'!$E:$E="No")*('Included studies 2023 update'!$H:$H=X$2))),"0.0")&amp;" ("&amp;TEXT(MIN(_xlfn._xlws.FILTER('Included studies 2023 update'!$AM:$AM,('Included studies 2023 update'!$E:$E="No")*('Included studies 2023 update'!$H:$H=X$2))),"0")&amp;"-"&amp;TEXT(MAX(_xlfn._xlws.FILTER('Included studies 2023 update'!$AM:$AM,('Included studies 2023 update'!$E:$E="No")*('Included studies 2023 update'!$H:$H=X$2))),"0")&amp;")"</f>
        <v>99.9 (28-365)</v>
      </c>
      <c r="Y47" s="101" t="str" cm="1">
        <f t="array" ref="Y47">""&amp;TEXT(AVERAGE(_xlfn._xlws.FILTER('Included studies 2023 update'!$AM:$AM,('Included studies 2023 update'!$E:$E="No")*('Included studies 2023 update'!$H:$H=Y$2))),"0.0")&amp;" ("&amp;TEXT(MIN(_xlfn._xlws.FILTER('Included studies 2023 update'!$AM:$AM,('Included studies 2023 update'!$E:$E="No")*('Included studies 2023 update'!$H:$H=Y$2))),"0")&amp;"-"&amp;TEXT(MAX(_xlfn._xlws.FILTER('Included studies 2023 update'!$AM:$AM,('Included studies 2023 update'!$E:$E="No")*('Included studies 2023 update'!$H:$H=Y$2))),"0")&amp;")"</f>
        <v>87.6 (28-120)</v>
      </c>
      <c r="Z47" s="112" t="str" cm="1">
        <f t="array" ref="Z47">""&amp;TEXT(AVERAGE(_xlfn._xlws.FILTER('Included studies 2023 update'!$AM:$AM,('Included studies 2023 update'!$E:$E="No")*('Included studies 2023 update'!$H:$H=Z$2))),"0.0")&amp;" ("&amp;TEXT(MIN(_xlfn._xlws.FILTER('Included studies 2023 update'!$AM:$AM,('Included studies 2023 update'!$E:$E="No")*('Included studies 2023 update'!$H:$H=Z$2))),"0")&amp;"-"&amp;TEXT(MAX(_xlfn._xlws.FILTER('Included studies 2023 update'!$AM:$AM,('Included studies 2023 update'!$E:$E="No")*('Included studies 2023 update'!$H:$H=Z$2))),"0")&amp;")"</f>
        <v>87.6 (28-120)</v>
      </c>
      <c r="AB47" t="str">
        <v>https://pubmed.ncbi.nlm.nih.gov/9509968/</v>
      </c>
      <c r="AC47">
        <f>IF(ISTEXT(AB47),_xlfn.XLOOKUP(AB47,'Included studies 2023 update'!C:C,'Included studies 2023 update'!J:J),"")</f>
        <v>5</v>
      </c>
      <c r="AD47" t="str">
        <f>IF(ISTEXT(AB47),_xlfn.XLOOKUP(AB47,'Included studies 2023 update'!C:C,'Included studies 2023 update'!E:E),"")</f>
        <v>Yes</v>
      </c>
      <c r="AE47" t="str">
        <f>IF(ISTEXT(AB47),_xlfn.XLOOKUP(AB47,'Included studies 2023 update'!C:C,'Included studies 2023 update'!I:I),"")</f>
        <v>Pediatric</v>
      </c>
      <c r="AF47" t="str">
        <f>IF(ISTEXT(AB47),_xlfn.XLOOKUP(AB47,'Included studies 2023 update'!C:C,'Included studies 2023 update'!U:U),"")</f>
        <v xml:space="preserve"> </v>
      </c>
      <c r="AG47" t="str">
        <f>IF(ISTEXT(AB47),_xlfn.XLOOKUP(AB47,'Included studies 2023 update'!C:C,'Included studies 2023 update'!X:X),"")</f>
        <v>Unclear or ND</v>
      </c>
      <c r="AH47" t="str">
        <f>IF(ISTEXT(AB47),_xlfn.XLOOKUP(AB47,'Included studies 2023 update'!C:C,'Included studies 2023 update'!Y:Y),"")</f>
        <v>Unclear or ND</v>
      </c>
      <c r="AI47">
        <f>IF(ISTEXT(AB47),_xlfn.XLOOKUP(AB47,'Included studies 2023 update'!C:C,'Included studies 2023 update'!Z:Z),"")</f>
        <v>0</v>
      </c>
    </row>
    <row r="48" spans="1:65" ht="13" customHeight="1">
      <c r="A48" s="2">
        <v>12123421</v>
      </c>
      <c r="B48" s="11" t="s">
        <v>2811</v>
      </c>
      <c r="C48" s="2" t="s">
        <v>456</v>
      </c>
      <c r="D48" s="2" t="s">
        <v>2812</v>
      </c>
      <c r="E48" s="2" t="s">
        <v>2813</v>
      </c>
      <c r="F48" s="2">
        <v>2002</v>
      </c>
      <c r="G48" s="2" t="s">
        <v>10</v>
      </c>
      <c r="I48" s="2"/>
      <c r="J48" s="16"/>
      <c r="K48" s="2"/>
      <c r="L48" s="2"/>
      <c r="M48" s="2"/>
      <c r="N48" s="2"/>
      <c r="O48" s="2"/>
      <c r="Q48" s="2"/>
      <c r="U48" s="165" t="s">
        <v>3658</v>
      </c>
      <c r="V48" s="134" t="s">
        <v>3678</v>
      </c>
      <c r="W48" s="95" t="str">
        <f>""&amp;TEXT(COUNTIF(AW:AW,V48),"0")&amp;" ("&amp;TEXT(COUNTIF(AW:AW,V48)/SUM(COUNTIF(AW:AW,$V$48),COUNTIF(AW:AW,$V$49),COUNTIF(AW:AW,$V$50),COUNTIF(AW:AW,$V$51),COUNTIF(AW:AW,$V$52)),"0.0%")&amp;")"</f>
        <v>1 (3.6%)</v>
      </c>
      <c r="X48" s="101" t="str" cm="1">
        <f t="array" ref="X48">""&amp;TEXT(SUM(IF(_xlfn._xlws.FILTER(_xlfn._xlws.FILTER('Included studies 2023 update'!$AN:$AN,('Included studies 2023 update'!$E:$E="No")*('Included studies 2023 update'!$H:$H=X$2)),_xlfn._xlws.FILTER('Included studies 2023 update'!$AN:$AN,('Included studies 2023 update'!$E:$E="No")*('Included studies 2023 update'!$H:$H=X$2))=$V48,0)=0,0,1)),"0")&amp;" ("&amp;TEXT(SUM(IF(_xlfn._xlws.FILTER(_xlfn._xlws.FILTER('Included studies 2023 update'!$AN:$AN,('Included studies 2023 update'!$E:$E="No")*('Included studies 2023 update'!$H:$H=X$2)),_xlfn._xlws.FILTER('Included studies 2023 update'!$AN:$AN,('Included studies 2023 update'!$E:$E="No")*('Included studies 2023 update'!$H:$H=X$2))=$V48,0)=0,0,1))/SUM(SUM(IF(_xlfn._xlws.FILTER(_xlfn._xlws.FILTER('Included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48" s="101" t="str" cm="1">
        <f t="array" ref="Y48">""&amp;TEXT(SUM(IF(_xlfn._xlws.FILTER(_xlfn._xlws.FILTER('Included studies 2023 update'!$AN:$AN,('Included studies 2023 update'!$E:$E="No")*('Included studies 2023 update'!$H:$H=Y$2)),_xlfn._xlws.FILTER('Included studies 2023 update'!$AN:$AN,('Included studies 2023 update'!$E:$E="No")*('Included studies 2023 update'!$H:$H=Y$2))=$V48,0)=0,0,1)),"0")&amp;" ("&amp;TEXT(SUM(IF(_xlfn._xlws.FILTER(_xlfn._xlws.FILTER('Included studies 2023 update'!$AN:$AN,('Included studies 2023 update'!$E:$E="No")*('Included studies 2023 update'!$H:$H=Y$2)),_xlfn._xlws.FILTER('Included studies 2023 update'!$AN:$AN,('Included studies 2023 update'!$E:$E="No")*('Included studies 2023 update'!$H:$H=Y$2))=$V48,0)=0,0,1))/SUM(SUM(IF(_xlfn._xlws.FILTER(_xlfn._xlws.FILTER('Included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48" s="101" t="str" cm="1">
        <f t="array" ref="Z48">""&amp;TEXT(SUM(IF(_xlfn._xlws.FILTER(_xlfn._xlws.FILTER('Included studies 2023 update'!$AN:$AN,('Included studies 2023 update'!$E:$E="No")*('Included studies 2023 update'!$H:$H=Z$2)),_xlfn._xlws.FILTER('Included studies 2023 update'!$AN:$AN,('Included studies 2023 update'!$E:$E="No")*('Included studies 2023 update'!$H:$H=Z$2))=$V48,0)=0,0,1)),"0")&amp;" ("&amp;TEXT(SUM(IF(_xlfn._xlws.FILTER(_xlfn._xlws.FILTER('Included studies 2023 update'!$AN:$AN,('Included studies 2023 update'!$E:$E="No")*('Included studies 2023 update'!$H:$H=Z$2)),_xlfn._xlws.FILTER('Included studies 2023 update'!$AN:$AN,('Included studies 2023 update'!$E:$E="No")*('Included studies 2023 update'!$H:$H=Z$2))=$V48,0)=0,0,1))/SUM(SUM(IF(_xlfn._xlws.FILTER(_xlfn._xlws.FILTER('Included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48" t="str">
        <v>https://pubmed.ncbi.nlm.nih.gov/26920464/</v>
      </c>
      <c r="AC48">
        <f>IF(ISTEXT(AB48),_xlfn.XLOOKUP(AB48,'Included studies 2023 update'!C:C,'Included studies 2023 update'!J:J),"")</f>
        <v>36</v>
      </c>
      <c r="AD48" t="str">
        <f>IF(ISTEXT(AB48),_xlfn.XLOOKUP(AB48,'Included studies 2023 update'!C:C,'Included studies 2023 update'!E:E),"")</f>
        <v>Yes</v>
      </c>
      <c r="AE48" t="str">
        <f>IF(ISTEXT(AB48),_xlfn.XLOOKUP(AB48,'Included studies 2023 update'!C:C,'Included studies 2023 update'!I:I),"")</f>
        <v>Pediatric</v>
      </c>
      <c r="AF48" t="str">
        <f>IF(ISTEXT(AB48),_xlfn.XLOOKUP(AB48,'Included studies 2023 update'!C:C,'Included studies 2023 update'!U:U),"")</f>
        <v xml:space="preserve"> </v>
      </c>
      <c r="AG48" t="str">
        <f>IF(ISTEXT(AB48),_xlfn.XLOOKUP(AB48,'Included studies 2023 update'!C:C,'Included studies 2023 update'!X:X),"")</f>
        <v>Unclear or ND</v>
      </c>
      <c r="AH48" t="str">
        <f>IF(ISTEXT(AB48),_xlfn.XLOOKUP(AB48,'Included studies 2023 update'!C:C,'Included studies 2023 update'!Y:Y),"")</f>
        <v>Unclear or ND</v>
      </c>
      <c r="AI48">
        <f>IF(ISTEXT(AB48),_xlfn.XLOOKUP(AB48,'Included studies 2023 update'!C:C,'Included studies 2023 update'!Z:Z),"")</f>
        <v>0</v>
      </c>
    </row>
    <row r="49" spans="1:35" ht="13" customHeight="1">
      <c r="A49" s="2">
        <v>21810148</v>
      </c>
      <c r="B49" s="11" t="s">
        <v>2814</v>
      </c>
      <c r="C49" s="2" t="s">
        <v>534</v>
      </c>
      <c r="D49" s="2" t="s">
        <v>2815</v>
      </c>
      <c r="E49" s="2" t="s">
        <v>2816</v>
      </c>
      <c r="F49" s="2">
        <v>2011</v>
      </c>
      <c r="G49" s="2" t="s">
        <v>10</v>
      </c>
      <c r="I49" s="2"/>
      <c r="J49" s="13"/>
      <c r="K49" s="2"/>
      <c r="L49" s="2"/>
      <c r="M49" s="2"/>
      <c r="N49" s="2"/>
      <c r="O49" s="2"/>
      <c r="Q49" s="2"/>
      <c r="U49" s="164"/>
      <c r="V49" s="128" t="s">
        <v>3662</v>
      </c>
      <c r="W49" s="122" t="str">
        <f>""&amp;TEXT(COUNTIF(AW:AW,V49),"0")&amp;" ("&amp;TEXT(COUNTIF(AW:AW,V49)/SUM(COUNTIF(AW:AW,$V$48),COUNTIF(AW:AW,$V$49),COUNTIF(AW:AW,$V$50),COUNTIF(AW:AW,$V$51),COUNTIF(AW:AW,$V$52)),"0.0%")&amp;")"</f>
        <v>15 (53.6%)</v>
      </c>
      <c r="X49" s="109" t="str" cm="1">
        <f t="array" ref="X49">""&amp;TEXT(SUM(IF(_xlfn._xlws.FILTER(_xlfn._xlws.FILTER('Included studies 2023 update'!$AN:$AN,('Included studies 2023 update'!$E:$E="No")*('Included studies 2023 update'!$H:$H=X$2)),_xlfn._xlws.FILTER('Included studies 2023 update'!$AN:$AN,('Included studies 2023 update'!$E:$E="No")*('Included studies 2023 update'!$H:$H=X$2))=$V49,0)=0,0,1)),"0")&amp;" ("&amp;TEXT(SUM(IF(_xlfn._xlws.FILTER(_xlfn._xlws.FILTER('Included studies 2023 update'!$AN:$AN,('Included studies 2023 update'!$E:$E="No")*('Included studies 2023 update'!$H:$H=X$2)),_xlfn._xlws.FILTER('Included studies 2023 update'!$AN:$AN,('Included studies 2023 update'!$E:$E="No")*('Included studies 2023 update'!$H:$H=X$2))=$V49,0)=0,0,1))/SUM(SUM(IF(_xlfn._xlws.FILTER(_xlfn._xlws.FILTER('Included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12 (48.0%)</v>
      </c>
      <c r="Y49" s="109" t="str" cm="1">
        <f t="array" ref="Y49">""&amp;TEXT(SUM(IF(_xlfn._xlws.FILTER(_xlfn._xlws.FILTER('Included studies 2023 update'!$AN:$AN,('Included studies 2023 update'!$E:$E="No")*('Included studies 2023 update'!$H:$H=Y$2)),_xlfn._xlws.FILTER('Included studies 2023 update'!$AN:$AN,('Included studies 2023 update'!$E:$E="No")*('Included studies 2023 update'!$H:$H=Y$2))=$V49,0)=0,0,1)),"0")&amp;" ("&amp;TEXT(SUM(IF(_xlfn._xlws.FILTER(_xlfn._xlws.FILTER('Included studies 2023 update'!$AN:$AN,('Included studies 2023 update'!$E:$E="No")*('Included studies 2023 update'!$H:$H=Y$2)),_xlfn._xlws.FILTER('Included studies 2023 update'!$AN:$AN,('Included studies 2023 update'!$E:$E="No")*('Included studies 2023 update'!$H:$H=Y$2))=$V49,0)=0,0,1))/SUM(SUM(IF(_xlfn._xlws.FILTER(_xlfn._xlws.FILTER('Included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4 (50.0%)</v>
      </c>
      <c r="Z49" s="109" t="str" cm="1">
        <f t="array" ref="Z49">""&amp;TEXT(SUM(IF(_xlfn._xlws.FILTER(_xlfn._xlws.FILTER('Included studies 2023 update'!$AN:$AN,('Included studies 2023 update'!$E:$E="No")*('Included studies 2023 update'!$H:$H=Z$2)),_xlfn._xlws.FILTER('Included studies 2023 update'!$AN:$AN,('Included studies 2023 update'!$E:$E="No")*('Included studies 2023 update'!$H:$H=Z$2))=$V49,0)=0,0,1)),"0")&amp;" ("&amp;TEXT(SUM(IF(_xlfn._xlws.FILTER(_xlfn._xlws.FILTER('Included studies 2023 update'!$AN:$AN,('Included studies 2023 update'!$E:$E="No")*('Included studies 2023 update'!$H:$H=Z$2)),_xlfn._xlws.FILTER('Included studies 2023 update'!$AN:$AN,('Included studies 2023 update'!$E:$E="No")*('Included studies 2023 update'!$H:$H=Z$2))=$V49,0)=0,0,1))/SUM(SUM(IF(_xlfn._xlws.FILTER(_xlfn._xlws.FILTER('Included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3 (42.9%)</v>
      </c>
      <c r="AB49" t="str">
        <v>https://pubmed.ncbi.nlm.nih.gov/24964991/</v>
      </c>
      <c r="AC49">
        <f>IF(ISTEXT(AB49),_xlfn.XLOOKUP(AB49,'Included studies 2023 update'!C:C,'Included studies 2023 update'!J:J),"")</f>
        <v>11</v>
      </c>
      <c r="AD49" t="str">
        <f>IF(ISTEXT(AB49),_xlfn.XLOOKUP(AB49,'Included studies 2023 update'!C:C,'Included studies 2023 update'!E:E),"")</f>
        <v>Yes</v>
      </c>
      <c r="AE49" t="str">
        <f>IF(ISTEXT(AB49),_xlfn.XLOOKUP(AB49,'Included studies 2023 update'!C:C,'Included studies 2023 update'!I:I),"")</f>
        <v>ND</v>
      </c>
      <c r="AF49" t="str">
        <f>IF(ISTEXT(AB49),_xlfn.XLOOKUP(AB49,'Included studies 2023 update'!C:C,'Included studies 2023 update'!U:U),"")</f>
        <v xml:space="preserve"> </v>
      </c>
      <c r="AG49" t="str">
        <f>IF(ISTEXT(AB49),_xlfn.XLOOKUP(AB49,'Included studies 2023 update'!C:C,'Included studies 2023 update'!X:X),"")</f>
        <v>PBMC</v>
      </c>
      <c r="AH49" t="str">
        <f>IF(ISTEXT(AB49),_xlfn.XLOOKUP(AB49,'Included studies 2023 update'!C:C,'Included studies 2023 update'!Y:Y),"")</f>
        <v>Unclear or ND</v>
      </c>
      <c r="AI49">
        <f>IF(ISTEXT(AB49),_xlfn.XLOOKUP(AB49,'Included studies 2023 update'!C:C,'Included studies 2023 update'!Z:Z),"")</f>
        <v>0</v>
      </c>
    </row>
    <row r="50" spans="1:35" ht="13" customHeight="1">
      <c r="A50" s="2">
        <v>23331378</v>
      </c>
      <c r="B50" s="11" t="s">
        <v>2817</v>
      </c>
      <c r="C50" s="2" t="s">
        <v>294</v>
      </c>
      <c r="D50" s="2" t="s">
        <v>2818</v>
      </c>
      <c r="E50" s="2" t="s">
        <v>2819</v>
      </c>
      <c r="F50" s="2">
        <v>2013</v>
      </c>
      <c r="G50" s="2" t="s">
        <v>10</v>
      </c>
      <c r="I50" s="2"/>
      <c r="J50" s="16"/>
      <c r="K50" s="2"/>
      <c r="L50" s="2"/>
      <c r="M50" s="2"/>
      <c r="N50" s="2"/>
      <c r="O50" s="2"/>
      <c r="Q50" s="2"/>
      <c r="U50" s="164"/>
      <c r="V50" s="128" t="s">
        <v>3664</v>
      </c>
      <c r="W50" s="122" t="str">
        <f>""&amp;TEXT(COUNTIF(AW:AW,V50),"0")&amp;" ("&amp;TEXT(COUNTIF(AW:AW,V50)/SUM(COUNTIF(AW:AW,$V$48),COUNTIF(AW:AW,$V$49),COUNTIF(AW:AW,$V$50),COUNTIF(AW:AW,$V$51),COUNTIF(AW:AW,$V$52)),"0.0%")&amp;")"</f>
        <v>1 (3.6%)</v>
      </c>
      <c r="X50" s="109" t="str" cm="1">
        <f t="array" ref="X50">""&amp;TEXT(SUM(IF(_xlfn._xlws.FILTER(_xlfn._xlws.FILTER('Included studies 2023 update'!$AN:$AN,('Included studies 2023 update'!$E:$E="No")*('Included studies 2023 update'!$H:$H=X$2)),_xlfn._xlws.FILTER('Included studies 2023 update'!$AN:$AN,('Included studies 2023 update'!$E:$E="No")*('Included studies 2023 update'!$H:$H=X$2))=$V50,0)=0,0,1)),"0")&amp;" ("&amp;TEXT(SUM(IF(_xlfn._xlws.FILTER(_xlfn._xlws.FILTER('Included studies 2023 update'!$AN:$AN,('Included studies 2023 update'!$E:$E="No")*('Included studies 2023 update'!$H:$H=X$2)),_xlfn._xlws.FILTER('Included studies 2023 update'!$AN:$AN,('Included studies 2023 update'!$E:$E="No")*('Included studies 2023 update'!$H:$H=X$2))=$V50,0)=0,0,1))/SUM(SUM(IF(_xlfn._xlws.FILTER(_xlfn._xlws.FILTER('Included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50" s="109" t="str" cm="1">
        <f t="array" ref="Y50">""&amp;TEXT(SUM(IF(_xlfn._xlws.FILTER(_xlfn._xlws.FILTER('Included studies 2023 update'!$AN:$AN,('Included studies 2023 update'!$E:$E="No")*('Included studies 2023 update'!$H:$H=Y$2)),_xlfn._xlws.FILTER('Included studies 2023 update'!$AN:$AN,('Included studies 2023 update'!$E:$E="No")*('Included studies 2023 update'!$H:$H=Y$2))=$V50,0)=0,0,1)),"0")&amp;" ("&amp;TEXT(SUM(IF(_xlfn._xlws.FILTER(_xlfn._xlws.FILTER('Included studies 2023 update'!$AN:$AN,('Included studies 2023 update'!$E:$E="No")*('Included studies 2023 update'!$H:$H=Y$2)),_xlfn._xlws.FILTER('Included studies 2023 update'!$AN:$AN,('Included studies 2023 update'!$E:$E="No")*('Included studies 2023 update'!$H:$H=Y$2))=$V50,0)=0,0,1))/SUM(SUM(IF(_xlfn._xlws.FILTER(_xlfn._xlws.FILTER('Included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50" s="109" t="str" cm="1">
        <f t="array" ref="Z50">""&amp;TEXT(SUM(IF(_xlfn._xlws.FILTER(_xlfn._xlws.FILTER('Included studies 2023 update'!$AN:$AN,('Included studies 2023 update'!$E:$E="No")*('Included studies 2023 update'!$H:$H=Z$2)),_xlfn._xlws.FILTER('Included studies 2023 update'!$AN:$AN,('Included studies 2023 update'!$E:$E="No")*('Included studies 2023 update'!$H:$H=Z$2))=$V50,0)=0,0,1)),"0")&amp;" ("&amp;TEXT(SUM(IF(_xlfn._xlws.FILTER(_xlfn._xlws.FILTER('Included studies 2023 update'!$AN:$AN,('Included studies 2023 update'!$E:$E="No")*('Included studies 2023 update'!$H:$H=Z$2)),_xlfn._xlws.FILTER('Included studies 2023 update'!$AN:$AN,('Included studies 2023 update'!$E:$E="No")*('Included studies 2023 update'!$H:$H=Z$2))=$V50,0)=0,0,1))/SUM(SUM(IF(_xlfn._xlws.FILTER(_xlfn._xlws.FILTER('Included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50" t="str">
        <v>https://pubmed.ncbi.nlm.nih.gov/21810148/</v>
      </c>
      <c r="AC50">
        <f>IF(ISTEXT(AB50),_xlfn.XLOOKUP(AB50,'Included studies 2023 update'!C:C,'Included studies 2023 update'!J:J),"")</f>
        <v>10</v>
      </c>
      <c r="AD50" t="str">
        <f>IF(ISTEXT(AB50),_xlfn.XLOOKUP(AB50,'Included studies 2023 update'!C:C,'Included studies 2023 update'!E:E),"")</f>
        <v>Yes</v>
      </c>
      <c r="AE50" t="str">
        <f>IF(ISTEXT(AB50),_xlfn.XLOOKUP(AB50,'Included studies 2023 update'!C:C,'Included studies 2023 update'!I:I),"")</f>
        <v>Pediatric</v>
      </c>
      <c r="AF50" t="str">
        <f>IF(ISTEXT(AB50),_xlfn.XLOOKUP(AB50,'Included studies 2023 update'!C:C,'Included studies 2023 update'!U:U),"")</f>
        <v xml:space="preserve"> </v>
      </c>
      <c r="AG50" t="str">
        <f>IF(ISTEXT(AB50),_xlfn.XLOOKUP(AB50,'Included studies 2023 update'!C:C,'Included studies 2023 update'!X:X),"")</f>
        <v>Whole blood</v>
      </c>
      <c r="AH50">
        <f>IF(ISTEXT(AB50),_xlfn.XLOOKUP(AB50,'Included studies 2023 update'!C:C,'Included studies 2023 update'!Y:Y),"")</f>
        <v>200</v>
      </c>
      <c r="AI50">
        <f>IF(ISTEXT(AB50),_xlfn.XLOOKUP(AB50,'Included studies 2023 update'!C:C,'Included studies 2023 update'!Z:Z),"")</f>
        <v>0</v>
      </c>
    </row>
    <row r="51" spans="1:35" ht="13" customHeight="1">
      <c r="A51" s="2">
        <v>26493843</v>
      </c>
      <c r="B51" s="11" t="s">
        <v>2820</v>
      </c>
      <c r="C51" s="2" t="s">
        <v>528</v>
      </c>
      <c r="D51" s="2" t="s">
        <v>2821</v>
      </c>
      <c r="E51" s="2" t="s">
        <v>2822</v>
      </c>
      <c r="F51" s="2">
        <v>2016</v>
      </c>
      <c r="G51" s="2" t="s">
        <v>10</v>
      </c>
      <c r="I51" s="2"/>
      <c r="J51" s="16"/>
      <c r="K51" s="2"/>
      <c r="L51" s="2"/>
      <c r="M51" s="2"/>
      <c r="N51" s="2"/>
      <c r="O51" s="2"/>
      <c r="Q51" s="2"/>
      <c r="U51" s="164"/>
      <c r="V51" s="128" t="s">
        <v>3698</v>
      </c>
      <c r="W51" s="122" t="str">
        <f>""&amp;TEXT(COUNTIF(AW:AW,V51),"0")&amp;" ("&amp;TEXT(COUNTIF(AW:AW,V51)/SUM(COUNTIF(AW:AW,$V$48),COUNTIF(AW:AW,$V$49),COUNTIF(AW:AW,$V$50),COUNTIF(AW:AW,$V$51),COUNTIF(AW:AW,$V$52)),"0.0%")&amp;")"</f>
        <v>5 (17.9%)</v>
      </c>
      <c r="X51" s="109" t="str" cm="1">
        <f t="array" ref="X51">""&amp;TEXT(SUM(IF(_xlfn._xlws.FILTER(_xlfn._xlws.FILTER('Included studies 2023 update'!$AN:$AN,('Included studies 2023 update'!$E:$E="No")*('Included studies 2023 update'!$H:$H=X$2)),_xlfn._xlws.FILTER('Included studies 2023 update'!$AN:$AN,('Included studies 2023 update'!$E:$E="No")*('Included studies 2023 update'!$H:$H=X$2))=$V51,0)=0,0,1)),"0")&amp;" ("&amp;TEXT(SUM(IF(_xlfn._xlws.FILTER(_xlfn._xlws.FILTER('Included studies 2023 update'!$AN:$AN,('Included studies 2023 update'!$E:$E="No")*('Included studies 2023 update'!$H:$H=X$2)),_xlfn._xlws.FILTER('Included studies 2023 update'!$AN:$AN,('Included studies 2023 update'!$E:$E="No")*('Included studies 2023 update'!$H:$H=X$2))=$V51,0)=0,0,1))/SUM(SUM(IF(_xlfn._xlws.FILTER(_xlfn._xlws.FILTER('Included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5 (20.0%)</v>
      </c>
      <c r="Y51" s="109" t="str" cm="1">
        <f t="array" ref="Y51">""&amp;TEXT(SUM(IF(_xlfn._xlws.FILTER(_xlfn._xlws.FILTER('Included studies 2023 update'!$AN:$AN,('Included studies 2023 update'!$E:$E="No")*('Included studies 2023 update'!$H:$H=Y$2)),_xlfn._xlws.FILTER('Included studies 2023 update'!$AN:$AN,('Included studies 2023 update'!$E:$E="No")*('Included studies 2023 update'!$H:$H=Y$2))=$V51,0)=0,0,1)),"0")&amp;" ("&amp;TEXT(SUM(IF(_xlfn._xlws.FILTER(_xlfn._xlws.FILTER('Included studies 2023 update'!$AN:$AN,('Included studies 2023 update'!$E:$E="No")*('Included studies 2023 update'!$H:$H=Y$2)),_xlfn._xlws.FILTER('Included studies 2023 update'!$AN:$AN,('Included studies 2023 update'!$E:$E="No")*('Included studies 2023 update'!$H:$H=Y$2))=$V51,0)=0,0,1))/SUM(SUM(IF(_xlfn._xlws.FILTER(_xlfn._xlws.FILTER('Included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1" s="109" t="str" cm="1">
        <f t="array" ref="Z51">""&amp;TEXT(SUM(IF(_xlfn._xlws.FILTER(_xlfn._xlws.FILTER('Included studies 2023 update'!$AN:$AN,('Included studies 2023 update'!$E:$E="No")*('Included studies 2023 update'!$H:$H=Z$2)),_xlfn._xlws.FILTER('Included studies 2023 update'!$AN:$AN,('Included studies 2023 update'!$E:$E="No")*('Included studies 2023 update'!$H:$H=Z$2))=$V51,0)=0,0,1)),"0")&amp;" ("&amp;TEXT(SUM(IF(_xlfn._xlws.FILTER(_xlfn._xlws.FILTER('Included studies 2023 update'!$AN:$AN,('Included studies 2023 update'!$E:$E="No")*('Included studies 2023 update'!$H:$H=Z$2)),_xlfn._xlws.FILTER('Included studies 2023 update'!$AN:$AN,('Included studies 2023 update'!$E:$E="No")*('Included studies 2023 update'!$H:$H=Z$2))=$V51,0)=0,0,1))/SUM(SUM(IF(_xlfn._xlws.FILTER(_xlfn._xlws.FILTER('Included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1" t="str">
        <v>https://pubmed.ncbi.nlm.nih.gov/33533068</v>
      </c>
      <c r="AC51">
        <f>IF(ISTEXT(AB51),_xlfn.XLOOKUP(AB51,'Included studies 2023 update'!C:C,'Included studies 2023 update'!J:J),"")</f>
        <v>277</v>
      </c>
      <c r="AD51" t="str">
        <f>IF(ISTEXT(AB51),_xlfn.XLOOKUP(AB51,'Included studies 2023 update'!C:C,'Included studies 2023 update'!E:E),"")</f>
        <v>Yes</v>
      </c>
      <c r="AE51" t="str">
        <f>IF(ISTEXT(AB51),_xlfn.XLOOKUP(AB51,'Included studies 2023 update'!C:C,'Included studies 2023 update'!I:I),"")</f>
        <v>Pediatric</v>
      </c>
      <c r="AF51" t="str">
        <f>IF(ISTEXT(AB51),_xlfn.XLOOKUP(AB51,'Included studies 2023 update'!C:C,'Included studies 2023 update'!U:U),"")</f>
        <v xml:space="preserve"> </v>
      </c>
      <c r="AG51" t="str">
        <f>IF(ISTEXT(AB51),_xlfn.XLOOKUP(AB51,'Included studies 2023 update'!C:C,'Included studies 2023 update'!X:X),"")</f>
        <v>Unclear or ND</v>
      </c>
      <c r="AH51" t="str">
        <f>IF(ISTEXT(AB51),_xlfn.XLOOKUP(AB51,'Included studies 2023 update'!C:C,'Included studies 2023 update'!Y:Y),"")</f>
        <v>Unclear or ND</v>
      </c>
      <c r="AI51">
        <f>IF(ISTEXT(AB51),_xlfn.XLOOKUP(AB51,'Included studies 2023 update'!C:C,'Included studies 2023 update'!Z:Z),"")</f>
        <v>0</v>
      </c>
    </row>
    <row r="52" spans="1:35" ht="15.75" customHeight="1">
      <c r="A52" s="2">
        <v>27419347</v>
      </c>
      <c r="B52" s="11" t="s">
        <v>2823</v>
      </c>
      <c r="C52" s="2" t="s">
        <v>460</v>
      </c>
      <c r="D52" s="2" t="s">
        <v>2824</v>
      </c>
      <c r="E52" s="2" t="s">
        <v>2825</v>
      </c>
      <c r="F52" s="2">
        <v>2001</v>
      </c>
      <c r="G52" s="2" t="s">
        <v>10</v>
      </c>
      <c r="I52" s="2"/>
      <c r="J52" s="16"/>
      <c r="K52" s="2"/>
      <c r="L52" s="2"/>
      <c r="M52" s="2"/>
      <c r="N52" s="2"/>
      <c r="O52" s="2"/>
      <c r="Q52" s="2"/>
      <c r="U52" s="164"/>
      <c r="V52" s="128" t="s">
        <v>3650</v>
      </c>
      <c r="W52" s="121" t="str">
        <f>""&amp;TEXT(COUNTIF(AW:AW,V52),"0")&amp;" ("&amp;TEXT(COUNTIF(AW:AW,V52)/SUM(COUNTIF(AW:AW,$V$48),COUNTIF(AW:AW,$V$49),COUNTIF(AW:AW,$V$50),COUNTIF(AW:AW,$V$51),COUNTIF(AW:AW,$V$52)),"0.0%")&amp;")"</f>
        <v>6 (21.4%)</v>
      </c>
      <c r="X52" s="117" t="str" cm="1">
        <f t="array" ref="X52">""&amp;TEXT(SUM(IF(_xlfn._xlws.FILTER(_xlfn._xlws.FILTER('Included studies 2023 update'!$AN:$AN,('Included studies 2023 update'!$E:$E="No")*('Included studies 2023 update'!$H:$H=X$2)),_xlfn._xlws.FILTER('Included studies 2023 update'!$AN:$AN,('Included studies 2023 update'!$E:$E="No")*('Included studies 2023 update'!$H:$H=X$2))=$V52,0)=0,0,1)),"0")&amp;" ("&amp;TEXT(SUM(IF(_xlfn._xlws.FILTER(_xlfn._xlws.FILTER('Included studies 2023 update'!$AN:$AN,('Included studies 2023 update'!$E:$E="No")*('Included studies 2023 update'!$H:$H=X$2)),_xlfn._xlws.FILTER('Included studies 2023 update'!$AN:$AN,('Included studies 2023 update'!$E:$E="No")*('Included studies 2023 update'!$H:$H=X$2))=$V52,0)=0,0,1))/SUM(SUM(IF(_xlfn._xlws.FILTER(_xlfn._xlws.FILTER('Included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6 (24.0%)</v>
      </c>
      <c r="Y52" s="117" t="str" cm="1">
        <f t="array" ref="Y52">""&amp;TEXT(SUM(IF(_xlfn._xlws.FILTER(_xlfn._xlws.FILTER('Included studies 2023 update'!$AN:$AN,('Included studies 2023 update'!$E:$E="No")*('Included studies 2023 update'!$H:$H=Y$2)),_xlfn._xlws.FILTER('Included studies 2023 update'!$AN:$AN,('Included studies 2023 update'!$E:$E="No")*('Included studies 2023 update'!$H:$H=Y$2))=$V52,0)=0,0,1)),"0")&amp;" ("&amp;TEXT(SUM(IF(_xlfn._xlws.FILTER(_xlfn._xlws.FILTER('Included studies 2023 update'!$AN:$AN,('Included studies 2023 update'!$E:$E="No")*('Included studies 2023 update'!$H:$H=Y$2)),_xlfn._xlws.FILTER('Included studies 2023 update'!$AN:$AN,('Included studies 2023 update'!$E:$E="No")*('Included studies 2023 update'!$H:$H=Y$2))=$V52,0)=0,0,1))/SUM(SUM(IF(_xlfn._xlws.FILTER(_xlfn._xlws.FILTER('Included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2" s="117" t="str" cm="1">
        <f t="array" ref="Z52">""&amp;TEXT(SUM(IF(_xlfn._xlws.FILTER(_xlfn._xlws.FILTER('Included studies 2023 update'!$AN:$AN,('Included studies 2023 update'!$E:$E="No")*('Included studies 2023 update'!$H:$H=Z$2)),_xlfn._xlws.FILTER('Included studies 2023 update'!$AN:$AN,('Included studies 2023 update'!$E:$E="No")*('Included studies 2023 update'!$H:$H=Z$2))=$V52,0)=0,0,1)),"0")&amp;" ("&amp;TEXT(SUM(IF(_xlfn._xlws.FILTER(_xlfn._xlws.FILTER('Included studies 2023 update'!$AN:$AN,('Included studies 2023 update'!$E:$E="No")*('Included studies 2023 update'!$H:$H=Z$2)),_xlfn._xlws.FILTER('Included studies 2023 update'!$AN:$AN,('Included studies 2023 update'!$E:$E="No")*('Included studies 2023 update'!$H:$H=Z$2))=$V52,0)=0,0,1))/SUM(SUM(IF(_xlfn._xlws.FILTER(_xlfn._xlws.FILTER('Included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2" t="str">
        <v>https://pubmed.ncbi.nlm.nih.gov/26493843/</v>
      </c>
      <c r="AC52">
        <f>IF(ISTEXT(AB52),_xlfn.XLOOKUP(AB52,'Included studies 2023 update'!C:C,'Included studies 2023 update'!J:J),"")</f>
        <v>234</v>
      </c>
      <c r="AD52" t="str">
        <f>IF(ISTEXT(AB52),_xlfn.XLOOKUP(AB52,'Included studies 2023 update'!C:C,'Included studies 2023 update'!E:E),"")</f>
        <v>Yes</v>
      </c>
      <c r="AE52" t="str">
        <f>IF(ISTEXT(AB52),_xlfn.XLOOKUP(AB52,'Included studies 2023 update'!C:C,'Included studies 2023 update'!I:I),"")</f>
        <v>Pediatric</v>
      </c>
      <c r="AF52" t="str">
        <f>IF(ISTEXT(AB52),_xlfn.XLOOKUP(AB52,'Included studies 2023 update'!C:C,'Included studies 2023 update'!U:U),"")</f>
        <v xml:space="preserve"> </v>
      </c>
      <c r="AG52" t="str">
        <f>IF(ISTEXT(AB52),_xlfn.XLOOKUP(AB52,'Included studies 2023 update'!C:C,'Included studies 2023 update'!X:X),"")</f>
        <v>Unclear or ND</v>
      </c>
      <c r="AH52" t="str">
        <f>IF(ISTEXT(AB52),_xlfn.XLOOKUP(AB52,'Included studies 2023 update'!C:C,'Included studies 2023 update'!Y:Y),"")</f>
        <v>Unclear or ND</v>
      </c>
      <c r="AI52">
        <f>IF(ISTEXT(AB52),_xlfn.XLOOKUP(AB52,'Included studies 2023 update'!C:C,'Included studies 2023 update'!Z:Z),"")</f>
        <v>0</v>
      </c>
    </row>
    <row r="53" spans="1:35" ht="15.75" customHeight="1">
      <c r="A53" s="2">
        <v>23929317</v>
      </c>
      <c r="B53" s="11" t="s">
        <v>2826</v>
      </c>
      <c r="C53" s="2" t="s">
        <v>195</v>
      </c>
      <c r="D53" s="2" t="s">
        <v>2827</v>
      </c>
      <c r="E53" s="2" t="s">
        <v>2828</v>
      </c>
      <c r="F53" s="2">
        <v>2014</v>
      </c>
      <c r="G53" s="2" t="s">
        <v>10</v>
      </c>
      <c r="I53" s="2"/>
      <c r="J53" s="16"/>
      <c r="K53" s="2"/>
      <c r="L53" s="2"/>
      <c r="M53" s="2"/>
      <c r="N53" s="2"/>
      <c r="O53" s="2"/>
      <c r="Q53" s="2"/>
      <c r="U53" s="165" t="s">
        <v>3656</v>
      </c>
      <c r="V53" s="102" t="s">
        <v>3401</v>
      </c>
      <c r="W53" s="109" t="str">
        <f>""&amp;TEXT(COUNTIFS(AD:AD,"No",AG:AG,V53),"0")&amp;" ("&amp;TEXT(COUNTIFS(AD:AD,"No",AG:AG,V53)/SUM(COUNTIFS(AD:AD,"No",AG:AG,$V$53),COUNTIFS(AD:AD,"No",AG:AG,$V$54),COUNTIFS(AD:AD,"No",AG:AG,$V$55),COUNTIFS(AD:AD,"No",AG:AG,$V$56)),"0.0%")&amp;")"</f>
        <v>5 (17.9%)</v>
      </c>
      <c r="X53" s="109" t="str" cm="1">
        <f t="array" ref="X53">""&amp;TEXT(SUM(IF(_xlfn._xlws.FILTER(_xlfn._xlws.FILTER('Included studies 2023 update'!$X:$X,('Included studies 2023 update'!$E:$E="No")*('Included studies 2023 update'!$H:$H=X$2)),_xlfn._xlws.FILTER('Included studies 2023 update'!$X:$X,('Included studies 2023 update'!$E:$E="No")*('Included studies 2023 update'!$H:$H=X$2))=$V53,0)=0,0,1)),"0")&amp;" ("&amp;TEXT(SUM(IF(_xlfn._xlws.FILTER(_xlfn._xlws.FILTER('Included studies 2023 update'!$X:$X,('Included studies 2023 update'!$E:$E="No")*('Included studies 2023 update'!$H:$H=X$2)),_xlfn._xlws.FILTER('Included studies 2023 update'!$X:$X,('Included studies 2023 update'!$E:$E="No")*('Included studies 2023 update'!$H:$H=X$2))=$V53,0)=0,0,1))/SUM(SUM(IF(_xlfn._xlws.FILTER(_xlfn._xlws.FILTER('Included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5 (20.0%)</v>
      </c>
      <c r="Y53" s="109" t="str" cm="1">
        <f t="array" ref="Y53">""&amp;TEXT(SUM(IF(_xlfn._xlws.FILTER(_xlfn._xlws.FILTER('Included studies 2023 update'!$X:$X,('Included studies 2023 update'!$E:$E="No")*('Included studies 2023 update'!$H:$H=Y$2)),_xlfn._xlws.FILTER('Included studies 2023 update'!$X:$X,('Included studies 2023 update'!$E:$E="No")*('Included studies 2023 update'!$H:$H=Y$2))=$V53,0)=0,0,1)),"0")&amp;" ("&amp;TEXT(SUM(IF(_xlfn._xlws.FILTER(_xlfn._xlws.FILTER('Included studies 2023 update'!$X:$X,('Included studies 2023 update'!$E:$E="No")*('Included studies 2023 update'!$H:$H=Y$2)),_xlfn._xlws.FILTER('Included studies 2023 update'!$X:$X,('Included studies 2023 update'!$E:$E="No")*('Included studies 2023 update'!$H:$H=Y$2))=$V53,0)=0,0,1))/SUM(SUM(IF(_xlfn._xlws.FILTER(_xlfn._xlws.FILTER('Included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3" s="109" t="str" cm="1">
        <f t="array" ref="Z53">""&amp;TEXT(SUM(IF(_xlfn._xlws.FILTER(_xlfn._xlws.FILTER('Included studies 2023 update'!$X:$X,('Included studies 2023 update'!$E:$E="No")*('Included studies 2023 update'!$H:$H=Z$2)),_xlfn._xlws.FILTER('Included studies 2023 update'!$X:$X,('Included studies 2023 update'!$E:$E="No")*('Included studies 2023 update'!$H:$H=Z$2))=$V53,0)=0,0,1)),"0")&amp;" ("&amp;TEXT(SUM(IF(_xlfn._xlws.FILTER(_xlfn._xlws.FILTER('Included studies 2023 update'!$X:$X,('Included studies 2023 update'!$E:$E="No")*('Included studies 2023 update'!$H:$H=Z$2)),_xlfn._xlws.FILTER('Included studies 2023 update'!$X:$X,('Included studies 2023 update'!$E:$E="No")*('Included studies 2023 update'!$H:$H=Z$2))=$V53,0)=0,0,1))/SUM(SUM(IF(_xlfn._xlws.FILTER(_xlfn._xlws.FILTER('Included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3" t="str">
        <v>https://pubmed.ncbi.nlm.nih.gov/20005968/</v>
      </c>
      <c r="AC53">
        <f>IF(ISTEXT(AB53),_xlfn.XLOOKUP(AB53,'Included studies 2023 update'!C:C,'Included studies 2023 update'!J:J),"")</f>
        <v>39</v>
      </c>
      <c r="AD53" t="str">
        <f>IF(ISTEXT(AB53),_xlfn.XLOOKUP(AB53,'Included studies 2023 update'!C:C,'Included studies 2023 update'!E:E),"")</f>
        <v>Yes</v>
      </c>
      <c r="AE53" t="str">
        <f>IF(ISTEXT(AB53),_xlfn.XLOOKUP(AB53,'Included studies 2023 update'!C:C,'Included studies 2023 update'!I:I),"")</f>
        <v>Adult</v>
      </c>
      <c r="AF53" t="str">
        <f>IF(ISTEXT(AB53),_xlfn.XLOOKUP(AB53,'Included studies 2023 update'!C:C,'Included studies 2023 update'!U:U),"")</f>
        <v xml:space="preserve"> </v>
      </c>
      <c r="AG53" t="str">
        <f>IF(ISTEXT(AB53),_xlfn.XLOOKUP(AB53,'Included studies 2023 update'!C:C,'Included studies 2023 update'!X:X),"")</f>
        <v>Plasma</v>
      </c>
      <c r="AH53">
        <f>IF(ISTEXT(AB53),_xlfn.XLOOKUP(AB53,'Included studies 2023 update'!C:C,'Included studies 2023 update'!Y:Y),"")</f>
        <v>10</v>
      </c>
      <c r="AI53">
        <f>IF(ISTEXT(AB53),_xlfn.XLOOKUP(AB53,'Included studies 2023 update'!C:C,'Included studies 2023 update'!Z:Z),"")</f>
        <v>0</v>
      </c>
    </row>
    <row r="54" spans="1:35" ht="15.75" customHeight="1">
      <c r="A54" s="2">
        <v>20005968</v>
      </c>
      <c r="B54" s="11" t="s">
        <v>2829</v>
      </c>
      <c r="C54" s="2" t="s">
        <v>201</v>
      </c>
      <c r="D54" s="2" t="s">
        <v>2830</v>
      </c>
      <c r="E54" s="2" t="s">
        <v>2831</v>
      </c>
      <c r="F54" s="2">
        <v>2010</v>
      </c>
      <c r="G54" s="2" t="s">
        <v>10</v>
      </c>
      <c r="I54" s="2"/>
      <c r="J54" s="16"/>
      <c r="K54" s="2"/>
      <c r="L54" s="2"/>
      <c r="M54" s="2"/>
      <c r="N54" s="2"/>
      <c r="O54" s="2"/>
      <c r="Q54" s="2"/>
      <c r="U54" s="164"/>
      <c r="V54" s="114" t="s">
        <v>3408</v>
      </c>
      <c r="W54" s="109" t="str">
        <f>""&amp;TEXT(COUNTIFS(AD:AD,"No",AG:AG,V54),"0")&amp;" ("&amp;TEXT(COUNTIFS(AD:AD,"No",AG:AG,V54)/SUM(COUNTIFS(AD:AD,"No",AG:AG,$V$53),COUNTIFS(AD:AD,"No",AG:AG,$V$54),COUNTIFS(AD:AD,"No",AG:AG,$V$55),COUNTIFS(AD:AD,"No",AG:AG,$V$56)),"0.0%")&amp;")"</f>
        <v>17 (60.7%)</v>
      </c>
      <c r="X54" s="109" t="str" cm="1">
        <f t="array" ref="X54">""&amp;TEXT(SUM(IF(_xlfn._xlws.FILTER(_xlfn._xlws.FILTER('Included studies 2023 update'!$X:$X,('Included studies 2023 update'!$E:$E="No")*('Included studies 2023 update'!$H:$H=X$2)),_xlfn._xlws.FILTER('Included studies 2023 update'!$X:$X,('Included studies 2023 update'!$E:$E="No")*('Included studies 2023 update'!$H:$H=X$2))=$V54,0)=0,0,1)),"0")&amp;" ("&amp;TEXT(SUM(IF(_xlfn._xlws.FILTER(_xlfn._xlws.FILTER('Included studies 2023 update'!$X:$X,('Included studies 2023 update'!$E:$E="No")*('Included studies 2023 update'!$H:$H=X$2)),_xlfn._xlws.FILTER('Included studies 2023 update'!$X:$X,('Included studies 2023 update'!$E:$E="No")*('Included studies 2023 update'!$H:$H=X$2))=$V54,0)=0,0,1))/SUM(SUM(IF(_xlfn._xlws.FILTER(_xlfn._xlws.FILTER('Included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16 (64.0%)</v>
      </c>
      <c r="Y54" s="109" t="str" cm="1">
        <f t="array" ref="Y54">""&amp;TEXT(SUM(IF(_xlfn._xlws.FILTER(_xlfn._xlws.FILTER('Included studies 2023 update'!$X:$X,('Included studies 2023 update'!$E:$E="No")*('Included studies 2023 update'!$H:$H=Y$2)),_xlfn._xlws.FILTER('Included studies 2023 update'!$X:$X,('Included studies 2023 update'!$E:$E="No")*('Included studies 2023 update'!$H:$H=Y$2))=$V54,0)=0,0,1)),"0")&amp;" ("&amp;TEXT(SUM(IF(_xlfn._xlws.FILTER(_xlfn._xlws.FILTER('Included studies 2023 update'!$X:$X,('Included studies 2023 update'!$E:$E="No")*('Included studies 2023 update'!$H:$H=Y$2)),_xlfn._xlws.FILTER('Included studies 2023 update'!$X:$X,('Included studies 2023 update'!$E:$E="No")*('Included studies 2023 update'!$H:$H=Y$2))=$V54,0)=0,0,1))/SUM(SUM(IF(_xlfn._xlws.FILTER(_xlfn._xlws.FILTER('Included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7 (87.5%)</v>
      </c>
      <c r="Z54" s="109" t="str" cm="1">
        <f t="array" ref="Z54">""&amp;TEXT(SUM(IF(_xlfn._xlws.FILTER(_xlfn._xlws.FILTER('Included studies 2023 update'!$X:$X,('Included studies 2023 update'!$E:$E="No")*('Included studies 2023 update'!$H:$H=Z$2)),_xlfn._xlws.FILTER('Included studies 2023 update'!$X:$X,('Included studies 2023 update'!$E:$E="No")*('Included studies 2023 update'!$H:$H=Z$2))=$V54,0)=0,0,1)),"0")&amp;" ("&amp;TEXT(SUM(IF(_xlfn._xlws.FILTER(_xlfn._xlws.FILTER('Included studies 2023 update'!$X:$X,('Included studies 2023 update'!$E:$E="No")*('Included studies 2023 update'!$H:$H=Z$2)),_xlfn._xlws.FILTER('Included studies 2023 update'!$X:$X,('Included studies 2023 update'!$E:$E="No")*('Included studies 2023 update'!$H:$H=Z$2))=$V54,0)=0,0,1))/SUM(SUM(IF(_xlfn._xlws.FILTER(_xlfn._xlws.FILTER('Included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6 (85.7%)</v>
      </c>
      <c r="AB54" t="str">
        <v>https://pubmed.ncbi.nlm.nih.gov/28783452/</v>
      </c>
      <c r="AC54">
        <f>IF(ISTEXT(AB54),_xlfn.XLOOKUP(AB54,'Included studies 2023 update'!C:C,'Included studies 2023 update'!J:J),"")</f>
        <v>37</v>
      </c>
      <c r="AD54" t="str">
        <f>IF(ISTEXT(AB54),_xlfn.XLOOKUP(AB54,'Included studies 2023 update'!C:C,'Included studies 2023 update'!E:E),"")</f>
        <v>Yes</v>
      </c>
      <c r="AE54" t="str">
        <f>IF(ISTEXT(AB54),_xlfn.XLOOKUP(AB54,'Included studies 2023 update'!C:C,'Included studies 2023 update'!I:I),"")</f>
        <v>Both</v>
      </c>
      <c r="AF54" t="str">
        <f>IF(ISTEXT(AB54),_xlfn.XLOOKUP(AB54,'Included studies 2023 update'!C:C,'Included studies 2023 update'!U:U),"")</f>
        <v xml:space="preserve"> </v>
      </c>
      <c r="AG54" t="str">
        <f>IF(ISTEXT(AB54),_xlfn.XLOOKUP(AB54,'Included studies 2023 update'!C:C,'Included studies 2023 update'!X:X),"")</f>
        <v>Unclear or ND</v>
      </c>
      <c r="AH54" t="str">
        <f>IF(ISTEXT(AB54),_xlfn.XLOOKUP(AB54,'Included studies 2023 update'!C:C,'Included studies 2023 update'!Y:Y),"")</f>
        <v>Unclear or ND</v>
      </c>
      <c r="AI54">
        <f>IF(ISTEXT(AB54),_xlfn.XLOOKUP(AB54,'Included studies 2023 update'!C:C,'Included studies 2023 update'!Z:Z),"")</f>
        <v>0</v>
      </c>
    </row>
    <row r="55" spans="1:35" ht="15.75" customHeight="1">
      <c r="A55" s="2">
        <v>28783452</v>
      </c>
      <c r="B55" s="11" t="s">
        <v>2832</v>
      </c>
      <c r="C55" s="2" t="s">
        <v>366</v>
      </c>
      <c r="D55" s="2" t="s">
        <v>2833</v>
      </c>
      <c r="E55" s="2" t="s">
        <v>2834</v>
      </c>
      <c r="F55" s="2">
        <v>2017</v>
      </c>
      <c r="G55" s="2" t="s">
        <v>10</v>
      </c>
      <c r="I55" s="2"/>
      <c r="J55" s="16"/>
      <c r="K55" s="2"/>
      <c r="L55" s="2"/>
      <c r="M55" s="2"/>
      <c r="N55" s="2"/>
      <c r="O55" s="2"/>
      <c r="Q55" s="2"/>
      <c r="U55" s="164"/>
      <c r="V55" s="114" t="s">
        <v>3490</v>
      </c>
      <c r="W55" s="109" t="str">
        <f>""&amp;TEXT(COUNTIFS(AD:AD,"No",AG:AG,V55),"0")&amp;" ("&amp;TEXT(COUNTIFS(AD:AD,"No",AG:AG,V55)/SUM(COUNTIFS(AD:AD,"No",AG:AG,$V$53),COUNTIFS(AD:AD,"No",AG:AG,$V$54),COUNTIFS(AD:AD,"No",AG:AG,$V$55),COUNTIFS(AD:AD,"No",AG:AG,$V$56)),"0.0%")&amp;")"</f>
        <v>3 (10.7%)</v>
      </c>
      <c r="X55" s="109" t="str" cm="1">
        <f t="array" ref="X55">""&amp;TEXT(SUM(IF(_xlfn._xlws.FILTER(_xlfn._xlws.FILTER('Included studies 2023 update'!$X:$X,('Included studies 2023 update'!$E:$E="No")*('Included studies 2023 update'!$H:$H=X$2)),_xlfn._xlws.FILTER('Included studies 2023 update'!$X:$X,('Included studies 2023 update'!$E:$E="No")*('Included studies 2023 update'!$H:$H=X$2))=$V55,0)=0,0,1)),"0")&amp;" ("&amp;TEXT(SUM(IF(_xlfn._xlws.FILTER(_xlfn._xlws.FILTER('Included studies 2023 update'!$X:$X,('Included studies 2023 update'!$E:$E="No")*('Included studies 2023 update'!$H:$H=X$2)),_xlfn._xlws.FILTER('Included studies 2023 update'!$X:$X,('Included studies 2023 update'!$E:$E="No")*('Included studies 2023 update'!$H:$H=X$2))=$V55,0)=0,0,1))/SUM(SUM(IF(_xlfn._xlws.FILTER(_xlfn._xlws.FILTER('Included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5" s="109" t="str" cm="1">
        <f t="array" ref="Y55">""&amp;TEXT(SUM(IF(_xlfn._xlws.FILTER(_xlfn._xlws.FILTER('Included studies 2023 update'!$X:$X,('Included studies 2023 update'!$E:$E="No")*('Included studies 2023 update'!$H:$H=Y$2)),_xlfn._xlws.FILTER('Included studies 2023 update'!$X:$X,('Included studies 2023 update'!$E:$E="No")*('Included studies 2023 update'!$H:$H=Y$2))=$V55,0)=0,0,1)),"0")&amp;" ("&amp;TEXT(SUM(IF(_xlfn._xlws.FILTER(_xlfn._xlws.FILTER('Included studies 2023 update'!$X:$X,('Included studies 2023 update'!$E:$E="No")*('Included studies 2023 update'!$H:$H=Y$2)),_xlfn._xlws.FILTER('Included studies 2023 update'!$X:$X,('Included studies 2023 update'!$E:$E="No")*('Included studies 2023 update'!$H:$H=Y$2))=$V55,0)=0,0,1))/SUM(SUM(IF(_xlfn._xlws.FILTER(_xlfn._xlws.FILTER('Included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1 (12.5%)</v>
      </c>
      <c r="Z55" s="109" t="str" cm="1">
        <f t="array" ref="Z55">""&amp;TEXT(SUM(IF(_xlfn._xlws.FILTER(_xlfn._xlws.FILTER('Included studies 2023 update'!$X:$X,('Included studies 2023 update'!$E:$E="No")*('Included studies 2023 update'!$H:$H=Z$2)),_xlfn._xlws.FILTER('Included studies 2023 update'!$X:$X,('Included studies 2023 update'!$E:$E="No")*('Included studies 2023 update'!$H:$H=Z$2))=$V55,0)=0,0,1)),"0")&amp;" ("&amp;TEXT(SUM(IF(_xlfn._xlws.FILTER(_xlfn._xlws.FILTER('Included studies 2023 update'!$X:$X,('Included studies 2023 update'!$E:$E="No")*('Included studies 2023 update'!$H:$H=Z$2)),_xlfn._xlws.FILTER('Included studies 2023 update'!$X:$X,('Included studies 2023 update'!$E:$E="No")*('Included studies 2023 update'!$H:$H=Z$2))=$V55,0)=0,0,1))/SUM(SUM(IF(_xlfn._xlws.FILTER(_xlfn._xlws.FILTER('Included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5" t="str">
        <v>https://pubmed.ncbi.nlm.nih.gov/32906131/</v>
      </c>
      <c r="AC55">
        <f>IF(ISTEXT(AB55),_xlfn.XLOOKUP(AB55,'Included studies 2023 update'!C:C,'Included studies 2023 update'!J:J),"")</f>
        <v>55</v>
      </c>
      <c r="AD55" t="str">
        <f>IF(ISTEXT(AB55),_xlfn.XLOOKUP(AB55,'Included studies 2023 update'!C:C,'Included studies 2023 update'!E:E),"")</f>
        <v>Yes</v>
      </c>
      <c r="AE55" t="str">
        <f>IF(ISTEXT(AB55),_xlfn.XLOOKUP(AB55,'Included studies 2023 update'!C:C,'Included studies 2023 update'!I:I),"")</f>
        <v>Adult</v>
      </c>
      <c r="AF55" t="str">
        <f>IF(ISTEXT(AB55),_xlfn.XLOOKUP(AB55,'Included studies 2023 update'!C:C,'Included studies 2023 update'!U:U),"")</f>
        <v xml:space="preserve"> </v>
      </c>
      <c r="AG55" t="str">
        <f>IF(ISTEXT(AB55),_xlfn.XLOOKUP(AB55,'Included studies 2023 update'!C:C,'Included studies 2023 update'!X:X),"")</f>
        <v>skin biopsy and blood</v>
      </c>
      <c r="AH55" t="str">
        <f>IF(ISTEXT(AB55),_xlfn.XLOOKUP(AB55,'Included studies 2023 update'!C:C,'Included studies 2023 update'!Y:Y),"")</f>
        <v>Unclear or ND</v>
      </c>
      <c r="AI55">
        <f>IF(ISTEXT(AB55),_xlfn.XLOOKUP(AB55,'Included studies 2023 update'!C:C,'Included studies 2023 update'!Z:Z),"")</f>
        <v>0</v>
      </c>
    </row>
    <row r="56" spans="1:35" ht="15.75" customHeight="1">
      <c r="A56" s="2">
        <v>20228849</v>
      </c>
      <c r="B56" s="11" t="s">
        <v>2835</v>
      </c>
      <c r="C56" s="2" t="s">
        <v>466</v>
      </c>
      <c r="D56" s="2" t="s">
        <v>2836</v>
      </c>
      <c r="E56" s="2" t="s">
        <v>2837</v>
      </c>
      <c r="F56" s="2">
        <v>2011</v>
      </c>
      <c r="G56" s="2" t="s">
        <v>10</v>
      </c>
      <c r="I56" s="2"/>
      <c r="J56" s="16"/>
      <c r="K56" s="2"/>
      <c r="L56" s="2"/>
      <c r="M56" s="2"/>
      <c r="N56" s="2"/>
      <c r="O56" s="2"/>
      <c r="Q56" s="2"/>
      <c r="U56" s="164"/>
      <c r="V56" s="114" t="s">
        <v>3650</v>
      </c>
      <c r="W56" s="109" t="str">
        <f>""&amp;TEXT(COUNTIFS(AD:AD,"No",AG:AG,V56),"0")&amp;" ("&amp;TEXT(COUNTIFS(AD:AD,"No",AG:AG,V56)/SUM(COUNTIFS(AD:AD,"No",AG:AG,$V$53),COUNTIFS(AD:AD,"No",AG:AG,$V$54),COUNTIFS(AD:AD,"No",AG:AG,$V$55),COUNTIFS(AD:AD,"No",AG:AG,$V$56)),"0.0%")&amp;")"</f>
        <v>3 (10.7%)</v>
      </c>
      <c r="X56" s="109" t="str" cm="1">
        <f t="array" ref="X56">""&amp;TEXT(SUM(IF(_xlfn._xlws.FILTER(_xlfn._xlws.FILTER('Included studies 2023 update'!$X:$X,('Included studies 2023 update'!$E:$E="No")*('Included studies 2023 update'!$H:$H=X$2)),_xlfn._xlws.FILTER('Included studies 2023 update'!$X:$X,('Included studies 2023 update'!$E:$E="No")*('Included studies 2023 update'!$H:$H=X$2))=$V56,0)=0,0,1)),"0")&amp;" ("&amp;TEXT(SUM(IF(_xlfn._xlws.FILTER(_xlfn._xlws.FILTER('Included studies 2023 update'!$X:$X,('Included studies 2023 update'!$E:$E="No")*('Included studies 2023 update'!$H:$H=X$2)),_xlfn._xlws.FILTER('Included studies 2023 update'!$X:$X,('Included studies 2023 update'!$E:$E="No")*('Included studies 2023 update'!$H:$H=X$2))=$V56,0)=0,0,1))/SUM(SUM(IF(_xlfn._xlws.FILTER(_xlfn._xlws.FILTER('Included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6" s="109" t="str" cm="1">
        <f t="array" ref="Y56">""&amp;TEXT(SUM(IF(_xlfn._xlws.FILTER(_xlfn._xlws.FILTER('Included studies 2023 update'!$X:$X,('Included studies 2023 update'!$E:$E="No")*('Included studies 2023 update'!$H:$H=Y$2)),_xlfn._xlws.FILTER('Included studies 2023 update'!$X:$X,('Included studies 2023 update'!$E:$E="No")*('Included studies 2023 update'!$H:$H=Y$2))=$V56,0)=0,0,1)),"0")&amp;" ("&amp;TEXT(SUM(IF(_xlfn._xlws.FILTER(_xlfn._xlws.FILTER('Included studies 2023 update'!$X:$X,('Included studies 2023 update'!$E:$E="No")*('Included studies 2023 update'!$H:$H=Y$2)),_xlfn._xlws.FILTER('Included studies 2023 update'!$X:$X,('Included studies 2023 update'!$E:$E="No")*('Included studies 2023 update'!$H:$H=Y$2))=$V56,0)=0,0,1))/SUM(SUM(IF(_xlfn._xlws.FILTER(_xlfn._xlws.FILTER('Included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6" s="109" t="str" cm="1">
        <f t="array" ref="Z56">""&amp;TEXT(SUM(IF(_xlfn._xlws.FILTER(_xlfn._xlws.FILTER('Included studies 2023 update'!$X:$X,('Included studies 2023 update'!$E:$E="No")*('Included studies 2023 update'!$H:$H=Z$2)),_xlfn._xlws.FILTER('Included studies 2023 update'!$X:$X,('Included studies 2023 update'!$E:$E="No")*('Included studies 2023 update'!$H:$H=Z$2))=$V56,0)=0,0,1)),"0")&amp;" ("&amp;TEXT(SUM(IF(_xlfn._xlws.FILTER(_xlfn._xlws.FILTER('Included studies 2023 update'!$X:$X,('Included studies 2023 update'!$E:$E="No")*('Included studies 2023 update'!$H:$H=Z$2)),_xlfn._xlws.FILTER('Included studies 2023 update'!$X:$X,('Included studies 2023 update'!$E:$E="No")*('Included studies 2023 update'!$H:$H=Z$2))=$V56,0)=0,0,1))/SUM(SUM(IF(_xlfn._xlws.FILTER(_xlfn._xlws.FILTER('Included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1 (14.3%)</v>
      </c>
      <c r="AB56" t="str">
        <v>https://pubmed.ncbi.nlm.nih.gov/32663845/</v>
      </c>
      <c r="AC56">
        <f>IF(ISTEXT(AB56),_xlfn.XLOOKUP(AB56,'Included studies 2023 update'!C:C,'Included studies 2023 update'!J:J),"")</f>
        <v>39</v>
      </c>
      <c r="AD56" t="str">
        <f>IF(ISTEXT(AB56),_xlfn.XLOOKUP(AB56,'Included studies 2023 update'!C:C,'Included studies 2023 update'!E:E),"")</f>
        <v>Yes</v>
      </c>
      <c r="AE56">
        <f>IF(ISTEXT(AB56),_xlfn.XLOOKUP(AB56,'Included studies 2023 update'!C:C,'Included studies 2023 update'!I:I),"")</f>
        <v>0</v>
      </c>
      <c r="AF56" t="str">
        <f>IF(ISTEXT(AB56),_xlfn.XLOOKUP(AB56,'Included studies 2023 update'!C:C,'Included studies 2023 update'!U:U),"")</f>
        <v xml:space="preserve"> </v>
      </c>
      <c r="AG56">
        <f>IF(ISTEXT(AB56),_xlfn.XLOOKUP(AB56,'Included studies 2023 update'!C:C,'Included studies 2023 update'!X:X),"")</f>
        <v>0</v>
      </c>
      <c r="AH56">
        <f>IF(ISTEXT(AB56),_xlfn.XLOOKUP(AB56,'Included studies 2023 update'!C:C,'Included studies 2023 update'!Y:Y),"")</f>
        <v>0</v>
      </c>
      <c r="AI56">
        <f>IF(ISTEXT(AB56),_xlfn.XLOOKUP(AB56,'Included studies 2023 update'!C:C,'Included studies 2023 update'!Z:Z),"")</f>
        <v>0</v>
      </c>
    </row>
    <row r="57" spans="1:35" ht="15.75" customHeight="1">
      <c r="A57" s="2">
        <v>26132825</v>
      </c>
      <c r="B57" s="11" t="s">
        <v>2838</v>
      </c>
      <c r="C57" s="2" t="s">
        <v>416</v>
      </c>
      <c r="D57" s="2" t="s">
        <v>2839</v>
      </c>
      <c r="E57" s="2" t="s">
        <v>2840</v>
      </c>
      <c r="F57" s="2">
        <v>2015</v>
      </c>
      <c r="G57" s="2" t="s">
        <v>10</v>
      </c>
      <c r="I57" s="2"/>
      <c r="J57" s="16"/>
      <c r="K57" s="2"/>
      <c r="L57" s="2"/>
      <c r="M57" s="2"/>
      <c r="N57" s="2"/>
      <c r="O57" s="2"/>
      <c r="Q57" s="2"/>
      <c r="U57" s="161" t="s">
        <v>3697</v>
      </c>
      <c r="V57" s="134">
        <v>1000</v>
      </c>
      <c r="W57" s="95" t="str">
        <f t="shared" ref="W57:W66" si="3">""&amp;TEXT(COUNTIFS(AD:AD,"No",AH:AH,V57),"0")&amp;" ("&amp;TEXT(COUNTIFS(AD:AD,"No",AH:AH,V57)/SUM(COUNTIFS(AD:AD,"No",AH:AH,$V$57),COUNTIFS(AD:AD,"No",AH:AH,$V$58),COUNTIFS(AD:AD,"No",AH:AH,$V$59),COUNTIFS(AD:AD,"No",AH:AH,$V$60),COUNTIFS(AD:AD,"No",AH:AH,$V$61),COUNTIFS(AD:AD,"No",AH:AH,$V$62),COUNTIFS(AD:AD,"No",AH:AH,$V$63),COUNTIFS(AD:AD,"No",AH:AH,$V$64),COUNTIFS(AD:AD,"No",AH:AH,$V$65),COUNTIFS(AD:AD,"No",AH:AH,$V$66),COUNTIFS(AD:AD,"No",AH:AH,$V$67)),"0.0%")&amp;")"</f>
        <v>4 (14.3%)</v>
      </c>
      <c r="X57" s="101" t="str" cm="1">
        <f t="array" ref="X57">""&amp;TEXT(SUM(IF(_xlfn._xlws.FILTER(_xlfn._xlws.FILTER('Included studies 2023 update'!$Y:$Y,('Included studies 2023 update'!$E:$E="No")*('Included studies 2023 update'!$H:$H=X$2)),_xlfn._xlws.FILTER('Included studies 2023 update'!$Y:$Y,('Included studies 2023 update'!$E:$E="No")*('Included studies 2023 update'!$H:$H=X$2))=$V57,0)=0,0,1)),"0")&amp;" ("&amp;TEXT(SUM(IF(_xlfn._xlws.FILTER(_xlfn._xlws.FILTER('Included studies 2023 update'!$Y:$Y,('Included studies 2023 update'!$E:$E="No")*('Included studies 2023 update'!$H:$H=X$2)),_xlfn._xlws.FILTER('Included studies 2023 update'!$Y:$Y,('Included studies 2023 update'!$E:$E="No")*('Included studies 2023 update'!$H:$H=X$2))=$V57,0)=0,0,1))/SUM(SUM(IF(_xlfn._xlws.FILTER(_xlfn._xlws.FILTER('Included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4 (16.0%)</v>
      </c>
      <c r="Y57" s="101" t="str" cm="1">
        <f t="array" ref="Y57">""&amp;TEXT(SUM(IF(_xlfn._xlws.FILTER(_xlfn._xlws.FILTER('Included studies 2023 update'!$Y:$Y,('Included studies 2023 update'!$E:$E="No")*('Included studies 2023 update'!$H:$H=Y$2)),_xlfn._xlws.FILTER('Included studies 2023 update'!$Y:$Y,('Included studies 2023 update'!$E:$E="No")*('Included studies 2023 update'!$H:$H=Y$2))=$V57,0)=0,0,1)),"0")&amp;" ("&amp;TEXT(SUM(IF(_xlfn._xlws.FILTER(_xlfn._xlws.FILTER('Included studies 2023 update'!$Y:$Y,('Included studies 2023 update'!$E:$E="No")*('Included studies 2023 update'!$H:$H=Y$2)),_xlfn._xlws.FILTER('Included studies 2023 update'!$Y:$Y,('Included studies 2023 update'!$E:$E="No")*('Included studies 2023 update'!$H:$H=Y$2))=$V57,0)=0,0,1))/SUM(SUM(IF(_xlfn._xlws.FILTER(_xlfn._xlws.FILTER('Included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7" s="101" t="str" cm="1">
        <f t="array" ref="Z57">""&amp;TEXT(SUM(IF(_xlfn._xlws.FILTER(_xlfn._xlws.FILTER('Included studies 2023 update'!$Y:$Y,('Included studies 2023 update'!$E:$E="No")*('Included studies 2023 update'!$H:$H=Z$2)),_xlfn._xlws.FILTER('Included studies 2023 update'!$Y:$Y,('Included studies 2023 update'!$E:$E="No")*('Included studies 2023 update'!$H:$H=Z$2))=$V57,0)=0,0,1)),"0")&amp;" ("&amp;TEXT(SUM(IF(_xlfn._xlws.FILTER(_xlfn._xlws.FILTER('Included studies 2023 update'!$Y:$Y,('Included studies 2023 update'!$E:$E="No")*('Included studies 2023 update'!$H:$H=Z$2)),_xlfn._xlws.FILTER('Included studies 2023 update'!$Y:$Y,('Included studies 2023 update'!$E:$E="No")*('Included studies 2023 update'!$H:$H=Z$2))=$V57,0)=0,0,1))/SUM(SUM(IF(_xlfn._xlws.FILTER(_xlfn._xlws.FILTER('Included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7" t="str">
        <v>https://pubmed.ncbi.nlm.nih.gov/28209721/</v>
      </c>
      <c r="AC57">
        <f>IF(ISTEXT(AB57),_xlfn.XLOOKUP(AB57,'Included studies 2023 update'!C:C,'Included studies 2023 update'!J:J),"")</f>
        <v>126</v>
      </c>
      <c r="AD57" t="str">
        <f>IF(ISTEXT(AB57),_xlfn.XLOOKUP(AB57,'Included studies 2023 update'!C:C,'Included studies 2023 update'!E:E),"")</f>
        <v>Yes</v>
      </c>
      <c r="AE57">
        <f>IF(ISTEXT(AB57),_xlfn.XLOOKUP(AB57,'Included studies 2023 update'!C:C,'Included studies 2023 update'!I:I),"")</f>
        <v>0</v>
      </c>
      <c r="AF57" t="str">
        <f>IF(ISTEXT(AB57),_xlfn.XLOOKUP(AB57,'Included studies 2023 update'!C:C,'Included studies 2023 update'!U:U),"")</f>
        <v xml:space="preserve"> </v>
      </c>
      <c r="AG57">
        <f>IF(ISTEXT(AB57),_xlfn.XLOOKUP(AB57,'Included studies 2023 update'!C:C,'Included studies 2023 update'!X:X),"")</f>
        <v>0</v>
      </c>
      <c r="AH57">
        <f>IF(ISTEXT(AB57),_xlfn.XLOOKUP(AB57,'Included studies 2023 update'!C:C,'Included studies 2023 update'!Y:Y),"")</f>
        <v>0</v>
      </c>
      <c r="AI57">
        <f>IF(ISTEXT(AB57),_xlfn.XLOOKUP(AB57,'Included studies 2023 update'!C:C,'Included studies 2023 update'!Z:Z),"")</f>
        <v>0</v>
      </c>
    </row>
    <row r="58" spans="1:35" ht="15.75" customHeight="1">
      <c r="A58" s="2">
        <v>18695666</v>
      </c>
      <c r="B58" s="11" t="s">
        <v>2841</v>
      </c>
      <c r="C58" s="2" t="s">
        <v>109</v>
      </c>
      <c r="D58" s="2" t="s">
        <v>2842</v>
      </c>
      <c r="E58" s="2" t="s">
        <v>2843</v>
      </c>
      <c r="F58" s="2">
        <v>2008</v>
      </c>
      <c r="G58" s="2" t="s">
        <v>10</v>
      </c>
      <c r="I58" s="2"/>
      <c r="J58" s="16"/>
      <c r="K58" s="2"/>
      <c r="L58" s="2"/>
      <c r="M58" s="2"/>
      <c r="N58" s="2"/>
      <c r="O58" s="2"/>
      <c r="Q58" s="2"/>
      <c r="U58" s="162"/>
      <c r="V58" s="128">
        <v>500</v>
      </c>
      <c r="W58" s="122" t="str">
        <f t="shared" si="3"/>
        <v>3 (10.7%)</v>
      </c>
      <c r="X58" s="109" t="str" cm="1">
        <f t="array" ref="X58">""&amp;TEXT(SUM(IF(_xlfn._xlws.FILTER(_xlfn._xlws.FILTER('Included studies 2023 update'!$Y:$Y,('Included studies 2023 update'!$E:$E="No")*('Included studies 2023 update'!$H:$H=X$2)),_xlfn._xlws.FILTER('Included studies 2023 update'!$Y:$Y,('Included studies 2023 update'!$E:$E="No")*('Included studies 2023 update'!$H:$H=X$2))=$V58,0)=0,0,1)),"0")&amp;" ("&amp;TEXT(SUM(IF(_xlfn._xlws.FILTER(_xlfn._xlws.FILTER('Included studies 2023 update'!$Y:$Y,('Included studies 2023 update'!$E:$E="No")*('Included studies 2023 update'!$H:$H=X$2)),_xlfn._xlws.FILTER('Included studies 2023 update'!$Y:$Y,('Included studies 2023 update'!$E:$E="No")*('Included studies 2023 update'!$H:$H=X$2))=$V58,0)=0,0,1))/SUM(SUM(IF(_xlfn._xlws.FILTER(_xlfn._xlws.FILTER('Included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58" s="109" t="str" cm="1">
        <f t="array" ref="Y58">""&amp;TEXT(SUM(IF(_xlfn._xlws.FILTER(_xlfn._xlws.FILTER('Included studies 2023 update'!$Y:$Y,('Included studies 2023 update'!$E:$E="No")*('Included studies 2023 update'!$H:$H=Y$2)),_xlfn._xlws.FILTER('Included studies 2023 update'!$Y:$Y,('Included studies 2023 update'!$E:$E="No")*('Included studies 2023 update'!$H:$H=Y$2))=$V58,0)=0,0,1)),"0")&amp;" ("&amp;TEXT(SUM(IF(_xlfn._xlws.FILTER(_xlfn._xlws.FILTER('Included studies 2023 update'!$Y:$Y,('Included studies 2023 update'!$E:$E="No")*('Included studies 2023 update'!$H:$H=Y$2)),_xlfn._xlws.FILTER('Included studies 2023 update'!$Y:$Y,('Included studies 2023 update'!$E:$E="No")*('Included studies 2023 update'!$H:$H=Y$2))=$V58,0)=0,0,1))/SUM(SUM(IF(_xlfn._xlws.FILTER(_xlfn._xlws.FILTER('Included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8" s="109" t="str" cm="1">
        <f t="array" ref="Z58">""&amp;TEXT(SUM(IF(_xlfn._xlws.FILTER(_xlfn._xlws.FILTER('Included studies 2023 update'!$Y:$Y,('Included studies 2023 update'!$E:$E="No")*('Included studies 2023 update'!$H:$H=Z$2)),_xlfn._xlws.FILTER('Included studies 2023 update'!$Y:$Y,('Included studies 2023 update'!$E:$E="No")*('Included studies 2023 update'!$H:$H=Z$2))=$V58,0)=0,0,1)),"0")&amp;" ("&amp;TEXT(SUM(IF(_xlfn._xlws.FILTER(_xlfn._xlws.FILTER('Included studies 2023 update'!$Y:$Y,('Included studies 2023 update'!$E:$E="No")*('Included studies 2023 update'!$H:$H=Z$2)),_xlfn._xlws.FILTER('Included studies 2023 update'!$Y:$Y,('Included studies 2023 update'!$E:$E="No")*('Included studies 2023 update'!$H:$H=Z$2))=$V58,0)=0,0,1))/SUM(SUM(IF(_xlfn._xlws.FILTER(_xlfn._xlws.FILTER('Included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8" t="str">
        <v>https://pubmed.ncbi.nlm.nih.gov/24315842/</v>
      </c>
      <c r="AC58">
        <f>IF(ISTEXT(AB58),_xlfn.XLOOKUP(AB58,'Included studies 2023 update'!C:C,'Included studies 2023 update'!J:J),"")</f>
        <v>69</v>
      </c>
      <c r="AD58" t="str">
        <f>IF(ISTEXT(AB58),_xlfn.XLOOKUP(AB58,'Included studies 2023 update'!C:C,'Included studies 2023 update'!E:E),"")</f>
        <v>Yes</v>
      </c>
      <c r="AE58">
        <f>IF(ISTEXT(AB58),_xlfn.XLOOKUP(AB58,'Included studies 2023 update'!C:C,'Included studies 2023 update'!I:I),"")</f>
        <v>0</v>
      </c>
      <c r="AF58" t="str">
        <f>IF(ISTEXT(AB58),_xlfn.XLOOKUP(AB58,'Included studies 2023 update'!C:C,'Included studies 2023 update'!U:U),"")</f>
        <v xml:space="preserve"> </v>
      </c>
      <c r="AG58">
        <f>IF(ISTEXT(AB58),_xlfn.XLOOKUP(AB58,'Included studies 2023 update'!C:C,'Included studies 2023 update'!X:X),"")</f>
        <v>0</v>
      </c>
      <c r="AH58">
        <f>IF(ISTEXT(AB58),_xlfn.XLOOKUP(AB58,'Included studies 2023 update'!C:C,'Included studies 2023 update'!Y:Y),"")</f>
        <v>0</v>
      </c>
      <c r="AI58">
        <f>IF(ISTEXT(AB58),_xlfn.XLOOKUP(AB58,'Included studies 2023 update'!C:C,'Included studies 2023 update'!Z:Z),"")</f>
        <v>0</v>
      </c>
    </row>
    <row r="59" spans="1:35" ht="15.75" customHeight="1">
      <c r="A59" s="2">
        <v>17067909</v>
      </c>
      <c r="B59" s="11" t="s">
        <v>2844</v>
      </c>
      <c r="C59" s="2" t="s">
        <v>109</v>
      </c>
      <c r="D59" s="2" t="s">
        <v>2845</v>
      </c>
      <c r="E59" s="2" t="s">
        <v>2843</v>
      </c>
      <c r="F59" s="2">
        <v>2006</v>
      </c>
      <c r="G59" s="2" t="s">
        <v>10</v>
      </c>
      <c r="I59" s="2"/>
      <c r="J59" s="16"/>
      <c r="K59" s="2"/>
      <c r="L59" s="2"/>
      <c r="M59" s="2"/>
      <c r="N59" s="2"/>
      <c r="O59" s="2"/>
      <c r="Q59" s="2"/>
      <c r="U59" s="162"/>
      <c r="V59" s="128">
        <v>200</v>
      </c>
      <c r="W59" s="122" t="str">
        <f t="shared" si="3"/>
        <v>1 (3.6%)</v>
      </c>
      <c r="X59" s="109" t="str" cm="1">
        <f t="array" ref="X59">""&amp;TEXT(SUM(IF(_xlfn._xlws.FILTER(_xlfn._xlws.FILTER('Included studies 2023 update'!$Y:$Y,('Included studies 2023 update'!$E:$E="No")*('Included studies 2023 update'!$H:$H=X$2)),_xlfn._xlws.FILTER('Included studies 2023 update'!$Y:$Y,('Included studies 2023 update'!$E:$E="No")*('Included studies 2023 update'!$H:$H=X$2))=$V59,0)=0,0,1)),"0")&amp;" ("&amp;TEXT(SUM(IF(_xlfn._xlws.FILTER(_xlfn._xlws.FILTER('Included studies 2023 update'!$Y:$Y,('Included studies 2023 update'!$E:$E="No")*('Included studies 2023 update'!$H:$H=X$2)),_xlfn._xlws.FILTER('Included studies 2023 update'!$Y:$Y,('Included studies 2023 update'!$E:$E="No")*('Included studies 2023 update'!$H:$H=X$2))=$V59,0)=0,0,1))/SUM(SUM(IF(_xlfn._xlws.FILTER(_xlfn._xlws.FILTER('Included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59" s="109" t="str" cm="1">
        <f t="array" ref="Y59">""&amp;TEXT(SUM(IF(_xlfn._xlws.FILTER(_xlfn._xlws.FILTER('Included studies 2023 update'!$Y:$Y,('Included studies 2023 update'!$E:$E="No")*('Included studies 2023 update'!$H:$H=Y$2)),_xlfn._xlws.FILTER('Included studies 2023 update'!$Y:$Y,('Included studies 2023 update'!$E:$E="No")*('Included studies 2023 update'!$H:$H=Y$2))=$V59,0)=0,0,1)),"0")&amp;" ("&amp;TEXT(SUM(IF(_xlfn._xlws.FILTER(_xlfn._xlws.FILTER('Included studies 2023 update'!$Y:$Y,('Included studies 2023 update'!$E:$E="No")*('Included studies 2023 update'!$H:$H=Y$2)),_xlfn._xlws.FILTER('Included studies 2023 update'!$Y:$Y,('Included studies 2023 update'!$E:$E="No")*('Included studies 2023 update'!$H:$H=Y$2))=$V59,0)=0,0,1))/SUM(SUM(IF(_xlfn._xlws.FILTER(_xlfn._xlws.FILTER('Included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59" s="109" t="str" cm="1">
        <f t="array" ref="Z59">""&amp;TEXT(SUM(IF(_xlfn._xlws.FILTER(_xlfn._xlws.FILTER('Included studies 2023 update'!$Y:$Y,('Included studies 2023 update'!$E:$E="No")*('Included studies 2023 update'!$H:$H=Z$2)),_xlfn._xlws.FILTER('Included studies 2023 update'!$Y:$Y,('Included studies 2023 update'!$E:$E="No")*('Included studies 2023 update'!$H:$H=Z$2))=$V59,0)=0,0,1)),"0")&amp;" ("&amp;TEXT(SUM(IF(_xlfn._xlws.FILTER(_xlfn._xlws.FILTER('Included studies 2023 update'!$Y:$Y,('Included studies 2023 update'!$E:$E="No")*('Included studies 2023 update'!$H:$H=Z$2)),_xlfn._xlws.FILTER('Included studies 2023 update'!$Y:$Y,('Included studies 2023 update'!$E:$E="No")*('Included studies 2023 update'!$H:$H=Z$2))=$V59,0)=0,0,1))/SUM(SUM(IF(_xlfn._xlws.FILTER(_xlfn._xlws.FILTER('Included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59" t="str">
        <v>https://pubmed.ncbi.nlm.nih.gov/9365899/</v>
      </c>
      <c r="AC59">
        <f>IF(ISTEXT(AB59),_xlfn.XLOOKUP(AB59,'Included studies 2023 update'!C:C,'Included studies 2023 update'!J:J),"")</f>
        <v>61</v>
      </c>
      <c r="AD59" t="str">
        <f>IF(ISTEXT(AB59),_xlfn.XLOOKUP(AB59,'Included studies 2023 update'!C:C,'Included studies 2023 update'!E:E),"")</f>
        <v>Yes</v>
      </c>
      <c r="AE59">
        <f>IF(ISTEXT(AB59),_xlfn.XLOOKUP(AB59,'Included studies 2023 update'!C:C,'Included studies 2023 update'!I:I),"")</f>
        <v>0</v>
      </c>
      <c r="AF59" t="str">
        <f>IF(ISTEXT(AB59),_xlfn.XLOOKUP(AB59,'Included studies 2023 update'!C:C,'Included studies 2023 update'!U:U),"")</f>
        <v xml:space="preserve"> </v>
      </c>
      <c r="AG59">
        <f>IF(ISTEXT(AB59),_xlfn.XLOOKUP(AB59,'Included studies 2023 update'!C:C,'Included studies 2023 update'!X:X),"")</f>
        <v>0</v>
      </c>
      <c r="AH59">
        <f>IF(ISTEXT(AB59),_xlfn.XLOOKUP(AB59,'Included studies 2023 update'!C:C,'Included studies 2023 update'!Y:Y),"")</f>
        <v>0</v>
      </c>
      <c r="AI59">
        <f>IF(ISTEXT(AB59),_xlfn.XLOOKUP(AB59,'Included studies 2023 update'!C:C,'Included studies 2023 update'!Z:Z),"")</f>
        <v>0</v>
      </c>
    </row>
    <row r="60" spans="1:35" ht="15.75" customHeight="1">
      <c r="A60" s="2">
        <v>32906131</v>
      </c>
      <c r="B60" s="11" t="s">
        <v>2846</v>
      </c>
      <c r="C60" s="2" t="s">
        <v>570</v>
      </c>
      <c r="D60" s="2" t="s">
        <v>2847</v>
      </c>
      <c r="E60" s="2" t="s">
        <v>2848</v>
      </c>
      <c r="F60" s="2">
        <v>2020</v>
      </c>
      <c r="G60" s="2" t="s">
        <v>10</v>
      </c>
      <c r="I60" s="2"/>
      <c r="J60" s="16"/>
      <c r="K60" s="2"/>
      <c r="L60" s="2"/>
      <c r="M60" s="2"/>
      <c r="N60" s="2"/>
      <c r="O60" s="2"/>
      <c r="Q60" s="2"/>
      <c r="U60" s="162"/>
      <c r="V60" s="128">
        <v>125</v>
      </c>
      <c r="W60" s="122" t="str">
        <f t="shared" si="3"/>
        <v>1 (3.6%)</v>
      </c>
      <c r="X60" s="109" t="str" cm="1">
        <f t="array" ref="X60">""&amp;TEXT(SUM(IF(_xlfn._xlws.FILTER(_xlfn._xlws.FILTER('Included studies 2023 update'!$Y:$Y,('Included studies 2023 update'!$E:$E="No")*('Included studies 2023 update'!$H:$H=X$2)),_xlfn._xlws.FILTER('Included studies 2023 update'!$Y:$Y,('Included studies 2023 update'!$E:$E="No")*('Included studies 2023 update'!$H:$H=X$2))=$V60,0)=0,0,1)),"0")&amp;" ("&amp;TEXT(SUM(IF(_xlfn._xlws.FILTER(_xlfn._xlws.FILTER('Included studies 2023 update'!$Y:$Y,('Included studies 2023 update'!$E:$E="No")*('Included studies 2023 update'!$H:$H=X$2)),_xlfn._xlws.FILTER('Included studies 2023 update'!$Y:$Y,('Included studies 2023 update'!$E:$E="No")*('Included studies 2023 update'!$H:$H=X$2))=$V60,0)=0,0,1))/SUM(SUM(IF(_xlfn._xlws.FILTER(_xlfn._xlws.FILTER('Included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0" s="109" t="str" cm="1">
        <f t="array" ref="Y60">""&amp;TEXT(SUM(IF(_xlfn._xlws.FILTER(_xlfn._xlws.FILTER('Included studies 2023 update'!$Y:$Y,('Included studies 2023 update'!$E:$E="No")*('Included studies 2023 update'!$H:$H=Y$2)),_xlfn._xlws.FILTER('Included studies 2023 update'!$Y:$Y,('Included studies 2023 update'!$E:$E="No")*('Included studies 2023 update'!$H:$H=Y$2))=$V60,0)=0,0,1)),"0")&amp;" ("&amp;TEXT(SUM(IF(_xlfn._xlws.FILTER(_xlfn._xlws.FILTER('Included studies 2023 update'!$Y:$Y,('Included studies 2023 update'!$E:$E="No")*('Included studies 2023 update'!$H:$H=Y$2)),_xlfn._xlws.FILTER('Included studies 2023 update'!$Y:$Y,('Included studies 2023 update'!$E:$E="No")*('Included studies 2023 update'!$H:$H=Y$2))=$V60,0)=0,0,1))/SUM(SUM(IF(_xlfn._xlws.FILTER(_xlfn._xlws.FILTER('Included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0" s="109" t="str" cm="1">
        <f t="array" ref="Z60">""&amp;TEXT(SUM(IF(_xlfn._xlws.FILTER(_xlfn._xlws.FILTER('Included studies 2023 update'!$Y:$Y,('Included studies 2023 update'!$E:$E="No")*('Included studies 2023 update'!$H:$H=Z$2)),_xlfn._xlws.FILTER('Included studies 2023 update'!$Y:$Y,('Included studies 2023 update'!$E:$E="No")*('Included studies 2023 update'!$H:$H=Z$2))=$V60,0)=0,0,1)),"0")&amp;" ("&amp;TEXT(SUM(IF(_xlfn._xlws.FILTER(_xlfn._xlws.FILTER('Included studies 2023 update'!$Y:$Y,('Included studies 2023 update'!$E:$E="No")*('Included studies 2023 update'!$H:$H=Z$2)),_xlfn._xlws.FILTER('Included studies 2023 update'!$Y:$Y,('Included studies 2023 update'!$E:$E="No")*('Included studies 2023 update'!$H:$H=Z$2))=$V60,0)=0,0,1))/SUM(SUM(IF(_xlfn._xlws.FILTER(_xlfn._xlws.FILTER('Included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0" t="str">
        <v>https://pubmed.ncbi.nlm.nih.gov/19935727/</v>
      </c>
      <c r="AC60">
        <f>IF(ISTEXT(AB60),_xlfn.XLOOKUP(AB60,'Included studies 2023 update'!C:C,'Included studies 2023 update'!J:J),"")</f>
        <v>55</v>
      </c>
      <c r="AD60" t="str">
        <f>IF(ISTEXT(AB60),_xlfn.XLOOKUP(AB60,'Included studies 2023 update'!C:C,'Included studies 2023 update'!E:E),"")</f>
        <v>Yes</v>
      </c>
      <c r="AE60">
        <f>IF(ISTEXT(AB60),_xlfn.XLOOKUP(AB60,'Included studies 2023 update'!C:C,'Included studies 2023 update'!I:I),"")</f>
        <v>0</v>
      </c>
      <c r="AF60" t="str">
        <f>IF(ISTEXT(AB60),_xlfn.XLOOKUP(AB60,'Included studies 2023 update'!C:C,'Included studies 2023 update'!U:U),"")</f>
        <v xml:space="preserve"> </v>
      </c>
      <c r="AG60">
        <f>IF(ISTEXT(AB60),_xlfn.XLOOKUP(AB60,'Included studies 2023 update'!C:C,'Included studies 2023 update'!X:X),"")</f>
        <v>0</v>
      </c>
      <c r="AH60">
        <f>IF(ISTEXT(AB60),_xlfn.XLOOKUP(AB60,'Included studies 2023 update'!C:C,'Included studies 2023 update'!Y:Y),"")</f>
        <v>0</v>
      </c>
      <c r="AI60">
        <f>IF(ISTEXT(AB60),_xlfn.XLOOKUP(AB60,'Included studies 2023 update'!C:C,'Included studies 2023 update'!Z:Z),"")</f>
        <v>0</v>
      </c>
    </row>
    <row r="61" spans="1:35" ht="15.75" customHeight="1">
      <c r="A61" s="2">
        <v>29181879</v>
      </c>
      <c r="B61" s="11" t="s">
        <v>2849</v>
      </c>
      <c r="C61" s="2" t="s">
        <v>380</v>
      </c>
      <c r="D61" s="2" t="s">
        <v>2850</v>
      </c>
      <c r="E61" s="2" t="s">
        <v>2851</v>
      </c>
      <c r="F61" s="2">
        <v>2018</v>
      </c>
      <c r="G61" s="2" t="s">
        <v>10</v>
      </c>
      <c r="I61" s="2"/>
      <c r="J61" s="16"/>
      <c r="K61" s="2"/>
      <c r="L61" s="2"/>
      <c r="M61" s="2"/>
      <c r="N61" s="2"/>
      <c r="O61" s="2"/>
      <c r="Q61" s="2"/>
      <c r="U61" s="162"/>
      <c r="V61" s="128">
        <v>120</v>
      </c>
      <c r="W61" s="122" t="str">
        <f t="shared" si="3"/>
        <v>1 (3.6%)</v>
      </c>
      <c r="X61" s="109" t="str" cm="1">
        <f t="array" ref="X61">""&amp;TEXT(SUM(IF(_xlfn._xlws.FILTER(_xlfn._xlws.FILTER('Included studies 2023 update'!$Y:$Y,('Included studies 2023 update'!$E:$E="No")*('Included studies 2023 update'!$H:$H=X$2)),_xlfn._xlws.FILTER('Included studies 2023 update'!$Y:$Y,('Included studies 2023 update'!$E:$E="No")*('Included studies 2023 update'!$H:$H=X$2))=$V61,0)=0,0,1)),"0")&amp;" ("&amp;TEXT(SUM(IF(_xlfn._xlws.FILTER(_xlfn._xlws.FILTER('Included studies 2023 update'!$Y:$Y,('Included studies 2023 update'!$E:$E="No")*('Included studies 2023 update'!$H:$H=X$2)),_xlfn._xlws.FILTER('Included studies 2023 update'!$Y:$Y,('Included studies 2023 update'!$E:$E="No")*('Included studies 2023 update'!$H:$H=X$2))=$V61,0)=0,0,1))/SUM(SUM(IF(_xlfn._xlws.FILTER(_xlfn._xlws.FILTER('Included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1" s="109" t="str" cm="1">
        <f t="array" ref="Y61">""&amp;TEXT(SUM(IF(_xlfn._xlws.FILTER(_xlfn._xlws.FILTER('Included studies 2023 update'!$Y:$Y,('Included studies 2023 update'!$E:$E="No")*('Included studies 2023 update'!$H:$H=Y$2)),_xlfn._xlws.FILTER('Included studies 2023 update'!$Y:$Y,('Included studies 2023 update'!$E:$E="No")*('Included studies 2023 update'!$H:$H=Y$2))=$V61,0)=0,0,1)),"0")&amp;" ("&amp;TEXT(SUM(IF(_xlfn._xlws.FILTER(_xlfn._xlws.FILTER('Included studies 2023 update'!$Y:$Y,('Included studies 2023 update'!$E:$E="No")*('Included studies 2023 update'!$H:$H=Y$2)),_xlfn._xlws.FILTER('Included studies 2023 update'!$Y:$Y,('Included studies 2023 update'!$E:$E="No")*('Included studies 2023 update'!$H:$H=Y$2))=$V61,0)=0,0,1))/SUM(SUM(IF(_xlfn._xlws.FILTER(_xlfn._xlws.FILTER('Included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1" s="109" t="str" cm="1">
        <f t="array" ref="Z61">""&amp;TEXT(SUM(IF(_xlfn._xlws.FILTER(_xlfn._xlws.FILTER('Included studies 2023 update'!$Y:$Y,('Included studies 2023 update'!$E:$E="No")*('Included studies 2023 update'!$H:$H=Z$2)),_xlfn._xlws.FILTER('Included studies 2023 update'!$Y:$Y,('Included studies 2023 update'!$E:$E="No")*('Included studies 2023 update'!$H:$H=Z$2))=$V61,0)=0,0,1)),"0")&amp;" ("&amp;TEXT(SUM(IF(_xlfn._xlws.FILTER(_xlfn._xlws.FILTER('Included studies 2023 update'!$Y:$Y,('Included studies 2023 update'!$E:$E="No")*('Included studies 2023 update'!$H:$H=Z$2)),_xlfn._xlws.FILTER('Included studies 2023 update'!$Y:$Y,('Included studies 2023 update'!$E:$E="No")*('Included studies 2023 update'!$H:$H=Z$2))=$V61,0)=0,0,1))/SUM(SUM(IF(_xlfn._xlws.FILTER(_xlfn._xlws.FILTER('Included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1" t="str">
        <v>https://pubmed.ncbi.nlm.nih.gov/33085827/</v>
      </c>
      <c r="AC61">
        <f>IF(ISTEXT(AB61),_xlfn.XLOOKUP(AB61,'Included studies 2023 update'!C:C,'Included studies 2023 update'!J:J),"")</f>
        <v>31</v>
      </c>
      <c r="AD61" t="str">
        <f>IF(ISTEXT(AB61),_xlfn.XLOOKUP(AB61,'Included studies 2023 update'!C:C,'Included studies 2023 update'!E:E),"")</f>
        <v>Yes</v>
      </c>
      <c r="AE61">
        <f>IF(ISTEXT(AB61),_xlfn.XLOOKUP(AB61,'Included studies 2023 update'!C:C,'Included studies 2023 update'!I:I),"")</f>
        <v>0</v>
      </c>
      <c r="AF61" t="str">
        <f>IF(ISTEXT(AB61),_xlfn.XLOOKUP(AB61,'Included studies 2023 update'!C:C,'Included studies 2023 update'!U:U),"")</f>
        <v xml:space="preserve"> </v>
      </c>
      <c r="AG61">
        <f>IF(ISTEXT(AB61),_xlfn.XLOOKUP(AB61,'Included studies 2023 update'!C:C,'Included studies 2023 update'!X:X),"")</f>
        <v>0</v>
      </c>
      <c r="AH61">
        <f>IF(ISTEXT(AB61),_xlfn.XLOOKUP(AB61,'Included studies 2023 update'!C:C,'Included studies 2023 update'!Y:Y),"")</f>
        <v>0</v>
      </c>
      <c r="AI61">
        <f>IF(ISTEXT(AB61),_xlfn.XLOOKUP(AB61,'Included studies 2023 update'!C:C,'Included studies 2023 update'!Z:Z),"")</f>
        <v>0</v>
      </c>
    </row>
    <row r="62" spans="1:35" ht="15.75" customHeight="1">
      <c r="A62" s="2">
        <v>1652312</v>
      </c>
      <c r="B62" s="11" t="s">
        <v>2852</v>
      </c>
      <c r="C62" s="2" t="s">
        <v>177</v>
      </c>
      <c r="D62" s="2" t="s">
        <v>2853</v>
      </c>
      <c r="E62" s="2" t="s">
        <v>2854</v>
      </c>
      <c r="F62" s="2">
        <v>1991</v>
      </c>
      <c r="G62" s="2" t="s">
        <v>10</v>
      </c>
      <c r="I62" s="2"/>
      <c r="J62" s="16"/>
      <c r="K62" s="2"/>
      <c r="L62" s="2"/>
      <c r="M62" s="2"/>
      <c r="N62" s="2"/>
      <c r="O62" s="2"/>
      <c r="Q62" s="2"/>
      <c r="U62" s="162"/>
      <c r="V62" s="128">
        <v>100</v>
      </c>
      <c r="W62" s="122" t="str">
        <f t="shared" si="3"/>
        <v>2 (7.1%)</v>
      </c>
      <c r="X62" s="109" t="str" cm="1">
        <f t="array" ref="X62">""&amp;TEXT(SUM(IF(_xlfn._xlws.FILTER(_xlfn._xlws.FILTER('Included studies 2023 update'!$Y:$Y,('Included studies 2023 update'!$E:$E="No")*('Included studies 2023 update'!$H:$H=X$2)),_xlfn._xlws.FILTER('Included studies 2023 update'!$Y:$Y,('Included studies 2023 update'!$E:$E="No")*('Included studies 2023 update'!$H:$H=X$2))=$V62,0)=0,0,1)),"0")&amp;" ("&amp;TEXT(SUM(IF(_xlfn._xlws.FILTER(_xlfn._xlws.FILTER('Included studies 2023 update'!$Y:$Y,('Included studies 2023 update'!$E:$E="No")*('Included studies 2023 update'!$H:$H=X$2)),_xlfn._xlws.FILTER('Included studies 2023 update'!$Y:$Y,('Included studies 2023 update'!$E:$E="No")*('Included studies 2023 update'!$H:$H=X$2))=$V62,0)=0,0,1))/SUM(SUM(IF(_xlfn._xlws.FILTER(_xlfn._xlws.FILTER('Included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2 (8.0%)</v>
      </c>
      <c r="Y62" s="109" t="str" cm="1">
        <f t="array" ref="Y62">""&amp;TEXT(SUM(IF(_xlfn._xlws.FILTER(_xlfn._xlws.FILTER('Included studies 2023 update'!$Y:$Y,('Included studies 2023 update'!$E:$E="No")*('Included studies 2023 update'!$H:$H=Y$2)),_xlfn._xlws.FILTER('Included studies 2023 update'!$Y:$Y,('Included studies 2023 update'!$E:$E="No")*('Included studies 2023 update'!$H:$H=Y$2))=$V62,0)=0,0,1)),"0")&amp;" ("&amp;TEXT(SUM(IF(_xlfn._xlws.FILTER(_xlfn._xlws.FILTER('Included studies 2023 update'!$Y:$Y,('Included studies 2023 update'!$E:$E="No")*('Included studies 2023 update'!$H:$H=Y$2)),_xlfn._xlws.FILTER('Included studies 2023 update'!$Y:$Y,('Included studies 2023 update'!$E:$E="No")*('Included studies 2023 update'!$H:$H=Y$2))=$V62,0)=0,0,1))/SUM(SUM(IF(_xlfn._xlws.FILTER(_xlfn._xlws.FILTER('Included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2" s="109" t="str" cm="1">
        <f t="array" ref="Z62">""&amp;TEXT(SUM(IF(_xlfn._xlws.FILTER(_xlfn._xlws.FILTER('Included studies 2023 update'!$Y:$Y,('Included studies 2023 update'!$E:$E="No")*('Included studies 2023 update'!$H:$H=Z$2)),_xlfn._xlws.FILTER('Included studies 2023 update'!$Y:$Y,('Included studies 2023 update'!$E:$E="No")*('Included studies 2023 update'!$H:$H=Z$2))=$V62,0)=0,0,1)),"0")&amp;" ("&amp;TEXT(SUM(IF(_xlfn._xlws.FILTER(_xlfn._xlws.FILTER('Included studies 2023 update'!$Y:$Y,('Included studies 2023 update'!$E:$E="No")*('Included studies 2023 update'!$H:$H=Z$2)),_xlfn._xlws.FILTER('Included studies 2023 update'!$Y:$Y,('Included studies 2023 update'!$E:$E="No")*('Included studies 2023 update'!$H:$H=Z$2))=$V62,0)=0,0,1))/SUM(SUM(IF(_xlfn._xlws.FILTER(_xlfn._xlws.FILTER('Included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2" t="str">
        <v>https://pubmed.ncbi.nlm.nih.gov/32450288/</v>
      </c>
      <c r="AC62">
        <f>IF(ISTEXT(AB62),_xlfn.XLOOKUP(AB62,'Included studies 2023 update'!C:C,'Included studies 2023 update'!J:J),"")</f>
        <v>937</v>
      </c>
      <c r="AD62" t="str">
        <f>IF(ISTEXT(AB62),_xlfn.XLOOKUP(AB62,'Included studies 2023 update'!C:C,'Included studies 2023 update'!E:E),"")</f>
        <v>Yes</v>
      </c>
      <c r="AE62">
        <f>IF(ISTEXT(AB62),_xlfn.XLOOKUP(AB62,'Included studies 2023 update'!C:C,'Included studies 2023 update'!I:I),"")</f>
        <v>0</v>
      </c>
      <c r="AF62" t="str">
        <f>IF(ISTEXT(AB62),_xlfn.XLOOKUP(AB62,'Included studies 2023 update'!C:C,'Included studies 2023 update'!U:U),"")</f>
        <v xml:space="preserve"> </v>
      </c>
      <c r="AG62">
        <f>IF(ISTEXT(AB62),_xlfn.XLOOKUP(AB62,'Included studies 2023 update'!C:C,'Included studies 2023 update'!X:X),"")</f>
        <v>0</v>
      </c>
      <c r="AH62">
        <f>IF(ISTEXT(AB62),_xlfn.XLOOKUP(AB62,'Included studies 2023 update'!C:C,'Included studies 2023 update'!Y:Y),"")</f>
        <v>0</v>
      </c>
      <c r="AI62">
        <f>IF(ISTEXT(AB62),_xlfn.XLOOKUP(AB62,'Included studies 2023 update'!C:C,'Included studies 2023 update'!Z:Z),"")</f>
        <v>0</v>
      </c>
    </row>
    <row r="63" spans="1:35" ht="15.75" customHeight="1">
      <c r="A63" s="2">
        <v>22641196</v>
      </c>
      <c r="B63" s="11" t="s">
        <v>2855</v>
      </c>
      <c r="C63" s="2" t="s">
        <v>368</v>
      </c>
      <c r="D63" s="2" t="s">
        <v>2856</v>
      </c>
      <c r="E63" s="2" t="s">
        <v>2857</v>
      </c>
      <c r="F63" s="2">
        <v>2012</v>
      </c>
      <c r="G63" s="2" t="s">
        <v>10</v>
      </c>
      <c r="I63" s="2"/>
      <c r="J63" s="16"/>
      <c r="K63" s="2"/>
      <c r="L63" s="2"/>
      <c r="M63" s="2"/>
      <c r="N63" s="2"/>
      <c r="O63" s="2"/>
      <c r="Q63" s="2"/>
      <c r="U63" s="162"/>
      <c r="V63" s="128">
        <v>50</v>
      </c>
      <c r="W63" s="122" t="str">
        <f t="shared" si="3"/>
        <v>3 (10.7%)</v>
      </c>
      <c r="X63" s="109" t="str" cm="1">
        <f t="array" ref="X63">""&amp;TEXT(SUM(IF(_xlfn._xlws.FILTER(_xlfn._xlws.FILTER('Included studies 2023 update'!$Y:$Y,('Included studies 2023 update'!$E:$E="No")*('Included studies 2023 update'!$H:$H=X$2)),_xlfn._xlws.FILTER('Included studies 2023 update'!$Y:$Y,('Included studies 2023 update'!$E:$E="No")*('Included studies 2023 update'!$H:$H=X$2))=$V63,0)=0,0,1)),"0")&amp;" ("&amp;TEXT(SUM(IF(_xlfn._xlws.FILTER(_xlfn._xlws.FILTER('Included studies 2023 update'!$Y:$Y,('Included studies 2023 update'!$E:$E="No")*('Included studies 2023 update'!$H:$H=X$2)),_xlfn._xlws.FILTER('Included studies 2023 update'!$Y:$Y,('Included studies 2023 update'!$E:$E="No")*('Included studies 2023 update'!$H:$H=X$2))=$V63,0)=0,0,1))/SUM(SUM(IF(_xlfn._xlws.FILTER(_xlfn._xlws.FILTER('Included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3" s="109" t="str" cm="1">
        <f t="array" ref="Y63">""&amp;TEXT(SUM(IF(_xlfn._xlws.FILTER(_xlfn._xlws.FILTER('Included studies 2023 update'!$Y:$Y,('Included studies 2023 update'!$E:$E="No")*('Included studies 2023 update'!$H:$H=Y$2)),_xlfn._xlws.FILTER('Included studies 2023 update'!$Y:$Y,('Included studies 2023 update'!$E:$E="No")*('Included studies 2023 update'!$H:$H=Y$2))=$V63,0)=0,0,1)),"0")&amp;" ("&amp;TEXT(SUM(IF(_xlfn._xlws.FILTER(_xlfn._xlws.FILTER('Included studies 2023 update'!$Y:$Y,('Included studies 2023 update'!$E:$E="No")*('Included studies 2023 update'!$H:$H=Y$2)),_xlfn._xlws.FILTER('Included studies 2023 update'!$Y:$Y,('Included studies 2023 update'!$E:$E="No")*('Included studies 2023 update'!$H:$H=Y$2))=$V63,0)=0,0,1))/SUM(SUM(IF(_xlfn._xlws.FILTER(_xlfn._xlws.FILTER('Included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3" s="109" t="str" cm="1">
        <f t="array" ref="Z63">""&amp;TEXT(SUM(IF(_xlfn._xlws.FILTER(_xlfn._xlws.FILTER('Included studies 2023 update'!$Y:$Y,('Included studies 2023 update'!$E:$E="No")*('Included studies 2023 update'!$H:$H=Z$2)),_xlfn._xlws.FILTER('Included studies 2023 update'!$Y:$Y,('Included studies 2023 update'!$E:$E="No")*('Included studies 2023 update'!$H:$H=Z$2))=$V63,0)=0,0,1)),"0")&amp;" ("&amp;TEXT(SUM(IF(_xlfn._xlws.FILTER(_xlfn._xlws.FILTER('Included studies 2023 update'!$Y:$Y,('Included studies 2023 update'!$E:$E="No")*('Included studies 2023 update'!$H:$H=Z$2)),_xlfn._xlws.FILTER('Included studies 2023 update'!$Y:$Y,('Included studies 2023 update'!$E:$E="No")*('Included studies 2023 update'!$H:$H=Z$2))=$V63,0)=0,0,1))/SUM(SUM(IF(_xlfn._xlws.FILTER(_xlfn._xlws.FILTER('Included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3" t="str">
        <v>https://pubmed.ncbi.nlm.nih.gov/26555946/</v>
      </c>
      <c r="AC63">
        <f>IF(ISTEXT(AB63),_xlfn.XLOOKUP(AB63,'Included studies 2023 update'!C:C,'Included studies 2023 update'!J:J),"")</f>
        <v>79</v>
      </c>
      <c r="AD63" t="str">
        <f>IF(ISTEXT(AB63),_xlfn.XLOOKUP(AB63,'Included studies 2023 update'!C:C,'Included studies 2023 update'!E:E),"")</f>
        <v>Yes</v>
      </c>
      <c r="AE63">
        <f>IF(ISTEXT(AB63),_xlfn.XLOOKUP(AB63,'Included studies 2023 update'!C:C,'Included studies 2023 update'!I:I),"")</f>
        <v>0</v>
      </c>
      <c r="AF63" t="str">
        <f>IF(ISTEXT(AB63),_xlfn.XLOOKUP(AB63,'Included studies 2023 update'!C:C,'Included studies 2023 update'!U:U),"")</f>
        <v xml:space="preserve"> </v>
      </c>
      <c r="AG63">
        <f>IF(ISTEXT(AB63),_xlfn.XLOOKUP(AB63,'Included studies 2023 update'!C:C,'Included studies 2023 update'!X:X),"")</f>
        <v>0</v>
      </c>
      <c r="AH63">
        <f>IF(ISTEXT(AB63),_xlfn.XLOOKUP(AB63,'Included studies 2023 update'!C:C,'Included studies 2023 update'!Y:Y),"")</f>
        <v>0</v>
      </c>
      <c r="AI63">
        <f>IF(ISTEXT(AB63),_xlfn.XLOOKUP(AB63,'Included studies 2023 update'!C:C,'Included studies 2023 update'!Z:Z),"")</f>
        <v>0</v>
      </c>
    </row>
    <row r="64" spans="1:35" ht="15.75" customHeight="1">
      <c r="A64" s="2">
        <v>15824982</v>
      </c>
      <c r="B64" s="11" t="s">
        <v>2858</v>
      </c>
      <c r="C64" s="2" t="s">
        <v>162</v>
      </c>
      <c r="D64" s="2" t="s">
        <v>2859</v>
      </c>
      <c r="E64" s="2" t="s">
        <v>2857</v>
      </c>
      <c r="F64" s="2">
        <v>2005</v>
      </c>
      <c r="G64" s="2" t="s">
        <v>10</v>
      </c>
      <c r="I64" s="2"/>
      <c r="J64" s="16"/>
      <c r="K64" s="2"/>
      <c r="L64" s="2"/>
      <c r="M64" s="2"/>
      <c r="N64" s="2"/>
      <c r="O64" s="2"/>
      <c r="Q64" s="2"/>
      <c r="U64" s="162"/>
      <c r="V64" s="128">
        <v>25</v>
      </c>
      <c r="W64" s="122" t="str">
        <f t="shared" si="3"/>
        <v>3 (10.7%)</v>
      </c>
      <c r="X64" s="109" t="str" cm="1">
        <f t="array" ref="X64">""&amp;TEXT(SUM(IF(_xlfn._xlws.FILTER(_xlfn._xlws.FILTER('Included studies 2023 update'!$Y:$Y,('Included studies 2023 update'!$E:$E="No")*('Included studies 2023 update'!$H:$H=X$2)),_xlfn._xlws.FILTER('Included studies 2023 update'!$Y:$Y,('Included studies 2023 update'!$E:$E="No")*('Included studies 2023 update'!$H:$H=X$2))=$V64,0)=0,0,1)),"0")&amp;" ("&amp;TEXT(SUM(IF(_xlfn._xlws.FILTER(_xlfn._xlws.FILTER('Included studies 2023 update'!$Y:$Y,('Included studies 2023 update'!$E:$E="No")*('Included studies 2023 update'!$H:$H=X$2)),_xlfn._xlws.FILTER('Included studies 2023 update'!$Y:$Y,('Included studies 2023 update'!$E:$E="No")*('Included studies 2023 update'!$H:$H=X$2))=$V64,0)=0,0,1))/SUM(SUM(IF(_xlfn._xlws.FILTER(_xlfn._xlws.FILTER('Included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4" s="109" t="str" cm="1">
        <f t="array" ref="Y64">""&amp;TEXT(SUM(IF(_xlfn._xlws.FILTER(_xlfn._xlws.FILTER('Included studies 2023 update'!$Y:$Y,('Included studies 2023 update'!$E:$E="No")*('Included studies 2023 update'!$H:$H=Y$2)),_xlfn._xlws.FILTER('Included studies 2023 update'!$Y:$Y,('Included studies 2023 update'!$E:$E="No")*('Included studies 2023 update'!$H:$H=Y$2))=$V64,0)=0,0,1)),"0")&amp;" ("&amp;TEXT(SUM(IF(_xlfn._xlws.FILTER(_xlfn._xlws.FILTER('Included studies 2023 update'!$Y:$Y,('Included studies 2023 update'!$E:$E="No")*('Included studies 2023 update'!$H:$H=Y$2)),_xlfn._xlws.FILTER('Included studies 2023 update'!$Y:$Y,('Included studies 2023 update'!$E:$E="No")*('Included studies 2023 update'!$H:$H=Y$2))=$V64,0)=0,0,1))/SUM(SUM(IF(_xlfn._xlws.FILTER(_xlfn._xlws.FILTER('Included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4" s="109" t="str" cm="1">
        <f t="array" ref="Z64">""&amp;TEXT(SUM(IF(_xlfn._xlws.FILTER(_xlfn._xlws.FILTER('Included studies 2023 update'!$Y:$Y,('Included studies 2023 update'!$E:$E="No")*('Included studies 2023 update'!$H:$H=Z$2)),_xlfn._xlws.FILTER('Included studies 2023 update'!$Y:$Y,('Included studies 2023 update'!$E:$E="No")*('Included studies 2023 update'!$H:$H=Z$2))=$V64,0)=0,0,1)),"0")&amp;" ("&amp;TEXT(SUM(IF(_xlfn._xlws.FILTER(_xlfn._xlws.FILTER('Included studies 2023 update'!$Y:$Y,('Included studies 2023 update'!$E:$E="No")*('Included studies 2023 update'!$H:$H=Z$2)),_xlfn._xlws.FILTER('Included studies 2023 update'!$Y:$Y,('Included studies 2023 update'!$E:$E="No")*('Included studies 2023 update'!$H:$H=Z$2))=$V64,0)=0,0,1))/SUM(SUM(IF(_xlfn._xlws.FILTER(_xlfn._xlws.FILTER('Included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4" t="str">
        <v>https://pubmed.ncbi.nlm.nih.gov/24658548/</v>
      </c>
      <c r="AC64">
        <f>IF(ISTEXT(AB64),_xlfn.XLOOKUP(AB64,'Included studies 2023 update'!C:C,'Included studies 2023 update'!J:J),"")</f>
        <v>15</v>
      </c>
      <c r="AD64" t="str">
        <f>IF(ISTEXT(AB64),_xlfn.XLOOKUP(AB64,'Included studies 2023 update'!C:C,'Included studies 2023 update'!E:E),"")</f>
        <v>Yes</v>
      </c>
      <c r="AE64">
        <f>IF(ISTEXT(AB64),_xlfn.XLOOKUP(AB64,'Included studies 2023 update'!C:C,'Included studies 2023 update'!I:I),"")</f>
        <v>0</v>
      </c>
      <c r="AF64" t="str">
        <f>IF(ISTEXT(AB64),_xlfn.XLOOKUP(AB64,'Included studies 2023 update'!C:C,'Included studies 2023 update'!U:U),"")</f>
        <v xml:space="preserve"> </v>
      </c>
      <c r="AG64">
        <f>IF(ISTEXT(AB64),_xlfn.XLOOKUP(AB64,'Included studies 2023 update'!C:C,'Included studies 2023 update'!X:X),"")</f>
        <v>0</v>
      </c>
      <c r="AH64">
        <f>IF(ISTEXT(AB64),_xlfn.XLOOKUP(AB64,'Included studies 2023 update'!C:C,'Included studies 2023 update'!Y:Y),"")</f>
        <v>0</v>
      </c>
      <c r="AI64">
        <f>IF(ISTEXT(AB64),_xlfn.XLOOKUP(AB64,'Included studies 2023 update'!C:C,'Included studies 2023 update'!Z:Z),"")</f>
        <v>0</v>
      </c>
    </row>
    <row r="65" spans="1:42" ht="15.75" customHeight="1">
      <c r="A65" s="2">
        <v>30742492</v>
      </c>
      <c r="B65" s="11" t="s">
        <v>2860</v>
      </c>
      <c r="C65" s="2" t="s">
        <v>500</v>
      </c>
      <c r="D65" s="2" t="s">
        <v>2861</v>
      </c>
      <c r="E65" s="2" t="s">
        <v>2862</v>
      </c>
      <c r="F65" s="2">
        <v>2019</v>
      </c>
      <c r="G65" s="2" t="s">
        <v>10</v>
      </c>
      <c r="I65" s="2"/>
      <c r="J65" s="16"/>
      <c r="K65" s="2"/>
      <c r="L65" s="2"/>
      <c r="M65" s="2"/>
      <c r="N65" s="2"/>
      <c r="O65" s="2"/>
      <c r="Q65" s="2"/>
      <c r="U65" s="162"/>
      <c r="V65" s="128">
        <v>20</v>
      </c>
      <c r="W65" s="122" t="str">
        <f t="shared" si="3"/>
        <v>1 (3.6%)</v>
      </c>
      <c r="X65" s="109" t="str" cm="1">
        <f t="array" ref="X65">""&amp;TEXT(SUM(IF(_xlfn._xlws.FILTER(_xlfn._xlws.FILTER('Included studies 2023 update'!$Y:$Y,('Included studies 2023 update'!$E:$E="No")*('Included studies 2023 update'!$H:$H=X$2)),_xlfn._xlws.FILTER('Included studies 2023 update'!$Y:$Y,('Included studies 2023 update'!$E:$E="No")*('Included studies 2023 update'!$H:$H=X$2))=$V65,0)=0,0,1)),"0")&amp;" ("&amp;TEXT(SUM(IF(_xlfn._xlws.FILTER(_xlfn._xlws.FILTER('Included studies 2023 update'!$Y:$Y,('Included studies 2023 update'!$E:$E="No")*('Included studies 2023 update'!$H:$H=X$2)),_xlfn._xlws.FILTER('Included studies 2023 update'!$Y:$Y,('Included studies 2023 update'!$E:$E="No")*('Included studies 2023 update'!$H:$H=X$2))=$V65,0)=0,0,1))/SUM(SUM(IF(_xlfn._xlws.FILTER(_xlfn._xlws.FILTER('Included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5" s="109" t="str" cm="1">
        <f t="array" ref="Y65">""&amp;TEXT(SUM(IF(_xlfn._xlws.FILTER(_xlfn._xlws.FILTER('Included studies 2023 update'!$Y:$Y,('Included studies 2023 update'!$E:$E="No")*('Included studies 2023 update'!$H:$H=Y$2)),_xlfn._xlws.FILTER('Included studies 2023 update'!$Y:$Y,('Included studies 2023 update'!$E:$E="No")*('Included studies 2023 update'!$H:$H=Y$2))=$V65,0)=0,0,1)),"0")&amp;" ("&amp;TEXT(SUM(IF(_xlfn._xlws.FILTER(_xlfn._xlws.FILTER('Included studies 2023 update'!$Y:$Y,('Included studies 2023 update'!$E:$E="No")*('Included studies 2023 update'!$H:$H=Y$2)),_xlfn._xlws.FILTER('Included studies 2023 update'!$Y:$Y,('Included studies 2023 update'!$E:$E="No")*('Included studies 2023 update'!$H:$H=Y$2))=$V65,0)=0,0,1))/SUM(SUM(IF(_xlfn._xlws.FILTER(_xlfn._xlws.FILTER('Included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5" s="109" t="str" cm="1">
        <f t="array" ref="Z65">""&amp;TEXT(SUM(IF(_xlfn._xlws.FILTER(_xlfn._xlws.FILTER('Included studies 2023 update'!$Y:$Y,('Included studies 2023 update'!$E:$E="No")*('Included studies 2023 update'!$H:$H=Z$2)),_xlfn._xlws.FILTER('Included studies 2023 update'!$Y:$Y,('Included studies 2023 update'!$E:$E="No")*('Included studies 2023 update'!$H:$H=Z$2))=$V65,0)=0,0,1)),"0")&amp;" ("&amp;TEXT(SUM(IF(_xlfn._xlws.FILTER(_xlfn._xlws.FILTER('Included studies 2023 update'!$Y:$Y,('Included studies 2023 update'!$E:$E="No")*('Included studies 2023 update'!$H:$H=Z$2)),_xlfn._xlws.FILTER('Included studies 2023 update'!$Y:$Y,('Included studies 2023 update'!$E:$E="No")*('Included studies 2023 update'!$H:$H=Z$2))=$V65,0)=0,0,1))/SUM(SUM(IF(_xlfn._xlws.FILTER(_xlfn._xlws.FILTER('Included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5" t="str">
        <v>https://pubmed.ncbi.nlm.nih.gov/26518057/</v>
      </c>
      <c r="AC65">
        <f>IF(ISTEXT(AB65),_xlfn.XLOOKUP(AB65,'Included studies 2023 update'!C:C,'Included studies 2023 update'!J:J),"")</f>
        <v>231</v>
      </c>
      <c r="AD65" t="str">
        <f>IF(ISTEXT(AB65),_xlfn.XLOOKUP(AB65,'Included studies 2023 update'!C:C,'Included studies 2023 update'!E:E),"")</f>
        <v>Yes</v>
      </c>
      <c r="AE65">
        <f>IF(ISTEXT(AB65),_xlfn.XLOOKUP(AB65,'Included studies 2023 update'!C:C,'Included studies 2023 update'!I:I),"")</f>
        <v>0</v>
      </c>
      <c r="AF65" t="str">
        <f>IF(ISTEXT(AB65),_xlfn.XLOOKUP(AB65,'Included studies 2023 update'!C:C,'Included studies 2023 update'!U:U),"")</f>
        <v xml:space="preserve"> </v>
      </c>
      <c r="AG65">
        <f>IF(ISTEXT(AB65),_xlfn.XLOOKUP(AB65,'Included studies 2023 update'!C:C,'Included studies 2023 update'!X:X),"")</f>
        <v>0</v>
      </c>
      <c r="AH65">
        <f>IF(ISTEXT(AB65),_xlfn.XLOOKUP(AB65,'Included studies 2023 update'!C:C,'Included studies 2023 update'!Y:Y),"")</f>
        <v>0</v>
      </c>
      <c r="AI65">
        <f>IF(ISTEXT(AB65),_xlfn.XLOOKUP(AB65,'Included studies 2023 update'!C:C,'Included studies 2023 update'!Z:Z),"")</f>
        <v>0</v>
      </c>
    </row>
    <row r="66" spans="1:42" ht="15.75" customHeight="1">
      <c r="A66" s="4">
        <v>37067947</v>
      </c>
      <c r="B66" s="17" t="s">
        <v>13</v>
      </c>
      <c r="C66" s="1" t="s">
        <v>12</v>
      </c>
      <c r="F66" s="4">
        <v>2023</v>
      </c>
      <c r="G66" s="3" t="s">
        <v>10</v>
      </c>
      <c r="I66" s="2"/>
      <c r="J66" s="16"/>
      <c r="K66" s="2"/>
      <c r="L66" s="2"/>
      <c r="M66" s="2"/>
      <c r="N66" s="2"/>
      <c r="O66" s="2"/>
      <c r="Q66" s="2"/>
      <c r="U66" s="162"/>
      <c r="V66" s="128">
        <v>10</v>
      </c>
      <c r="W66" s="122" t="str">
        <f t="shared" si="3"/>
        <v>1 (3.6%)</v>
      </c>
      <c r="X66" s="109" t="str" cm="1">
        <f t="array" ref="X66">""&amp;TEXT(SUM(IF(_xlfn._xlws.FILTER(_xlfn._xlws.FILTER('Included studies 2023 update'!$Y:$Y,('Included studies 2023 update'!$E:$E="No")*('Included studies 2023 update'!$H:$H=X$2)),_xlfn._xlws.FILTER('Included studies 2023 update'!$Y:$Y,('Included studies 2023 update'!$E:$E="No")*('Included studies 2023 update'!$H:$H=X$2))=$V66,0)=0,0,1)),"0")&amp;" ("&amp;TEXT(SUM(IF(_xlfn._xlws.FILTER(_xlfn._xlws.FILTER('Included studies 2023 update'!$Y:$Y,('Included studies 2023 update'!$E:$E="No")*('Included studies 2023 update'!$H:$H=X$2)),_xlfn._xlws.FILTER('Included studies 2023 update'!$Y:$Y,('Included studies 2023 update'!$E:$E="No")*('Included studies 2023 update'!$H:$H=X$2))=$V66,0)=0,0,1))/SUM(SUM(IF(_xlfn._xlws.FILTER(_xlfn._xlws.FILTER('Included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6" s="109" t="str" cm="1">
        <f t="array" ref="Y66">""&amp;TEXT(SUM(IF(_xlfn._xlws.FILTER(_xlfn._xlws.FILTER('Included studies 2023 update'!$Y:$Y,('Included studies 2023 update'!$E:$E="No")*('Included studies 2023 update'!$H:$H=Y$2)),_xlfn._xlws.FILTER('Included studies 2023 update'!$Y:$Y,('Included studies 2023 update'!$E:$E="No")*('Included studies 2023 update'!$H:$H=Y$2))=$V66,0)=0,0,1)),"0")&amp;" ("&amp;TEXT(SUM(IF(_xlfn._xlws.FILTER(_xlfn._xlws.FILTER('Included studies 2023 update'!$Y:$Y,('Included studies 2023 update'!$E:$E="No")*('Included studies 2023 update'!$H:$H=Y$2)),_xlfn._xlws.FILTER('Included studies 2023 update'!$Y:$Y,('Included studies 2023 update'!$E:$E="No")*('Included studies 2023 update'!$H:$H=Y$2))=$V66,0)=0,0,1))/SUM(SUM(IF(_xlfn._xlws.FILTER(_xlfn._xlws.FILTER('Included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6" s="109" t="str" cm="1">
        <f t="array" ref="Z66">""&amp;TEXT(SUM(IF(_xlfn._xlws.FILTER(_xlfn._xlws.FILTER('Included studies 2023 update'!$Y:$Y,('Included studies 2023 update'!$E:$E="No")*('Included studies 2023 update'!$H:$H=Z$2)),_xlfn._xlws.FILTER('Included studies 2023 update'!$Y:$Y,('Included studies 2023 update'!$E:$E="No")*('Included studies 2023 update'!$H:$H=Z$2))=$V66,0)=0,0,1)),"0")&amp;" ("&amp;TEXT(SUM(IF(_xlfn._xlws.FILTER(_xlfn._xlws.FILTER('Included studies 2023 update'!$Y:$Y,('Included studies 2023 update'!$E:$E="No")*('Included studies 2023 update'!$H:$H=Z$2)),_xlfn._xlws.FILTER('Included studies 2023 update'!$Y:$Y,('Included studies 2023 update'!$E:$E="No")*('Included studies 2023 update'!$H:$H=Z$2))=$V66,0)=0,0,1))/SUM(SUM(IF(_xlfn._xlws.FILTER(_xlfn._xlws.FILTER('Included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6" t="str">
        <v>https://pubmed.ncbi.nlm.nih.gov/34298243</v>
      </c>
      <c r="AC66">
        <f>IF(ISTEXT(AB66),_xlfn.XLOOKUP(AB66,'Included studies 2023 update'!C:C,'Included studies 2023 update'!J:J),"")</f>
        <v>52</v>
      </c>
      <c r="AD66" t="str">
        <f>IF(ISTEXT(AB66),_xlfn.XLOOKUP(AB66,'Included studies 2023 update'!C:C,'Included studies 2023 update'!E:E),"")</f>
        <v>Yes</v>
      </c>
      <c r="AE66">
        <f>IF(ISTEXT(AB66),_xlfn.XLOOKUP(AB66,'Included studies 2023 update'!C:C,'Included studies 2023 update'!I:I),"")</f>
        <v>0</v>
      </c>
      <c r="AF66" t="str">
        <f>IF(ISTEXT(AB66),_xlfn.XLOOKUP(AB66,'Included studies 2023 update'!C:C,'Included studies 2023 update'!U:U),"")</f>
        <v xml:space="preserve"> </v>
      </c>
      <c r="AG66">
        <f>IF(ISTEXT(AB66),_xlfn.XLOOKUP(AB66,'Included studies 2023 update'!C:C,'Included studies 2023 update'!X:X),"")</f>
        <v>0</v>
      </c>
      <c r="AH66">
        <f>IF(ISTEXT(AB66),_xlfn.XLOOKUP(AB66,'Included studies 2023 update'!C:C,'Included studies 2023 update'!Y:Y),"")</f>
        <v>0</v>
      </c>
      <c r="AI66">
        <f>IF(ISTEXT(AB66),_xlfn.XLOOKUP(AB66,'Included studies 2023 update'!C:C,'Included studies 2023 update'!Z:Z),"")</f>
        <v>0</v>
      </c>
    </row>
    <row r="67" spans="1:42" ht="15.75" customHeight="1">
      <c r="A67" s="4">
        <v>34390240</v>
      </c>
      <c r="B67" s="17" t="s">
        <v>18</v>
      </c>
      <c r="C67" s="1" t="s">
        <v>17</v>
      </c>
      <c r="F67" s="4">
        <v>2022</v>
      </c>
      <c r="G67" s="3" t="s">
        <v>10</v>
      </c>
      <c r="I67" s="2"/>
      <c r="J67" s="16"/>
      <c r="K67" s="2"/>
      <c r="L67" s="2"/>
      <c r="M67" s="2"/>
      <c r="N67" s="2"/>
      <c r="O67" s="2"/>
      <c r="Q67" s="2"/>
      <c r="U67" s="163"/>
      <c r="V67" s="129" t="s">
        <v>3650</v>
      </c>
      <c r="W67" s="121" t="str">
        <f>""&amp;TEXT(COUNTIFS(AD:AD,"No",AH:AH,V67),"0")&amp;" ("&amp;TEXT(COUNTIFS(AD:AD,"No",AH:AH,V67)/SUM(COUNTIFS(AD:AD,"No",AH:AH,$V$57),COUNTIFS(AD:AD,"No",AH:AH,$V$58),COUNTIFS(AD:AD,"No",AH:AH,$V$59),COUNTIFS(AD:AD,"No",AH:AH,$V$60),COUNTIFS(AD:AD,"No",AH:AH,$V$61),COUNTIFS(AD:AD,"No",AH:AH,$V$62),COUNTIFS(AD:AD,"No",AH:AH,$V$63),COUNTIFS(AD:AD,"No",AH:AH,$V$64),COUNTIFS(AD:AD,"No",AH:AH,$V$65),COUNTIFS(AD:AD,"No",AH:AH,$V$66),COUNTIFS(AD:AD,"No",AH:AH,$V$67)),"0.0%")&amp;")"</f>
        <v>8 (28.6%)</v>
      </c>
      <c r="X67" s="117" t="str" cm="1">
        <f t="array" ref="X67">""&amp;TEXT(SUM(IF(_xlfn._xlws.FILTER(_xlfn._xlws.FILTER('Included studies 2023 update'!$Y:$Y,('Included studies 2023 update'!$E:$E="No")*('Included studies 2023 update'!$H:$H=X$2)),_xlfn._xlws.FILTER('Included studies 2023 update'!$Y:$Y,('Included studies 2023 update'!$E:$E="No")*('Included studies 2023 update'!$H:$H=X$2))=$V67,0)=0,0,1)),"0")&amp;" ("&amp;TEXT(SUM(IF(_xlfn._xlws.FILTER(_xlfn._xlws.FILTER('Included studies 2023 update'!$Y:$Y,('Included studies 2023 update'!$E:$E="No")*('Included studies 2023 update'!$H:$H=X$2)),_xlfn._xlws.FILTER('Included studies 2023 update'!$Y:$Y,('Included studies 2023 update'!$E:$E="No")*('Included studies 2023 update'!$H:$H=X$2))=$V67,0)=0,0,1))/SUM(SUM(IF(_xlfn._xlws.FILTER(_xlfn._xlws.FILTER('Included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5 (20.0%)</v>
      </c>
      <c r="Y67" s="117" t="str" cm="1">
        <f t="array" ref="Y67">""&amp;TEXT(SUM(IF(_xlfn._xlws.FILTER(_xlfn._xlws.FILTER('Included studies 2023 update'!$Y:$Y,('Included studies 2023 update'!$E:$E="No")*('Included studies 2023 update'!$H:$H=Y$2)),_xlfn._xlws.FILTER('Included studies 2023 update'!$Y:$Y,('Included studies 2023 update'!$E:$E="No")*('Included studies 2023 update'!$H:$H=Y$2))=$V67,0)=0,0,1)),"0")&amp;" ("&amp;TEXT(SUM(IF(_xlfn._xlws.FILTER(_xlfn._xlws.FILTER('Included studies 2023 update'!$Y:$Y,('Included studies 2023 update'!$E:$E="No")*('Included studies 2023 update'!$H:$H=Y$2)),_xlfn._xlws.FILTER('Included studies 2023 update'!$Y:$Y,('Included studies 2023 update'!$E:$E="No")*('Included studies 2023 update'!$H:$H=Y$2))=$V67,0)=0,0,1))/SUM(SUM(IF(_xlfn._xlws.FILTER(_xlfn._xlws.FILTER('Included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3 (37.5%)</v>
      </c>
      <c r="Z67" s="117" t="str" cm="1">
        <f t="array" ref="Z67">""&amp;TEXT(SUM(IF(_xlfn._xlws.FILTER(_xlfn._xlws.FILTER('Included studies 2023 update'!$Y:$Y,('Included studies 2023 update'!$E:$E="No")*('Included studies 2023 update'!$H:$H=Z$2)),_xlfn._xlws.FILTER('Included studies 2023 update'!$Y:$Y,('Included studies 2023 update'!$E:$E="No")*('Included studies 2023 update'!$H:$H=Z$2))=$V67,0)=0,0,1)),"0")&amp;" ("&amp;TEXT(SUM(IF(_xlfn._xlws.FILTER(_xlfn._xlws.FILTER('Included studies 2023 update'!$Y:$Y,('Included studies 2023 update'!$E:$E="No")*('Included studies 2023 update'!$H:$H=Z$2)),_xlfn._xlws.FILTER('Included studies 2023 update'!$Y:$Y,('Included studies 2023 update'!$E:$E="No")*('Included studies 2023 update'!$H:$H=Z$2))=$V67,0)=0,0,1))/SUM(SUM(IF(_xlfn._xlws.FILTER(_xlfn._xlws.FILTER('Included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2 (28.6%)</v>
      </c>
      <c r="AB67" t="str">
        <v>https://pubmed.ncbi.nlm.nih.gov/24881673/</v>
      </c>
      <c r="AC67">
        <f>IF(ISTEXT(AB67),_xlfn.XLOOKUP(AB67,'Included studies 2023 update'!C:C,'Included studies 2023 update'!J:J),"")</f>
        <v>63</v>
      </c>
      <c r="AD67" t="str">
        <f>IF(ISTEXT(AB67),_xlfn.XLOOKUP(AB67,'Included studies 2023 update'!C:C,'Included studies 2023 update'!E:E),"")</f>
        <v>Yes</v>
      </c>
      <c r="AE67">
        <f>IF(ISTEXT(AB67),_xlfn.XLOOKUP(AB67,'Included studies 2023 update'!C:C,'Included studies 2023 update'!I:I),"")</f>
        <v>0</v>
      </c>
      <c r="AF67" t="str">
        <f>IF(ISTEXT(AB67),_xlfn.XLOOKUP(AB67,'Included studies 2023 update'!C:C,'Included studies 2023 update'!U:U),"")</f>
        <v xml:space="preserve"> </v>
      </c>
      <c r="AG67">
        <f>IF(ISTEXT(AB67),_xlfn.XLOOKUP(AB67,'Included studies 2023 update'!C:C,'Included studies 2023 update'!X:X),"")</f>
        <v>0</v>
      </c>
      <c r="AH67">
        <f>IF(ISTEXT(AB67),_xlfn.XLOOKUP(AB67,'Included studies 2023 update'!C:C,'Included studies 2023 update'!Y:Y),"")</f>
        <v>0</v>
      </c>
      <c r="AI67">
        <f>IF(ISTEXT(AB67),_xlfn.XLOOKUP(AB67,'Included studies 2023 update'!C:C,'Included studies 2023 update'!Z:Z),"")</f>
        <v>0</v>
      </c>
    </row>
    <row r="68" spans="1:42" ht="15.75" customHeight="1">
      <c r="A68" s="4">
        <v>34298243</v>
      </c>
      <c r="B68" s="17" t="s">
        <v>22</v>
      </c>
      <c r="C68" s="1" t="s">
        <v>21</v>
      </c>
      <c r="F68" s="4">
        <v>2021</v>
      </c>
      <c r="G68" s="3" t="s">
        <v>10</v>
      </c>
      <c r="I68" s="2"/>
      <c r="J68" s="16"/>
      <c r="K68" s="2"/>
      <c r="L68" s="2"/>
      <c r="M68" s="2"/>
      <c r="N68" s="2"/>
      <c r="O68" s="2"/>
      <c r="Q68" s="2"/>
      <c r="U68" s="158" t="s">
        <v>3747</v>
      </c>
      <c r="V68" s="142" t="s">
        <v>3753</v>
      </c>
      <c r="W68" s="139" t="str">
        <f>""&amp;TEXT(SUM(BP:BP),"0")&amp;" ("&amp;TEXT(SUM(BP:BP)/SUM(BP:BS),"0.0%")&amp;")"</f>
        <v>921 (16.3%)</v>
      </c>
      <c r="X68" s="136" t="str" cm="1">
        <f t="array" ref="X68">""&amp;TEXT(SUM(_xlfn._xlws.FILTER('Included studies 2023 update'!BH:BH,'Included studies 2023 update'!$H:$H='Full-text review 2023 update'!X$2)),"0")&amp;" ("&amp;TEXT(SUM(_xlfn._xlws.FILTER('Included studies 2023 update'!BH:BH,'Included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850 (15.4%)</v>
      </c>
      <c r="Y68" s="136" t="str" cm="1">
        <f t="array" ref="Y68">""&amp;TEXT(SUM(_xlfn._xlws.FILTER('Included studies 2023 update'!BI:BI,'Included studies 2023 update'!$H:$H='Full-text review 2023 update'!Y$2)),"0")&amp;" ("&amp;TEXT(SUM(_xlfn._xlws.FILTER('Included studies 2023 update'!BI:BI,'Included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154 (11.8%)</v>
      </c>
      <c r="Z68" s="136" t="str" cm="1">
        <f t="array" ref="Z68">""&amp;TEXT(SUM(_xlfn._xlws.FILTER('Included studies 2023 update'!BJ:BJ,'Included studies 2023 update'!$H:$H='Full-text review 2023 update'!Z$2)),"0")&amp;" ("&amp;TEXT(SUM(_xlfn._xlws.FILTER('Included studies 2023 update'!BJ:BJ,'Included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914 (76.0%)</v>
      </c>
      <c r="AB68" t="str">
        <v>https://pubmed.ncbi.nlm.nih.gov/22048789/</v>
      </c>
      <c r="AC68">
        <f>IF(ISTEXT(AB68),_xlfn.XLOOKUP(AB68,'Included studies 2023 update'!C:C,'Included studies 2023 update'!J:J),"")</f>
        <v>50</v>
      </c>
      <c r="AD68" t="str">
        <f>IF(ISTEXT(AB68),_xlfn.XLOOKUP(AB68,'Included studies 2023 update'!C:C,'Included studies 2023 update'!E:E),"")</f>
        <v>Yes</v>
      </c>
      <c r="AE68">
        <f>IF(ISTEXT(AB68),_xlfn.XLOOKUP(AB68,'Included studies 2023 update'!C:C,'Included studies 2023 update'!I:I),"")</f>
        <v>0</v>
      </c>
      <c r="AF68" t="str">
        <f>IF(ISTEXT(AB68),_xlfn.XLOOKUP(AB68,'Included studies 2023 update'!C:C,'Included studies 2023 update'!U:U),"")</f>
        <v xml:space="preserve"> </v>
      </c>
      <c r="AG68">
        <f>IF(ISTEXT(AB68),_xlfn.XLOOKUP(AB68,'Included studies 2023 update'!C:C,'Included studies 2023 update'!X:X),"")</f>
        <v>0</v>
      </c>
      <c r="AH68">
        <f>IF(ISTEXT(AB68),_xlfn.XLOOKUP(AB68,'Included studies 2023 update'!C:C,'Included studies 2023 update'!Y:Y),"")</f>
        <v>0</v>
      </c>
      <c r="AI68">
        <f>IF(ISTEXT(AB68),_xlfn.XLOOKUP(AB68,'Included studies 2023 update'!C:C,'Included studies 2023 update'!Z:Z),"")</f>
        <v>0</v>
      </c>
    </row>
    <row r="69" spans="1:42" ht="15.75" customHeight="1">
      <c r="A69" s="4">
        <v>34523191</v>
      </c>
      <c r="B69" s="17" t="s">
        <v>25</v>
      </c>
      <c r="C69" s="1" t="s">
        <v>24</v>
      </c>
      <c r="F69" s="4">
        <v>2023</v>
      </c>
      <c r="G69" s="3" t="s">
        <v>10</v>
      </c>
      <c r="I69" s="2"/>
      <c r="J69" s="16"/>
      <c r="K69" s="2"/>
      <c r="L69" s="2"/>
      <c r="M69" s="2"/>
      <c r="N69" s="2"/>
      <c r="O69" s="2"/>
      <c r="Q69" s="2"/>
      <c r="U69" s="159"/>
      <c r="V69" s="143" t="s">
        <v>3754</v>
      </c>
      <c r="W69" s="140" t="str">
        <f>""&amp;TEXT(SUM(BQ:BQ),"0")&amp;" ("&amp;TEXT(SUM(BQ:BQ)/SUM(BP:BS),"0.0%")&amp;")"</f>
        <v>753 (13.3%)</v>
      </c>
      <c r="X69" s="137" t="str" cm="1">
        <f t="array" ref="X69">""&amp;TEXT(SUM(_xlfn._xlws.FILTER('Included studies 2023 update'!BI:BI,'Included studies 2023 update'!$H:$H='Full-text review 2023 update'!X$2)),"0")&amp;" ("&amp;TEXT(SUM(_xlfn._xlws.FILTER('Included studies 2023 update'!BI:BI,'Included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750 (13.6%)</v>
      </c>
      <c r="Y69" s="137" t="str" cm="1">
        <f t="array" ref="Y69">""&amp;TEXT(SUM(_xlfn._xlws.FILTER('Included studies 2023 update'!BJ:BJ,'Included studies 2023 update'!$H:$H='Full-text review 2023 update'!Y$2)),"0")&amp;" ("&amp;TEXT(SUM(_xlfn._xlws.FILTER('Included studies 2023 update'!BJ:BJ,'Included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864 (66.1%)</v>
      </c>
      <c r="Z69" s="137" t="str" cm="1">
        <f t="array" ref="Z69">""&amp;TEXT(SUM(_xlfn._xlws.FILTER('Included studies 2023 update'!BK:BK,'Included studies 2023 update'!$H:$H='Full-text review 2023 update'!Z$2)),"0")&amp;" ("&amp;TEXT(SUM(_xlfn._xlws.FILTER('Included studies 2023 update'!BK:BK,'Included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289 (24.0%)</v>
      </c>
      <c r="AB69" t="str">
        <v>https://pubmed.ncbi.nlm.nih.gov/23331378/</v>
      </c>
      <c r="AC69">
        <f>IF(ISTEXT(AB69),_xlfn.XLOOKUP(AB69,'Included studies 2023 update'!C:C,'Included studies 2023 update'!J:J),"")</f>
        <v>140</v>
      </c>
      <c r="AD69" t="str">
        <f>IF(ISTEXT(AB69),_xlfn.XLOOKUP(AB69,'Included studies 2023 update'!C:C,'Included studies 2023 update'!E:E),"")</f>
        <v>Yes</v>
      </c>
      <c r="AE69">
        <f>IF(ISTEXT(AB69),_xlfn.XLOOKUP(AB69,'Included studies 2023 update'!C:C,'Included studies 2023 update'!I:I),"")</f>
        <v>0</v>
      </c>
      <c r="AF69" t="str">
        <f>IF(ISTEXT(AB69),_xlfn.XLOOKUP(AB69,'Included studies 2023 update'!C:C,'Included studies 2023 update'!U:U),"")</f>
        <v xml:space="preserve"> </v>
      </c>
      <c r="AG69">
        <f>IF(ISTEXT(AB69),_xlfn.XLOOKUP(AB69,'Included studies 2023 update'!C:C,'Included studies 2023 update'!X:X),"")</f>
        <v>0</v>
      </c>
      <c r="AH69">
        <f>IF(ISTEXT(AB69),_xlfn.XLOOKUP(AB69,'Included studies 2023 update'!C:C,'Included studies 2023 update'!Y:Y),"")</f>
        <v>0</v>
      </c>
      <c r="AI69">
        <f>IF(ISTEXT(AB69),_xlfn.XLOOKUP(AB69,'Included studies 2023 update'!C:C,'Included studies 2023 update'!Z:Z),"")</f>
        <v>0</v>
      </c>
    </row>
    <row r="70" spans="1:42" ht="15.75" customHeight="1">
      <c r="A70" s="4">
        <v>37279857</v>
      </c>
      <c r="B70" s="17" t="s">
        <v>28</v>
      </c>
      <c r="C70" s="1" t="s">
        <v>27</v>
      </c>
      <c r="F70" s="4">
        <v>2023</v>
      </c>
      <c r="G70" s="3" t="s">
        <v>10</v>
      </c>
      <c r="I70" s="2"/>
      <c r="J70" s="16"/>
      <c r="K70" s="2"/>
      <c r="L70" s="2"/>
      <c r="M70" s="2"/>
      <c r="N70" s="2"/>
      <c r="O70" s="2"/>
      <c r="Q70" s="2"/>
      <c r="U70" s="159"/>
      <c r="V70" s="143" t="s">
        <v>3755</v>
      </c>
      <c r="W70" s="140" t="str">
        <f>""&amp;TEXT(SUM(BR:BR),"0")&amp;" ("&amp;TEXT(SUM(BR:BR)/SUM(BP:BS),"0.0%")&amp;")"</f>
        <v>1382 (24.4%)</v>
      </c>
      <c r="X70" s="137" t="str" cm="1">
        <f t="array" ref="X70">""&amp;TEXT(SUM(_xlfn._xlws.FILTER('Included studies 2023 update'!BJ:BJ,'Included studies 2023 update'!$H:$H='Full-text review 2023 update'!X$2)),"0")&amp;" ("&amp;TEXT(SUM(_xlfn._xlws.FILTER('Included studies 2023 update'!BJ:BJ,'Included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1292 (23.5%)</v>
      </c>
      <c r="Y70" s="137" t="str" cm="1">
        <f t="array" ref="Y70">""&amp;TEXT(SUM(_xlfn._xlws.FILTER('Included studies 2023 update'!BK:BK,'Included studies 2023 update'!$H:$H='Full-text review 2023 update'!Y$2)),"0")&amp;" ("&amp;TEXT(SUM(_xlfn._xlws.FILTER('Included studies 2023 update'!BK:BK,'Included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289 (22.1%)</v>
      </c>
      <c r="Z70" s="137" t="str" cm="1">
        <f t="array" ref="Z70">""&amp;TEXT(SUM(_xlfn._xlws.FILTER('Included studies 2023 update'!BL:BL,'Included studies 2023 update'!$H:$H='Full-text review 2023 update'!Z$2)),"0")&amp;" ("&amp;TEXT(SUM(_xlfn._xlws.FILTER('Included studies 2023 update'!BL:BL,'Included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0" t="str">
        <v>https://pubmed.ncbi.nlm.nih.gov/11035370/</v>
      </c>
      <c r="AC70">
        <f>IF(ISTEXT(AB70),_xlfn.XLOOKUP(AB70,'Included studies 2023 update'!C:C,'Included studies 2023 update'!J:J),"")</f>
        <v>23</v>
      </c>
      <c r="AD70" t="str">
        <f>IF(ISTEXT(AB70),_xlfn.XLOOKUP(AB70,'Included studies 2023 update'!C:C,'Included studies 2023 update'!E:E),"")</f>
        <v>Yes</v>
      </c>
      <c r="AE70">
        <f>IF(ISTEXT(AB70),_xlfn.XLOOKUP(AB70,'Included studies 2023 update'!C:C,'Included studies 2023 update'!I:I),"")</f>
        <v>0</v>
      </c>
      <c r="AF70" t="str">
        <f>IF(ISTEXT(AB70),_xlfn.XLOOKUP(AB70,'Included studies 2023 update'!C:C,'Included studies 2023 update'!U:U),"")</f>
        <v xml:space="preserve"> </v>
      </c>
      <c r="AG70">
        <f>IF(ISTEXT(AB70),_xlfn.XLOOKUP(AB70,'Included studies 2023 update'!C:C,'Included studies 2023 update'!X:X),"")</f>
        <v>0</v>
      </c>
      <c r="AH70">
        <f>IF(ISTEXT(AB70),_xlfn.XLOOKUP(AB70,'Included studies 2023 update'!C:C,'Included studies 2023 update'!Y:Y),"")</f>
        <v>0</v>
      </c>
      <c r="AI70">
        <f>IF(ISTEXT(AB70),_xlfn.XLOOKUP(AB70,'Included studies 2023 update'!C:C,'Included studies 2023 update'!Z:Z),"")</f>
        <v>0</v>
      </c>
    </row>
    <row r="71" spans="1:42" ht="15.75" customHeight="1">
      <c r="A71" s="4">
        <v>33533068</v>
      </c>
      <c r="B71" s="17" t="s">
        <v>32</v>
      </c>
      <c r="C71" s="1" t="s">
        <v>31</v>
      </c>
      <c r="F71" s="4">
        <v>2021</v>
      </c>
      <c r="G71" s="3" t="s">
        <v>10</v>
      </c>
      <c r="I71" s="2"/>
      <c r="J71" s="16"/>
      <c r="K71" s="2"/>
      <c r="L71" s="2"/>
      <c r="M71" s="2"/>
      <c r="N71" s="2"/>
      <c r="O71" s="2"/>
      <c r="Q71" s="2"/>
      <c r="U71" s="160"/>
      <c r="V71" s="144" t="s">
        <v>3696</v>
      </c>
      <c r="W71" s="141" t="str">
        <f>""&amp;TEXT(SUM(BS:BS),"0")&amp;" ("&amp;TEXT(SUM(BS:BS)/SUM(BP:BS),"0.0%")&amp;")"</f>
        <v>2610 (46.1%)</v>
      </c>
      <c r="X71" s="138" t="str" cm="1">
        <f t="array" ref="X71">""&amp;TEXT(SUM(_xlfn._xlws.FILTER('Included studies 2023 update'!BK:BK,'Included studies 2023 update'!$H:$H='Full-text review 2023 update'!X$2)),"0")&amp;" ("&amp;TEXT(SUM(_xlfn._xlws.FILTER('Included studies 2023 update'!BK:BK,'Included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2610 (47.4%)</v>
      </c>
      <c r="Y71" s="138" t="str" cm="1">
        <f t="array" ref="Y71">""&amp;TEXT(SUM(_xlfn._xlws.FILTER('Included studies 2023 update'!BL:BL,'Included studies 2023 update'!$H:$H='Full-text review 2023 update'!Y$2)),"0")&amp;" ("&amp;TEXT(SUM(_xlfn._xlws.FILTER('Included studies 2023 update'!BL:BL,'Included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0 (0.0%)</v>
      </c>
      <c r="Z71" s="138" t="str" cm="1">
        <f t="array" ref="Z71">""&amp;TEXT(SUM(_xlfn._xlws.FILTER('Included studies 2023 update'!BM:BM,'Included studies 2023 update'!$H:$H='Full-text review 2023 update'!Z$2)),"0")&amp;" ("&amp;TEXT(SUM(_xlfn._xlws.FILTER('Included studies 2023 update'!BM:BM,'Included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1" t="str">
        <v>https://pubmed.ncbi.nlm.nih.gov/31075291/</v>
      </c>
      <c r="AC71">
        <f>IF(ISTEXT(AB71),_xlfn.XLOOKUP(AB71,'Included studies 2023 update'!C:C,'Included studies 2023 update'!J:J),"")</f>
        <v>196</v>
      </c>
      <c r="AD71" t="str">
        <f>IF(ISTEXT(AB71),_xlfn.XLOOKUP(AB71,'Included studies 2023 update'!C:C,'Included studies 2023 update'!E:E),"")</f>
        <v>Yes</v>
      </c>
      <c r="AE71">
        <f>IF(ISTEXT(AB71),_xlfn.XLOOKUP(AB71,'Included studies 2023 update'!C:C,'Included studies 2023 update'!I:I),"")</f>
        <v>0</v>
      </c>
      <c r="AF71" t="str">
        <f>IF(ISTEXT(AB71),_xlfn.XLOOKUP(AB71,'Included studies 2023 update'!C:C,'Included studies 2023 update'!U:U),"")</f>
        <v xml:space="preserve"> </v>
      </c>
      <c r="AG71">
        <f>IF(ISTEXT(AB71),_xlfn.XLOOKUP(AB71,'Included studies 2023 update'!C:C,'Included studies 2023 update'!X:X),"")</f>
        <v>0</v>
      </c>
      <c r="AH71">
        <f>IF(ISTEXT(AB71),_xlfn.XLOOKUP(AB71,'Included studies 2023 update'!C:C,'Included studies 2023 update'!Y:Y),"")</f>
        <v>0</v>
      </c>
      <c r="AI71">
        <f>IF(ISTEXT(AB71),_xlfn.XLOOKUP(AB71,'Included studies 2023 update'!C:C,'Included studies 2023 update'!Z:Z),"")</f>
        <v>0</v>
      </c>
    </row>
    <row r="72" spans="1:42" ht="15.75" customHeight="1">
      <c r="A72" s="4">
        <v>38228644</v>
      </c>
      <c r="B72" s="5" t="s">
        <v>3627</v>
      </c>
      <c r="E72" s="1" t="s">
        <v>2761</v>
      </c>
      <c r="F72" s="4">
        <v>2024</v>
      </c>
      <c r="G72" s="2" t="s">
        <v>10</v>
      </c>
      <c r="H72" s="3"/>
      <c r="I72" s="2"/>
      <c r="J72" s="16"/>
      <c r="K72" s="2"/>
      <c r="L72" s="2"/>
      <c r="M72" s="2"/>
      <c r="N72" s="2"/>
      <c r="O72" s="2"/>
      <c r="Q72" s="2"/>
      <c r="U72" s="86"/>
      <c r="AB72" t="str">
        <v>https://pubmed.ncbi.nlm.nih.gov/32017805/</v>
      </c>
      <c r="AC72">
        <f>IF(ISTEXT(AB72),_xlfn.XLOOKUP(AB72,'Included studies 2023 update'!C:C,'Included studies 2023 update'!J:J),"")</f>
        <v>107</v>
      </c>
      <c r="AD72" t="str">
        <f>IF(ISTEXT(AB72),_xlfn.XLOOKUP(AB72,'Included studies 2023 update'!C:C,'Included studies 2023 update'!E:E),"")</f>
        <v>Yes</v>
      </c>
      <c r="AE72">
        <f>IF(ISTEXT(AB72),_xlfn.XLOOKUP(AB72,'Included studies 2023 update'!C:C,'Included studies 2023 update'!I:I),"")</f>
        <v>0</v>
      </c>
      <c r="AF72" t="str">
        <f>IF(ISTEXT(AB72),_xlfn.XLOOKUP(AB72,'Included studies 2023 update'!C:C,'Included studies 2023 update'!U:U),"")</f>
        <v xml:space="preserve"> </v>
      </c>
      <c r="AG72">
        <f>IF(ISTEXT(AB72),_xlfn.XLOOKUP(AB72,'Included studies 2023 update'!C:C,'Included studies 2023 update'!X:X),"")</f>
        <v>0</v>
      </c>
      <c r="AH72">
        <f>IF(ISTEXT(AB72),_xlfn.XLOOKUP(AB72,'Included studies 2023 update'!C:C,'Included studies 2023 update'!Y:Y),"")</f>
        <v>0</v>
      </c>
      <c r="AI72">
        <f>IF(ISTEXT(AB72),_xlfn.XLOOKUP(AB72,'Included studies 2023 update'!C:C,'Included studies 2023 update'!Z:Z),"")</f>
        <v>0</v>
      </c>
    </row>
    <row r="73" spans="1:42" ht="15.75" customHeight="1">
      <c r="A73" s="4">
        <v>37532126</v>
      </c>
      <c r="B73" s="5" t="s">
        <v>9</v>
      </c>
      <c r="C73" s="1" t="s">
        <v>8</v>
      </c>
      <c r="F73" s="4">
        <v>2023</v>
      </c>
      <c r="G73" s="3" t="s">
        <v>580</v>
      </c>
      <c r="H73" s="3" t="s">
        <v>53</v>
      </c>
      <c r="I73" s="2"/>
      <c r="J73" s="16"/>
      <c r="K73" s="2"/>
      <c r="L73" s="2"/>
      <c r="M73" s="2"/>
      <c r="N73" s="2"/>
      <c r="O73" s="2"/>
      <c r="Q73" s="2"/>
      <c r="R73" t="str">
        <f>IF(ISNUMBER(Q73), _xlfn.XLOOKUP(Q73,'Included studies 2023 update'!A:A,'Included studies 2023 update'!K:K)+_xlfn.XLOOKUP(Q73,'Included studies 2023 update'!A:A,'Included studies 2023 update'!L:L),"")</f>
        <v/>
      </c>
      <c r="U73" s="155" t="s">
        <v>3757</v>
      </c>
      <c r="V73" s="156" t="s">
        <v>3761</v>
      </c>
      <c r="W73" s="154" t="s">
        <v>3762</v>
      </c>
      <c r="X73" s="135"/>
      <c r="AB73" t="str">
        <v>https://pubmed.ncbi.nlm.nih.gov/10998432/</v>
      </c>
      <c r="AC73">
        <f>IF(ISTEXT(AB73),_xlfn.XLOOKUP(AB73,'Included studies 2023 update'!C:C,'Included studies 2023 update'!J:J),"")</f>
        <v>20</v>
      </c>
      <c r="AD73" t="str">
        <f>IF(ISTEXT(AB73),_xlfn.XLOOKUP(AB73,'Included studies 2023 update'!C:C,'Included studies 2023 update'!E:E),"")</f>
        <v>Yes</v>
      </c>
      <c r="AE73">
        <f>IF(ISTEXT(AB73),_xlfn.XLOOKUP(AB73,'Included studies 2023 update'!C:C,'Included studies 2023 update'!I:I),"")</f>
        <v>0</v>
      </c>
      <c r="AF73" t="str">
        <f>IF(ISTEXT(AB73),_xlfn.XLOOKUP(AB73,'Included studies 2023 update'!C:C,'Included studies 2023 update'!U:U),"")</f>
        <v xml:space="preserve"> </v>
      </c>
      <c r="AG73">
        <f>IF(ISTEXT(AB73),_xlfn.XLOOKUP(AB73,'Included studies 2023 update'!C:C,'Included studies 2023 update'!X:X),"")</f>
        <v>0</v>
      </c>
      <c r="AH73">
        <f>IF(ISTEXT(AB73),_xlfn.XLOOKUP(AB73,'Included studies 2023 update'!C:C,'Included studies 2023 update'!Y:Y),"")</f>
        <v>0</v>
      </c>
      <c r="AI73">
        <f>IF(ISTEXT(AB73),_xlfn.XLOOKUP(AB73,'Included studies 2023 update'!C:C,'Included studies 2023 update'!Z:Z),"")</f>
        <v>0</v>
      </c>
    </row>
    <row r="74" spans="1:42" ht="15.75" customHeight="1">
      <c r="A74" s="2">
        <v>11076708</v>
      </c>
      <c r="B74" s="11" t="s">
        <v>2863</v>
      </c>
      <c r="C74" s="2" t="s">
        <v>147</v>
      </c>
      <c r="D74" s="2" t="s">
        <v>2864</v>
      </c>
      <c r="E74" s="2" t="s">
        <v>2865</v>
      </c>
      <c r="F74" s="2">
        <v>2001</v>
      </c>
      <c r="G74" s="2" t="s">
        <v>580</v>
      </c>
      <c r="H74" s="3" t="s">
        <v>53</v>
      </c>
      <c r="I74" s="2"/>
      <c r="M74" s="16"/>
      <c r="N74" s="16"/>
      <c r="O74" s="16"/>
      <c r="P74" s="13"/>
      <c r="Q74" s="16"/>
      <c r="R74" s="16"/>
      <c r="S74" s="16"/>
      <c r="T74" s="16"/>
      <c r="U74" s="151" t="s">
        <v>3393</v>
      </c>
      <c r="V74" s="152">
        <f>SUMIFS('Included studies 2023 update'!M:M,'Included studies 2023 update'!H:H,"OM")</f>
        <v>765</v>
      </c>
      <c r="W74" s="153">
        <f>SUMIFS('Included studies 2023 update'!N:N,'Included studies 2023 update'!H:H,"OM")</f>
        <v>1512</v>
      </c>
      <c r="AA74" s="16"/>
      <c r="AB74" s="16" t="str">
        <v>https://pubmed.ncbi.nlm.nih.gov/37279857</v>
      </c>
      <c r="AC74" s="16"/>
      <c r="AD74" s="16"/>
      <c r="AE74" s="16"/>
      <c r="AF74" s="16"/>
      <c r="AG74" s="16"/>
      <c r="AH74" s="16"/>
      <c r="AI74" s="16"/>
      <c r="AJ74" s="16"/>
      <c r="AK74" s="16"/>
      <c r="AL74" s="16"/>
      <c r="AM74" s="16"/>
      <c r="AN74" s="16"/>
      <c r="AO74" s="16"/>
      <c r="AP74" s="16"/>
    </row>
    <row r="75" spans="1:42" ht="15.75" customHeight="1">
      <c r="A75" s="2">
        <v>30067953</v>
      </c>
      <c r="B75" s="11" t="s">
        <v>2866</v>
      </c>
      <c r="C75" s="2" t="s">
        <v>128</v>
      </c>
      <c r="D75" s="2" t="s">
        <v>2867</v>
      </c>
      <c r="E75" s="2" t="s">
        <v>2868</v>
      </c>
      <c r="F75" s="2">
        <v>2018</v>
      </c>
      <c r="G75" s="2" t="s">
        <v>580</v>
      </c>
      <c r="H75" s="3" t="s">
        <v>53</v>
      </c>
      <c r="I75" s="2"/>
      <c r="M75" s="2"/>
      <c r="N75" s="2"/>
      <c r="O75" s="2"/>
      <c r="P75" s="2"/>
      <c r="Q75" s="2"/>
      <c r="R75" s="2"/>
      <c r="S75" s="2"/>
      <c r="T75" s="2"/>
      <c r="U75" s="146" t="s">
        <v>3758</v>
      </c>
      <c r="V75" s="150">
        <f>SUMIFS('Included studies 2023 update'!K:K,'Included studies 2023 update'!H:H,"OM")-SUMIFS('Included studies 2023 update'!M:M,'Included studies 2023 update'!H:H,"OM")</f>
        <v>1656</v>
      </c>
      <c r="W75" s="149">
        <f>SUMIFS('Included studies 2023 update'!L:L,'Included studies 2023 update'!H:H,"OM")-SUMIFS('Included studies 2023 update'!N:N,'Included studies 2023 update'!H:H,"OM")</f>
        <v>4415</v>
      </c>
      <c r="AA75" s="2"/>
      <c r="AB75" s="2">
        <v>0</v>
      </c>
      <c r="AC75" s="2"/>
      <c r="AD75" s="2"/>
      <c r="AE75" s="2"/>
      <c r="AF75" s="2"/>
      <c r="AG75" s="2"/>
      <c r="AH75" s="2"/>
      <c r="AI75" s="2"/>
      <c r="AJ75" s="2"/>
      <c r="AK75" s="2"/>
      <c r="AL75" s="2"/>
      <c r="AM75" s="2"/>
      <c r="AN75" s="2"/>
      <c r="AO75" s="2"/>
      <c r="AP75" s="2"/>
    </row>
    <row r="76" spans="1:42" ht="15.75" customHeight="1">
      <c r="A76" s="2">
        <v>21801705</v>
      </c>
      <c r="B76" s="11" t="s">
        <v>2869</v>
      </c>
      <c r="C76" s="2" t="s">
        <v>91</v>
      </c>
      <c r="D76" s="2" t="s">
        <v>2870</v>
      </c>
      <c r="E76" s="2" t="s">
        <v>2871</v>
      </c>
      <c r="F76" s="2">
        <v>2012</v>
      </c>
      <c r="G76" s="2" t="s">
        <v>580</v>
      </c>
      <c r="H76" s="3" t="s">
        <v>53</v>
      </c>
      <c r="I76" s="2"/>
      <c r="M76" s="2"/>
      <c r="N76" s="2"/>
      <c r="O76" s="2"/>
      <c r="P76" s="2"/>
      <c r="Q76" s="2"/>
      <c r="R76" s="2"/>
      <c r="S76" s="2"/>
      <c r="T76" s="2"/>
      <c r="U76" s="145" t="s">
        <v>3410</v>
      </c>
      <c r="V76" s="148">
        <f>SUMIFS('Included studies 2023 update'!M:M,'Included studies 2023 update'!H:H,"RM")</f>
        <v>74</v>
      </c>
      <c r="W76" s="149">
        <f>SUMIFS('Included studies 2023 update'!N:N,'Included studies 2023 update'!H:H,"RM")</f>
        <v>299</v>
      </c>
      <c r="AA76" s="2"/>
      <c r="AB76" s="2"/>
      <c r="AC76" s="2"/>
      <c r="AD76" s="2"/>
      <c r="AE76" s="2"/>
      <c r="AF76" s="2"/>
      <c r="AG76" s="2"/>
      <c r="AH76" s="2"/>
      <c r="AI76" s="2"/>
      <c r="AJ76" s="2"/>
      <c r="AK76" s="2"/>
      <c r="AL76" s="2"/>
      <c r="AM76" s="2"/>
      <c r="AN76" s="2"/>
      <c r="AO76" s="2"/>
      <c r="AP76" s="2"/>
    </row>
    <row r="77" spans="1:42" ht="15.75" customHeight="1">
      <c r="A77" s="2">
        <v>25398808</v>
      </c>
      <c r="B77" s="11" t="s">
        <v>2872</v>
      </c>
      <c r="C77" s="2" t="s">
        <v>298</v>
      </c>
      <c r="D77" s="2" t="s">
        <v>2873</v>
      </c>
      <c r="E77" s="2" t="s">
        <v>2874</v>
      </c>
      <c r="F77" s="2">
        <v>2014</v>
      </c>
      <c r="G77" s="2" t="s">
        <v>580</v>
      </c>
      <c r="H77" s="3" t="s">
        <v>53</v>
      </c>
      <c r="I77" s="2"/>
      <c r="M77" s="2"/>
      <c r="N77" s="2"/>
      <c r="O77" s="2"/>
      <c r="P77" s="2"/>
      <c r="Q77" s="2"/>
      <c r="R77" s="2"/>
      <c r="S77" s="2"/>
      <c r="T77" s="2"/>
      <c r="U77" s="147" t="s">
        <v>3759</v>
      </c>
      <c r="V77" s="150">
        <f>SUMIFS('Included studies 2023 update'!K:K,'Included studies 2023 update'!H:H,"RM")-SUMIFS('Included studies 2023 update'!M:M,'Included studies 2023 update'!H:H,"RM")</f>
        <v>422</v>
      </c>
      <c r="W77" s="149">
        <f>SUMIFS('Included studies 2023 update'!L:L,'Included studies 2023 update'!H:H,"RM")-SUMIFS('Included studies 2023 update'!N:N,'Included studies 2023 update'!H:H,"RM")</f>
        <v>1023</v>
      </c>
      <c r="AA77" s="2"/>
      <c r="AB77" s="2"/>
      <c r="AC77" s="2"/>
      <c r="AD77" s="2"/>
      <c r="AE77" s="2"/>
      <c r="AF77" s="2"/>
      <c r="AG77" s="2"/>
      <c r="AH77" s="2"/>
      <c r="AI77" s="2"/>
      <c r="AJ77" s="2"/>
      <c r="AK77" s="2"/>
      <c r="AL77" s="2"/>
      <c r="AM77" s="2"/>
      <c r="AN77" s="2"/>
      <c r="AO77" s="2"/>
      <c r="AP77" s="2"/>
    </row>
    <row r="78" spans="1:42" ht="15.75" customHeight="1">
      <c r="A78" s="2">
        <v>16417932</v>
      </c>
      <c r="B78" s="11" t="s">
        <v>2875</v>
      </c>
      <c r="C78" s="2" t="s">
        <v>249</v>
      </c>
      <c r="D78" s="2" t="s">
        <v>2876</v>
      </c>
      <c r="E78" s="2" t="s">
        <v>2877</v>
      </c>
      <c r="F78" s="2">
        <v>2006</v>
      </c>
      <c r="G78" s="2" t="s">
        <v>580</v>
      </c>
      <c r="H78" s="3" t="s">
        <v>53</v>
      </c>
      <c r="I78" s="2"/>
      <c r="M78" s="2"/>
      <c r="N78" s="2"/>
      <c r="O78" s="2"/>
      <c r="P78" s="2"/>
      <c r="Q78" s="2"/>
      <c r="R78" s="2"/>
      <c r="S78" s="2"/>
      <c r="T78" s="2"/>
      <c r="U78" s="145" t="s">
        <v>3409</v>
      </c>
      <c r="V78" s="148">
        <f>SUMIFS('Included studies 2023 update'!M:M,'Included studies 2023 update'!H:H,"NRM")</f>
        <v>147</v>
      </c>
      <c r="W78" s="149">
        <f>SUMIFS('Included studies 2023 update'!N:N,'Included studies 2023 update'!H:H,"NRM")</f>
        <v>316</v>
      </c>
      <c r="AA78" s="2"/>
      <c r="AB78" s="2"/>
      <c r="AC78" s="2"/>
      <c r="AD78" s="2"/>
      <c r="AE78" s="2"/>
      <c r="AF78" s="2"/>
      <c r="AG78" s="2"/>
      <c r="AH78" s="2"/>
      <c r="AI78" s="2"/>
      <c r="AJ78" s="2"/>
      <c r="AK78" s="2"/>
      <c r="AL78" s="2"/>
      <c r="AM78" s="2"/>
      <c r="AN78" s="2"/>
      <c r="AO78" s="2"/>
      <c r="AP78" s="2"/>
    </row>
    <row r="79" spans="1:42" ht="15.75" customHeight="1">
      <c r="A79" s="2">
        <v>32860815</v>
      </c>
      <c r="B79" s="11" t="s">
        <v>2878</v>
      </c>
      <c r="C79" s="2" t="s">
        <v>227</v>
      </c>
      <c r="D79" s="2" t="s">
        <v>2879</v>
      </c>
      <c r="E79" s="2" t="s">
        <v>2880</v>
      </c>
      <c r="F79" s="2">
        <v>2020</v>
      </c>
      <c r="G79" s="2" t="s">
        <v>580</v>
      </c>
      <c r="H79" s="3" t="s">
        <v>53</v>
      </c>
      <c r="I79" s="2"/>
      <c r="M79" s="2"/>
      <c r="N79" s="2"/>
      <c r="O79" s="2"/>
      <c r="P79" s="2"/>
      <c r="Q79" s="2"/>
      <c r="R79" s="2"/>
      <c r="S79" s="2"/>
      <c r="T79" s="2"/>
      <c r="U79" s="157" t="s">
        <v>3760</v>
      </c>
      <c r="V79" s="150">
        <f>SUMIFS('Included studies 2023 update'!K:K,'Included studies 2023 update'!H:H,"NRM")-SUMIFS('Included studies 2023 update'!M:M,'Included studies 2023 update'!H:H,"NRM")</f>
        <v>421</v>
      </c>
      <c r="W79" s="149">
        <f>SUMIFS('Included studies 2023 update'!L:L,'Included studies 2023 update'!H:H,"NRM")-SUMIFS('Included studies 2023 update'!N:N,'Included studies 2023 update'!H:H,"NRM")</f>
        <v>1163</v>
      </c>
      <c r="AA79" s="2"/>
      <c r="AB79" s="2"/>
      <c r="AC79" s="2"/>
      <c r="AD79" s="2"/>
      <c r="AE79" s="2"/>
      <c r="AF79" s="2"/>
      <c r="AG79" s="2"/>
      <c r="AH79" s="2"/>
      <c r="AI79" s="2"/>
      <c r="AJ79" s="2"/>
      <c r="AK79" s="2"/>
      <c r="AL79" s="2"/>
      <c r="AM79" s="2"/>
      <c r="AN79" s="2"/>
      <c r="AO79" s="2"/>
      <c r="AP79" s="2"/>
    </row>
    <row r="80" spans="1:42" ht="15.75" customHeight="1">
      <c r="A80" s="2">
        <v>16281938</v>
      </c>
      <c r="B80" s="11" t="s">
        <v>2881</v>
      </c>
      <c r="C80" s="2" t="s">
        <v>141</v>
      </c>
      <c r="D80" s="2" t="s">
        <v>2882</v>
      </c>
      <c r="E80" s="2" t="s">
        <v>2883</v>
      </c>
      <c r="F80" s="2">
        <v>2005</v>
      </c>
      <c r="G80" s="2" t="s">
        <v>580</v>
      </c>
      <c r="H80" s="3" t="s">
        <v>53</v>
      </c>
      <c r="I80" s="2"/>
      <c r="U80" s="86"/>
      <c r="AA80"/>
    </row>
    <row r="81" spans="1:42" ht="15.75" customHeight="1">
      <c r="A81" s="2">
        <v>29756385</v>
      </c>
      <c r="B81" s="11" t="s">
        <v>2884</v>
      </c>
      <c r="C81" s="2" t="s">
        <v>556</v>
      </c>
      <c r="D81" s="2" t="s">
        <v>2885</v>
      </c>
      <c r="E81" s="2" t="s">
        <v>2886</v>
      </c>
      <c r="F81" s="2">
        <v>2018</v>
      </c>
      <c r="G81" s="2" t="s">
        <v>580</v>
      </c>
      <c r="H81" s="3" t="s">
        <v>53</v>
      </c>
      <c r="I81" s="2"/>
      <c r="L81" s="2"/>
      <c r="M81" s="2"/>
      <c r="N81" s="2"/>
      <c r="O81" s="2"/>
      <c r="P81" s="2"/>
      <c r="Q81" s="2"/>
      <c r="R81" s="2"/>
      <c r="S81" s="2"/>
      <c r="T81" s="2"/>
      <c r="U81" s="86"/>
      <c r="AA81" s="2"/>
      <c r="AB81" s="2"/>
      <c r="AC81" s="2"/>
      <c r="AD81" s="2"/>
      <c r="AE81" s="2"/>
      <c r="AF81" s="2"/>
      <c r="AG81" s="2"/>
      <c r="AH81" s="2"/>
      <c r="AI81" s="2"/>
      <c r="AJ81" s="2"/>
      <c r="AK81" s="2"/>
      <c r="AL81" s="2"/>
      <c r="AM81" s="2"/>
      <c r="AN81" s="2"/>
      <c r="AO81" s="2"/>
      <c r="AP81" s="2"/>
    </row>
    <row r="82" spans="1:42" ht="15.75" customHeight="1">
      <c r="A82" s="2">
        <v>12709076</v>
      </c>
      <c r="B82" s="11" t="s">
        <v>2887</v>
      </c>
      <c r="C82" s="2" t="s">
        <v>382</v>
      </c>
      <c r="D82" s="2" t="s">
        <v>2888</v>
      </c>
      <c r="E82" s="2" t="s">
        <v>2889</v>
      </c>
      <c r="F82" s="2">
        <v>2003</v>
      </c>
      <c r="G82" s="2" t="s">
        <v>580</v>
      </c>
      <c r="H82" s="3" t="s">
        <v>53</v>
      </c>
      <c r="I82" s="2"/>
      <c r="V82" s="58"/>
      <c r="AA82"/>
    </row>
    <row r="83" spans="1:42" ht="15.75" customHeight="1">
      <c r="A83" s="2">
        <v>15983553</v>
      </c>
      <c r="B83" s="11" t="s">
        <v>2890</v>
      </c>
      <c r="C83" s="2" t="s">
        <v>121</v>
      </c>
      <c r="D83" s="2" t="s">
        <v>2891</v>
      </c>
      <c r="E83" s="2" t="s">
        <v>2892</v>
      </c>
      <c r="F83" s="2">
        <v>2005</v>
      </c>
      <c r="G83" s="2" t="s">
        <v>580</v>
      </c>
      <c r="H83" s="3" t="s">
        <v>53</v>
      </c>
      <c r="I83" s="2"/>
      <c r="AA83"/>
    </row>
    <row r="84" spans="1:42" ht="15.75" customHeight="1">
      <c r="A84" s="2">
        <v>29545911</v>
      </c>
      <c r="B84" s="11" t="s">
        <v>2893</v>
      </c>
      <c r="C84" s="2" t="s">
        <v>552</v>
      </c>
      <c r="D84" s="2" t="s">
        <v>2894</v>
      </c>
      <c r="E84" s="2" t="s">
        <v>2895</v>
      </c>
      <c r="F84" s="2">
        <v>2018</v>
      </c>
      <c r="G84" s="2" t="s">
        <v>580</v>
      </c>
      <c r="H84" s="3" t="s">
        <v>53</v>
      </c>
      <c r="I84" s="2"/>
      <c r="AA84"/>
    </row>
    <row r="85" spans="1:42" ht="15.75" customHeight="1">
      <c r="A85" s="2">
        <v>19298239</v>
      </c>
      <c r="B85" s="11" t="s">
        <v>2896</v>
      </c>
      <c r="C85" s="2" t="s">
        <v>516</v>
      </c>
      <c r="D85" s="2" t="s">
        <v>2897</v>
      </c>
      <c r="E85" s="2" t="s">
        <v>2898</v>
      </c>
      <c r="F85" s="2">
        <v>2009</v>
      </c>
      <c r="G85" s="2" t="s">
        <v>580</v>
      </c>
      <c r="H85" s="3" t="s">
        <v>53</v>
      </c>
      <c r="I85" s="2"/>
      <c r="AA85"/>
    </row>
    <row r="86" spans="1:42" ht="15.75" customHeight="1">
      <c r="A86" s="2">
        <v>17207644</v>
      </c>
      <c r="B86" s="11" t="s">
        <v>2899</v>
      </c>
      <c r="C86" s="2" t="s">
        <v>197</v>
      </c>
      <c r="D86" s="2" t="s">
        <v>2900</v>
      </c>
      <c r="E86" s="2" t="s">
        <v>2901</v>
      </c>
      <c r="F86" s="2">
        <v>2007</v>
      </c>
      <c r="G86" s="2" t="s">
        <v>580</v>
      </c>
      <c r="H86" s="3" t="s">
        <v>53</v>
      </c>
      <c r="I86" s="2"/>
      <c r="J86" s="16"/>
      <c r="K86" s="2"/>
      <c r="L86" s="2"/>
      <c r="M86" s="2"/>
      <c r="N86" s="2"/>
      <c r="O86" s="2"/>
      <c r="Q86" s="2"/>
      <c r="AA86" s="124"/>
      <c r="AB86" s="124"/>
      <c r="AC86" s="124"/>
      <c r="AD86" s="124"/>
      <c r="AE86" s="124"/>
      <c r="AF86" s="124"/>
      <c r="AG86" s="124"/>
      <c r="AH86" s="124"/>
      <c r="AI86" s="124"/>
      <c r="AJ86" s="124"/>
      <c r="AK86" s="124"/>
    </row>
    <row r="87" spans="1:42" ht="15.75" customHeight="1">
      <c r="A87" s="2">
        <v>21296175</v>
      </c>
      <c r="B87" s="11" t="s">
        <v>2902</v>
      </c>
      <c r="C87" s="2" t="s">
        <v>430</v>
      </c>
      <c r="D87" s="2" t="s">
        <v>2903</v>
      </c>
      <c r="E87" s="2" t="s">
        <v>2904</v>
      </c>
      <c r="F87" s="2">
        <v>2011</v>
      </c>
      <c r="G87" s="2" t="s">
        <v>580</v>
      </c>
      <c r="H87" s="3" t="s">
        <v>53</v>
      </c>
      <c r="I87" s="2"/>
      <c r="J87" s="16"/>
      <c r="K87" s="2"/>
      <c r="L87" s="2"/>
      <c r="M87" s="2"/>
      <c r="N87" s="2"/>
      <c r="O87" s="2"/>
      <c r="Q87" s="2"/>
      <c r="AA87" s="124"/>
      <c r="AB87" s="124"/>
      <c r="AC87" s="124"/>
      <c r="AD87" s="124"/>
      <c r="AE87" s="124"/>
      <c r="AF87" s="124"/>
      <c r="AG87" s="124"/>
      <c r="AH87" s="124"/>
      <c r="AI87" s="124"/>
      <c r="AJ87" s="124"/>
      <c r="AK87" s="124"/>
    </row>
    <row r="88" spans="1:42" ht="15.75" customHeight="1">
      <c r="A88" s="2">
        <v>30256500</v>
      </c>
      <c r="B88" s="11" t="s">
        <v>2905</v>
      </c>
      <c r="C88" s="2" t="s">
        <v>434</v>
      </c>
      <c r="D88" s="2" t="s">
        <v>2906</v>
      </c>
      <c r="E88" s="2" t="s">
        <v>2907</v>
      </c>
      <c r="F88" s="2">
        <v>2019</v>
      </c>
      <c r="G88" s="2" t="s">
        <v>580</v>
      </c>
      <c r="H88" s="3" t="s">
        <v>2653</v>
      </c>
      <c r="I88" s="2"/>
      <c r="J88" s="16"/>
      <c r="K88" s="2"/>
      <c r="L88" s="2"/>
      <c r="M88" s="2"/>
      <c r="N88" s="2"/>
      <c r="O88" s="2"/>
      <c r="Q88" s="2"/>
      <c r="AA88" s="124"/>
      <c r="AB88" s="124"/>
      <c r="AC88" s="124"/>
      <c r="AD88" s="124"/>
      <c r="AE88" s="124"/>
      <c r="AF88" s="124"/>
      <c r="AG88" s="124"/>
      <c r="AH88" s="124"/>
      <c r="AI88" s="124"/>
      <c r="AJ88" s="124"/>
      <c r="AK88" s="124"/>
    </row>
    <row r="89" spans="1:42" ht="15.75" customHeight="1">
      <c r="A89" s="2">
        <v>12200359</v>
      </c>
      <c r="B89" s="11" t="s">
        <v>2908</v>
      </c>
      <c r="C89" s="2" t="s">
        <v>253</v>
      </c>
      <c r="D89" s="2" t="s">
        <v>2909</v>
      </c>
      <c r="E89" s="2" t="s">
        <v>2910</v>
      </c>
      <c r="F89" s="2">
        <v>2002</v>
      </c>
      <c r="G89" s="2" t="s">
        <v>580</v>
      </c>
      <c r="H89" s="3" t="s">
        <v>53</v>
      </c>
      <c r="I89" s="2"/>
      <c r="J89" s="16"/>
      <c r="K89" s="2"/>
      <c r="L89" s="2"/>
      <c r="M89" s="2"/>
      <c r="N89" s="2"/>
      <c r="O89" s="2"/>
      <c r="Q89" s="2"/>
      <c r="AA89" s="124"/>
      <c r="AB89" s="124"/>
      <c r="AC89" s="124"/>
      <c r="AD89" s="124"/>
      <c r="AE89" s="124"/>
      <c r="AF89" s="124"/>
      <c r="AG89" s="124"/>
      <c r="AH89" s="124"/>
      <c r="AI89" s="124"/>
      <c r="AJ89" s="124"/>
      <c r="AK89" s="124"/>
    </row>
    <row r="90" spans="1:42" ht="15.75" customHeight="1">
      <c r="A90" s="2">
        <v>16956672</v>
      </c>
      <c r="B90" s="11" t="s">
        <v>2911</v>
      </c>
      <c r="C90" s="2" t="s">
        <v>255</v>
      </c>
      <c r="D90" s="2" t="s">
        <v>2912</v>
      </c>
      <c r="E90" s="2" t="s">
        <v>2913</v>
      </c>
      <c r="F90" s="2">
        <v>2006</v>
      </c>
      <c r="G90" s="2" t="s">
        <v>580</v>
      </c>
      <c r="H90" s="3" t="s">
        <v>53</v>
      </c>
      <c r="I90" s="2"/>
      <c r="J90" s="16"/>
      <c r="K90" s="2"/>
      <c r="L90" s="2"/>
      <c r="M90" s="2"/>
      <c r="N90" s="2"/>
      <c r="O90" s="2"/>
      <c r="Q90" s="2"/>
      <c r="AA90" s="124"/>
      <c r="AB90" s="124"/>
      <c r="AC90" s="124"/>
      <c r="AD90" s="124"/>
      <c r="AE90" s="124"/>
      <c r="AF90" s="124"/>
      <c r="AG90" s="124"/>
      <c r="AH90" s="124"/>
      <c r="AI90" s="124"/>
      <c r="AJ90" s="124"/>
      <c r="AK90" s="124"/>
    </row>
    <row r="91" spans="1:42" ht="15.75" customHeight="1">
      <c r="A91" s="2">
        <v>15700258</v>
      </c>
      <c r="B91" s="11" t="s">
        <v>2914</v>
      </c>
      <c r="C91" s="2" t="s">
        <v>372</v>
      </c>
      <c r="D91" s="2" t="s">
        <v>2915</v>
      </c>
      <c r="E91" s="2" t="s">
        <v>2916</v>
      </c>
      <c r="F91" s="2">
        <v>2005</v>
      </c>
      <c r="G91" s="2" t="s">
        <v>580</v>
      </c>
      <c r="H91" s="3" t="s">
        <v>53</v>
      </c>
      <c r="I91" s="2"/>
      <c r="J91" s="16"/>
      <c r="K91" s="2"/>
      <c r="L91" s="2"/>
      <c r="M91" s="2"/>
      <c r="N91" s="2"/>
      <c r="O91" s="2"/>
      <c r="Q91" s="2"/>
      <c r="AA91" s="124"/>
      <c r="AB91" s="124"/>
      <c r="AC91" s="124"/>
      <c r="AD91" s="124"/>
      <c r="AE91" s="124"/>
      <c r="AF91" s="124"/>
      <c r="AG91" s="124"/>
      <c r="AH91" s="124"/>
      <c r="AI91" s="124"/>
      <c r="AJ91" s="124"/>
      <c r="AK91" s="124"/>
    </row>
    <row r="92" spans="1:42" ht="15.75" customHeight="1">
      <c r="A92" s="2">
        <v>20851868</v>
      </c>
      <c r="B92" s="11" t="s">
        <v>2917</v>
      </c>
      <c r="C92" s="2" t="s">
        <v>496</v>
      </c>
      <c r="D92" s="2" t="s">
        <v>2918</v>
      </c>
      <c r="E92" s="2" t="s">
        <v>2919</v>
      </c>
      <c r="F92" s="2">
        <v>2011</v>
      </c>
      <c r="G92" s="2" t="s">
        <v>580</v>
      </c>
      <c r="H92" s="3" t="s">
        <v>53</v>
      </c>
      <c r="I92" s="2"/>
      <c r="J92" s="16"/>
      <c r="K92" s="2"/>
      <c r="L92" s="2"/>
      <c r="M92" s="2"/>
      <c r="N92" s="2"/>
      <c r="O92" s="2"/>
      <c r="Q92" s="2"/>
      <c r="AA92" s="124"/>
      <c r="AB92" s="124"/>
      <c r="AC92" s="124"/>
      <c r="AD92" s="124"/>
      <c r="AE92" s="124"/>
      <c r="AF92" s="124"/>
      <c r="AG92" s="124"/>
      <c r="AH92" s="124"/>
      <c r="AI92" s="124"/>
      <c r="AJ92" s="124"/>
      <c r="AK92" s="124"/>
    </row>
    <row r="93" spans="1:42" ht="15.75" customHeight="1">
      <c r="A93" s="2">
        <v>20399877</v>
      </c>
      <c r="B93" s="11" t="s">
        <v>2920</v>
      </c>
      <c r="C93" s="2" t="s">
        <v>484</v>
      </c>
      <c r="D93" s="2" t="s">
        <v>2921</v>
      </c>
      <c r="E93" s="2" t="s">
        <v>2922</v>
      </c>
      <c r="F93" s="2">
        <v>2010</v>
      </c>
      <c r="G93" s="2" t="s">
        <v>580</v>
      </c>
      <c r="H93" s="3" t="s">
        <v>53</v>
      </c>
      <c r="I93" s="2"/>
      <c r="J93" s="16"/>
      <c r="K93" s="2"/>
      <c r="L93" s="2"/>
      <c r="M93" s="2"/>
      <c r="N93" s="2"/>
      <c r="O93" s="2"/>
      <c r="Q93" s="2"/>
      <c r="AA93" s="124"/>
      <c r="AB93" s="124"/>
      <c r="AC93" s="124"/>
      <c r="AD93" s="124"/>
      <c r="AE93" s="124"/>
      <c r="AF93" s="124"/>
      <c r="AG93" s="124"/>
      <c r="AH93" s="124"/>
      <c r="AI93" s="124"/>
      <c r="AJ93" s="124"/>
      <c r="AK93" s="124"/>
    </row>
    <row r="94" spans="1:42" ht="15.75" customHeight="1">
      <c r="A94" s="2">
        <v>29679773</v>
      </c>
      <c r="B94" s="11" t="s">
        <v>2923</v>
      </c>
      <c r="C94" s="2" t="s">
        <v>478</v>
      </c>
      <c r="D94" s="2" t="s">
        <v>2924</v>
      </c>
      <c r="E94" s="2" t="s">
        <v>2925</v>
      </c>
      <c r="F94" s="2">
        <v>2018</v>
      </c>
      <c r="G94" s="2" t="s">
        <v>580</v>
      </c>
      <c r="H94" s="3" t="s">
        <v>53</v>
      </c>
      <c r="I94" s="2"/>
      <c r="J94" s="16"/>
      <c r="K94" s="2"/>
      <c r="L94" s="2"/>
      <c r="M94" s="2"/>
      <c r="N94" s="2"/>
      <c r="O94" s="2"/>
      <c r="Q94" s="2"/>
      <c r="AA94" s="124"/>
      <c r="AB94" s="124"/>
      <c r="AC94" s="124"/>
      <c r="AD94" s="124"/>
      <c r="AE94" s="124"/>
      <c r="AF94" s="124"/>
      <c r="AG94" s="124"/>
      <c r="AH94" s="124"/>
      <c r="AI94" s="124"/>
      <c r="AJ94" s="124"/>
      <c r="AK94" s="124"/>
    </row>
    <row r="95" spans="1:42" ht="15.75" customHeight="1">
      <c r="A95" s="2">
        <v>7844362</v>
      </c>
      <c r="B95" s="11" t="s">
        <v>2926</v>
      </c>
      <c r="C95" s="2" t="s">
        <v>251</v>
      </c>
      <c r="D95" s="2" t="s">
        <v>2927</v>
      </c>
      <c r="E95" s="2" t="s">
        <v>2928</v>
      </c>
      <c r="F95" s="2">
        <v>1995</v>
      </c>
      <c r="G95" s="2" t="s">
        <v>580</v>
      </c>
      <c r="H95" s="3" t="s">
        <v>2657</v>
      </c>
      <c r="I95" s="2"/>
      <c r="J95" s="16"/>
      <c r="K95" s="2"/>
      <c r="L95" s="2"/>
      <c r="M95" s="2"/>
      <c r="N95" s="2"/>
      <c r="O95" s="2"/>
      <c r="Q95" s="2"/>
      <c r="AA95" s="124"/>
      <c r="AB95" s="124"/>
      <c r="AC95" s="124"/>
      <c r="AD95" s="124"/>
      <c r="AE95" s="124"/>
      <c r="AF95" s="124"/>
      <c r="AG95" s="124"/>
      <c r="AH95" s="124"/>
      <c r="AI95" s="124"/>
      <c r="AJ95" s="124"/>
      <c r="AK95" s="124"/>
    </row>
    <row r="96" spans="1:42" ht="15.75" customHeight="1">
      <c r="A96" s="2">
        <v>17620548</v>
      </c>
      <c r="B96" s="11" t="s">
        <v>2929</v>
      </c>
      <c r="C96" s="2" t="s">
        <v>440</v>
      </c>
      <c r="D96" s="2" t="s">
        <v>2930</v>
      </c>
      <c r="E96" s="2" t="s">
        <v>2931</v>
      </c>
      <c r="F96" s="2">
        <v>2007</v>
      </c>
      <c r="G96" s="2" t="s">
        <v>580</v>
      </c>
      <c r="H96" s="3" t="s">
        <v>2663</v>
      </c>
      <c r="I96" s="2"/>
      <c r="J96" s="16"/>
      <c r="K96" s="2"/>
      <c r="L96" s="2"/>
      <c r="M96" s="2"/>
      <c r="N96" s="2"/>
      <c r="O96" s="2"/>
      <c r="Q96" s="2"/>
      <c r="AA96" s="124"/>
      <c r="AB96" s="124"/>
      <c r="AC96" s="124"/>
      <c r="AD96" s="124"/>
      <c r="AE96" s="124"/>
      <c r="AF96" s="124"/>
      <c r="AG96" s="124"/>
      <c r="AH96" s="124"/>
      <c r="AI96" s="124"/>
      <c r="AJ96" s="124"/>
      <c r="AK96" s="124"/>
    </row>
    <row r="97" spans="1:37" ht="15.75" customHeight="1">
      <c r="A97" s="2">
        <v>25918347</v>
      </c>
      <c r="B97" s="11" t="s">
        <v>2932</v>
      </c>
      <c r="C97" s="2" t="s">
        <v>470</v>
      </c>
      <c r="D97" s="2" t="s">
        <v>2933</v>
      </c>
      <c r="E97" s="2" t="s">
        <v>2934</v>
      </c>
      <c r="F97" s="2">
        <v>2015</v>
      </c>
      <c r="G97" s="2" t="s">
        <v>580</v>
      </c>
      <c r="H97" s="3" t="s">
        <v>53</v>
      </c>
      <c r="I97" s="2"/>
      <c r="J97" s="16"/>
      <c r="K97" s="2"/>
      <c r="L97" s="2"/>
      <c r="M97" s="2"/>
      <c r="N97" s="2"/>
      <c r="O97" s="2"/>
      <c r="Q97" s="2"/>
      <c r="AA97" s="124"/>
      <c r="AB97" s="124"/>
      <c r="AC97" s="124"/>
      <c r="AD97" s="124"/>
      <c r="AE97" s="124"/>
      <c r="AF97" s="124"/>
      <c r="AG97" s="124"/>
      <c r="AH97" s="124"/>
      <c r="AI97" s="124"/>
      <c r="AJ97" s="124"/>
      <c r="AK97" s="124"/>
    </row>
    <row r="98" spans="1:37" ht="15.75" customHeight="1">
      <c r="A98" s="2">
        <v>26137657</v>
      </c>
      <c r="B98" s="11" t="s">
        <v>2935</v>
      </c>
      <c r="C98" s="2" t="s">
        <v>350</v>
      </c>
      <c r="D98" s="2" t="s">
        <v>2936</v>
      </c>
      <c r="E98" s="2" t="s">
        <v>2937</v>
      </c>
      <c r="F98" s="2">
        <v>2015</v>
      </c>
      <c r="G98" s="2" t="s">
        <v>580</v>
      </c>
      <c r="H98" s="3" t="s">
        <v>53</v>
      </c>
      <c r="I98" s="2"/>
      <c r="J98" s="16"/>
      <c r="K98" s="2"/>
      <c r="L98" s="2"/>
      <c r="M98" s="2"/>
      <c r="N98" s="2"/>
      <c r="O98" s="2"/>
      <c r="Q98" s="2"/>
      <c r="AA98" s="124"/>
      <c r="AB98" s="124"/>
      <c r="AC98" s="124"/>
      <c r="AD98" s="124"/>
      <c r="AE98" s="124"/>
      <c r="AF98" s="124"/>
      <c r="AG98" s="124"/>
      <c r="AH98" s="124"/>
      <c r="AI98" s="124"/>
      <c r="AJ98" s="124"/>
      <c r="AK98" s="124"/>
    </row>
    <row r="99" spans="1:37" ht="15.75" customHeight="1">
      <c r="A99" s="2">
        <v>30773083</v>
      </c>
      <c r="B99" s="11" t="s">
        <v>2938</v>
      </c>
      <c r="C99" s="2" t="s">
        <v>67</v>
      </c>
      <c r="D99" s="2" t="s">
        <v>2939</v>
      </c>
      <c r="E99" s="2" t="s">
        <v>2940</v>
      </c>
      <c r="F99" s="2">
        <v>2019</v>
      </c>
      <c r="G99" s="2" t="s">
        <v>580</v>
      </c>
      <c r="H99" s="3" t="s">
        <v>53</v>
      </c>
      <c r="I99" s="2"/>
      <c r="J99" s="16"/>
      <c r="K99" s="2"/>
      <c r="L99" s="2"/>
      <c r="M99" s="2"/>
      <c r="N99" s="2"/>
      <c r="O99" s="2"/>
      <c r="Q99" s="2"/>
      <c r="AA99" s="124"/>
      <c r="AB99" s="124"/>
      <c r="AC99" s="124"/>
      <c r="AD99" s="124"/>
      <c r="AE99" s="124"/>
      <c r="AF99" s="124"/>
      <c r="AG99" s="124"/>
      <c r="AH99" s="124"/>
      <c r="AI99" s="124"/>
      <c r="AJ99" s="124"/>
      <c r="AK99" s="124"/>
    </row>
    <row r="100" spans="1:37" ht="15.75" customHeight="1">
      <c r="A100" s="2">
        <v>31754252</v>
      </c>
      <c r="B100" s="11" t="s">
        <v>2941</v>
      </c>
      <c r="C100" s="2" t="s">
        <v>332</v>
      </c>
      <c r="D100" s="2" t="s">
        <v>2942</v>
      </c>
      <c r="E100" s="2" t="s">
        <v>2943</v>
      </c>
      <c r="F100" s="2">
        <v>2020</v>
      </c>
      <c r="G100" s="2" t="s">
        <v>580</v>
      </c>
      <c r="H100" s="3" t="s">
        <v>53</v>
      </c>
      <c r="I100" s="2"/>
      <c r="J100" s="16"/>
      <c r="K100" s="2"/>
      <c r="L100" s="2"/>
      <c r="M100" s="2"/>
      <c r="N100" s="2"/>
      <c r="O100" s="2"/>
      <c r="Q100" s="2"/>
      <c r="U100" s="87"/>
      <c r="V100" s="16"/>
      <c r="W100" s="16"/>
      <c r="AA100" s="124"/>
      <c r="AB100" s="124"/>
      <c r="AC100" s="124"/>
      <c r="AD100" s="124"/>
      <c r="AE100" s="124"/>
      <c r="AF100" s="124"/>
      <c r="AG100" s="124"/>
      <c r="AH100" s="124"/>
      <c r="AI100" s="124"/>
      <c r="AJ100" s="124"/>
      <c r="AK100" s="124"/>
    </row>
    <row r="101" spans="1:37" ht="15.75" customHeight="1">
      <c r="A101" s="2">
        <v>10910264</v>
      </c>
      <c r="B101" s="11" t="s">
        <v>2944</v>
      </c>
      <c r="C101" s="2" t="s">
        <v>280</v>
      </c>
      <c r="D101" s="2" t="s">
        <v>2945</v>
      </c>
      <c r="E101" s="2" t="s">
        <v>2946</v>
      </c>
      <c r="F101" s="2">
        <v>2000</v>
      </c>
      <c r="G101" s="2" t="s">
        <v>580</v>
      </c>
      <c r="H101" s="3" t="s">
        <v>38</v>
      </c>
      <c r="I101" s="2"/>
      <c r="J101" s="16"/>
      <c r="K101" s="2"/>
      <c r="L101" s="2"/>
      <c r="M101" s="2"/>
      <c r="N101" s="2"/>
      <c r="O101" s="2"/>
      <c r="Q101" s="2"/>
      <c r="U101" s="88"/>
      <c r="V101" s="2"/>
      <c r="W101" s="2"/>
      <c r="AA101" s="124"/>
      <c r="AB101" s="124"/>
      <c r="AC101" s="124"/>
      <c r="AD101" s="124"/>
      <c r="AE101" s="124"/>
      <c r="AF101" s="124"/>
      <c r="AG101" s="124"/>
      <c r="AH101" s="124"/>
      <c r="AI101" s="124"/>
      <c r="AJ101" s="124"/>
      <c r="AK101" s="124"/>
    </row>
    <row r="102" spans="1:37" ht="15.75" customHeight="1">
      <c r="A102" s="2">
        <v>30031939</v>
      </c>
      <c r="B102" s="11" t="s">
        <v>2947</v>
      </c>
      <c r="C102" s="2" t="s">
        <v>173</v>
      </c>
      <c r="D102" s="2" t="s">
        <v>2948</v>
      </c>
      <c r="E102" s="2" t="s">
        <v>2949</v>
      </c>
      <c r="F102" s="2">
        <v>2018</v>
      </c>
      <c r="G102" s="2" t="s">
        <v>580</v>
      </c>
      <c r="H102" s="3" t="s">
        <v>53</v>
      </c>
      <c r="I102" s="2"/>
      <c r="J102" s="16"/>
      <c r="K102" s="2"/>
      <c r="L102" s="2"/>
      <c r="M102" s="2"/>
      <c r="N102" s="2"/>
      <c r="O102" s="2"/>
      <c r="Q102" s="2"/>
      <c r="U102" s="88"/>
      <c r="V102" s="6"/>
      <c r="W102" s="6"/>
      <c r="X102" s="6"/>
      <c r="Y102" s="124"/>
      <c r="Z102" s="124"/>
    </row>
    <row r="103" spans="1:37" ht="15.75" customHeight="1">
      <c r="A103" s="2">
        <v>1325026</v>
      </c>
      <c r="B103" s="11" t="s">
        <v>2950</v>
      </c>
      <c r="C103" s="2" t="s">
        <v>278</v>
      </c>
      <c r="D103" s="2" t="s">
        <v>2951</v>
      </c>
      <c r="E103" s="2" t="s">
        <v>2952</v>
      </c>
      <c r="F103" s="2">
        <v>1992</v>
      </c>
      <c r="G103" s="2" t="s">
        <v>580</v>
      </c>
      <c r="H103" s="3" t="s">
        <v>53</v>
      </c>
      <c r="I103" s="2"/>
      <c r="J103" s="16"/>
      <c r="K103" s="2"/>
      <c r="L103" s="2"/>
      <c r="M103" s="2"/>
      <c r="N103" s="2"/>
      <c r="O103" s="2"/>
      <c r="Q103" s="2"/>
      <c r="U103" s="88"/>
      <c r="V103" s="6"/>
      <c r="W103" s="6"/>
      <c r="X103" s="6"/>
      <c r="Y103" s="124"/>
      <c r="Z103" s="124"/>
    </row>
    <row r="104" spans="1:37" ht="15.75" customHeight="1">
      <c r="A104" s="2">
        <v>16289345</v>
      </c>
      <c r="B104" s="11" t="s">
        <v>2953</v>
      </c>
      <c r="C104" s="2" t="s">
        <v>362</v>
      </c>
      <c r="D104" s="2" t="s">
        <v>2954</v>
      </c>
      <c r="E104" s="2" t="s">
        <v>2955</v>
      </c>
      <c r="F104" s="2">
        <v>2006</v>
      </c>
      <c r="G104" s="2" t="s">
        <v>580</v>
      </c>
      <c r="H104" s="3" t="s">
        <v>53</v>
      </c>
      <c r="I104" s="2"/>
      <c r="J104" s="16"/>
      <c r="K104" s="2"/>
      <c r="L104" s="2"/>
      <c r="M104" s="2"/>
      <c r="N104" s="2"/>
      <c r="O104" s="2"/>
      <c r="Q104" s="2"/>
      <c r="U104" s="88"/>
      <c r="V104" s="6"/>
      <c r="W104" s="6"/>
      <c r="X104" s="6"/>
      <c r="Y104" s="124"/>
      <c r="Z104" s="124"/>
    </row>
    <row r="105" spans="1:37" ht="15.75" customHeight="1">
      <c r="A105" s="2">
        <v>30014227</v>
      </c>
      <c r="B105" s="11" t="s">
        <v>2956</v>
      </c>
      <c r="C105" s="2" t="s">
        <v>404</v>
      </c>
      <c r="D105" s="2" t="s">
        <v>2957</v>
      </c>
      <c r="E105" s="2" t="s">
        <v>2958</v>
      </c>
      <c r="F105" s="2">
        <v>2018</v>
      </c>
      <c r="G105" s="2" t="s">
        <v>580</v>
      </c>
      <c r="H105" s="3" t="s">
        <v>53</v>
      </c>
      <c r="I105" s="2"/>
      <c r="J105" s="16"/>
      <c r="K105" s="2"/>
      <c r="L105" s="2"/>
      <c r="M105" s="2"/>
      <c r="N105" s="2"/>
      <c r="O105" s="2"/>
      <c r="Q105" s="2"/>
      <c r="U105" s="88"/>
      <c r="V105" s="6"/>
      <c r="W105" s="6"/>
      <c r="X105" s="6"/>
      <c r="Y105" s="124"/>
      <c r="Z105" s="124"/>
    </row>
    <row r="106" spans="1:37" ht="15.75" customHeight="1">
      <c r="A106" s="2">
        <v>31520510</v>
      </c>
      <c r="B106" s="11" t="s">
        <v>2959</v>
      </c>
      <c r="C106" s="2" t="s">
        <v>276</v>
      </c>
      <c r="D106" s="2" t="s">
        <v>2960</v>
      </c>
      <c r="E106" s="2" t="s">
        <v>2958</v>
      </c>
      <c r="F106" s="2">
        <v>2019</v>
      </c>
      <c r="G106" s="2" t="s">
        <v>580</v>
      </c>
      <c r="H106" s="3" t="s">
        <v>111</v>
      </c>
      <c r="I106" s="2"/>
      <c r="J106" s="16"/>
      <c r="K106" s="2"/>
      <c r="L106" s="2"/>
      <c r="M106" s="2"/>
      <c r="N106" s="2"/>
      <c r="O106" s="2"/>
      <c r="Q106" s="2"/>
      <c r="V106" s="6"/>
      <c r="W106" s="6"/>
      <c r="X106" s="6"/>
      <c r="Y106" s="124"/>
      <c r="Z106" s="124"/>
    </row>
    <row r="107" spans="1:37" ht="15.75" customHeight="1">
      <c r="A107" s="2">
        <v>12665843</v>
      </c>
      <c r="B107" s="11" t="s">
        <v>2961</v>
      </c>
      <c r="C107" s="2" t="s">
        <v>418</v>
      </c>
      <c r="D107" s="2" t="s">
        <v>2962</v>
      </c>
      <c r="E107" s="2" t="s">
        <v>2825</v>
      </c>
      <c r="F107" s="2">
        <v>2003</v>
      </c>
      <c r="G107" s="2" t="s">
        <v>580</v>
      </c>
      <c r="H107" s="3" t="s">
        <v>53</v>
      </c>
      <c r="I107" s="2"/>
      <c r="J107" s="16"/>
      <c r="K107" s="2"/>
      <c r="L107" s="2"/>
      <c r="M107" s="2"/>
      <c r="N107" s="2"/>
      <c r="O107" s="2"/>
      <c r="Q107" s="2"/>
      <c r="U107" s="88"/>
      <c r="V107" s="6"/>
      <c r="W107" s="6"/>
      <c r="X107" s="6"/>
      <c r="Y107" s="124"/>
      <c r="Z107" s="124"/>
    </row>
    <row r="108" spans="1:37" ht="15.75" customHeight="1">
      <c r="A108" s="2">
        <v>10918408</v>
      </c>
      <c r="B108" s="11" t="s">
        <v>2963</v>
      </c>
      <c r="C108" s="2" t="s">
        <v>344</v>
      </c>
      <c r="D108" s="2" t="s">
        <v>2964</v>
      </c>
      <c r="E108" s="2" t="s">
        <v>2965</v>
      </c>
      <c r="F108" s="2">
        <v>2000</v>
      </c>
      <c r="G108" s="2" t="s">
        <v>580</v>
      </c>
      <c r="H108" s="3" t="s">
        <v>53</v>
      </c>
      <c r="I108" s="2"/>
      <c r="J108" s="16"/>
      <c r="K108" s="2"/>
      <c r="L108" s="2"/>
      <c r="M108" s="2"/>
      <c r="N108" s="2"/>
      <c r="O108" s="2"/>
      <c r="Q108" s="2"/>
      <c r="V108" s="6"/>
      <c r="W108" s="6"/>
      <c r="X108" s="6"/>
      <c r="Y108" s="124"/>
      <c r="Z108" s="124"/>
    </row>
    <row r="109" spans="1:37" ht="15.75" customHeight="1">
      <c r="A109" s="2">
        <v>30875143</v>
      </c>
      <c r="B109" s="11" t="s">
        <v>2966</v>
      </c>
      <c r="C109" s="2" t="s">
        <v>374</v>
      </c>
      <c r="D109" s="2" t="s">
        <v>2967</v>
      </c>
      <c r="E109" s="2" t="s">
        <v>2968</v>
      </c>
      <c r="F109" s="2">
        <v>2019</v>
      </c>
      <c r="G109" s="2" t="s">
        <v>580</v>
      </c>
      <c r="H109" s="3" t="s">
        <v>53</v>
      </c>
      <c r="I109" s="2"/>
      <c r="J109" s="16"/>
      <c r="K109" s="2"/>
      <c r="L109" s="2"/>
      <c r="M109" s="2"/>
      <c r="N109" s="2"/>
      <c r="O109" s="2"/>
      <c r="Q109" s="2"/>
      <c r="V109" s="6"/>
      <c r="W109" s="6"/>
      <c r="X109" s="6"/>
      <c r="Y109" s="124"/>
      <c r="Z109" s="124"/>
    </row>
    <row r="110" spans="1:37" ht="15.75" customHeight="1">
      <c r="A110" s="2">
        <v>31704470</v>
      </c>
      <c r="B110" s="11" t="s">
        <v>2969</v>
      </c>
      <c r="C110" s="2" t="s">
        <v>524</v>
      </c>
      <c r="D110" s="2" t="s">
        <v>2970</v>
      </c>
      <c r="E110" s="2" t="s">
        <v>2971</v>
      </c>
      <c r="F110" s="2">
        <v>2020</v>
      </c>
      <c r="G110" s="2" t="s">
        <v>580</v>
      </c>
      <c r="H110" s="3" t="s">
        <v>53</v>
      </c>
      <c r="I110" s="2"/>
      <c r="J110" s="16"/>
      <c r="K110" s="2"/>
      <c r="L110" s="2"/>
      <c r="M110" s="2"/>
      <c r="N110" s="2"/>
      <c r="O110" s="2"/>
      <c r="Q110" s="2"/>
      <c r="V110" s="6"/>
      <c r="W110" s="6"/>
      <c r="X110" s="6"/>
      <c r="Y110" s="124"/>
      <c r="Z110" s="124"/>
    </row>
    <row r="111" spans="1:37" ht="15.75" customHeight="1">
      <c r="A111" s="2">
        <v>11979309</v>
      </c>
      <c r="B111" s="11" t="s">
        <v>2972</v>
      </c>
      <c r="C111" s="2" t="s">
        <v>189</v>
      </c>
      <c r="D111" s="2" t="s">
        <v>2973</v>
      </c>
      <c r="E111" s="2" t="s">
        <v>2974</v>
      </c>
      <c r="F111" s="2">
        <v>2002</v>
      </c>
      <c r="G111" s="2" t="s">
        <v>580</v>
      </c>
      <c r="H111" s="3" t="s">
        <v>53</v>
      </c>
      <c r="I111" s="2"/>
      <c r="J111" s="16"/>
      <c r="K111" s="2"/>
      <c r="L111" s="2"/>
      <c r="M111" s="2"/>
      <c r="N111" s="2"/>
      <c r="O111" s="2"/>
      <c r="Q111" s="2"/>
      <c r="V111" s="6"/>
      <c r="W111" s="6"/>
      <c r="X111" s="6"/>
      <c r="Y111" s="124"/>
      <c r="Z111" s="124"/>
    </row>
    <row r="112" spans="1:37" ht="15.75" customHeight="1">
      <c r="A112" s="2">
        <v>16247430</v>
      </c>
      <c r="B112" s="11" t="s">
        <v>2975</v>
      </c>
      <c r="C112" s="2" t="s">
        <v>261</v>
      </c>
      <c r="D112" s="2" t="s">
        <v>2976</v>
      </c>
      <c r="E112" s="2" t="s">
        <v>2977</v>
      </c>
      <c r="F112" s="2">
        <v>2005</v>
      </c>
      <c r="G112" s="2" t="s">
        <v>580</v>
      </c>
      <c r="H112" s="3" t="s">
        <v>29</v>
      </c>
      <c r="I112" s="2"/>
      <c r="J112" s="16"/>
      <c r="K112" s="2"/>
      <c r="L112" s="2"/>
      <c r="M112" s="2"/>
      <c r="N112" s="2"/>
      <c r="O112" s="2"/>
      <c r="Q112" s="2"/>
      <c r="V112" s="6"/>
      <c r="W112" s="6"/>
      <c r="X112" s="6"/>
      <c r="Y112" s="124"/>
      <c r="Z112" s="124"/>
    </row>
    <row r="113" spans="1:26" ht="15.75" customHeight="1">
      <c r="A113" s="2">
        <v>29022282</v>
      </c>
      <c r="B113" s="11" t="s">
        <v>2978</v>
      </c>
      <c r="C113" s="2" t="s">
        <v>406</v>
      </c>
      <c r="D113" s="2" t="s">
        <v>2979</v>
      </c>
      <c r="E113" s="2" t="s">
        <v>2980</v>
      </c>
      <c r="F113" s="2">
        <v>2018</v>
      </c>
      <c r="G113" s="2" t="s">
        <v>580</v>
      </c>
      <c r="H113" s="3" t="s">
        <v>2674</v>
      </c>
      <c r="I113" s="2"/>
      <c r="J113" s="16"/>
      <c r="K113" s="2"/>
      <c r="L113" s="2"/>
      <c r="M113" s="2"/>
      <c r="N113" s="2"/>
      <c r="O113" s="2"/>
      <c r="Q113" s="2"/>
      <c r="V113" s="6"/>
      <c r="W113" s="6"/>
      <c r="X113" s="6"/>
      <c r="Y113" s="124"/>
      <c r="Z113" s="124"/>
    </row>
    <row r="114" spans="1:26" ht="15.75" customHeight="1">
      <c r="A114" s="2">
        <v>26329541</v>
      </c>
      <c r="B114" s="11" t="s">
        <v>2981</v>
      </c>
      <c r="C114" s="2" t="s">
        <v>340</v>
      </c>
      <c r="D114" s="2" t="s">
        <v>2982</v>
      </c>
      <c r="E114" s="2" t="s">
        <v>2983</v>
      </c>
      <c r="F114" s="2">
        <v>2015</v>
      </c>
      <c r="G114" s="2" t="s">
        <v>580</v>
      </c>
      <c r="H114" s="3" t="s">
        <v>53</v>
      </c>
      <c r="I114" s="2"/>
      <c r="J114" s="16"/>
      <c r="K114" s="2"/>
      <c r="L114" s="2"/>
      <c r="M114" s="2"/>
      <c r="N114" s="2"/>
      <c r="O114" s="2"/>
      <c r="Q114" s="2"/>
      <c r="V114" s="6"/>
      <c r="W114" s="6"/>
      <c r="X114" s="6"/>
      <c r="Y114" s="124"/>
      <c r="Z114" s="124"/>
    </row>
    <row r="115" spans="1:26" ht="15.75" customHeight="1">
      <c r="A115" s="2">
        <v>15327521</v>
      </c>
      <c r="B115" s="11" t="s">
        <v>2984</v>
      </c>
      <c r="C115" s="2" t="s">
        <v>245</v>
      </c>
      <c r="D115" s="2" t="s">
        <v>2985</v>
      </c>
      <c r="E115" s="2" t="s">
        <v>2986</v>
      </c>
      <c r="F115" s="2">
        <v>2004</v>
      </c>
      <c r="G115" s="2" t="s">
        <v>580</v>
      </c>
      <c r="H115" s="3" t="s">
        <v>53</v>
      </c>
      <c r="I115" s="2"/>
      <c r="J115" s="16"/>
      <c r="K115" s="2"/>
      <c r="L115" s="2"/>
      <c r="M115" s="2"/>
      <c r="N115" s="2"/>
      <c r="O115" s="2"/>
      <c r="Q115" s="2"/>
      <c r="V115" s="6"/>
      <c r="W115" s="6"/>
      <c r="X115" s="6"/>
      <c r="Y115" s="124"/>
      <c r="Z115" s="124"/>
    </row>
    <row r="116" spans="1:26" ht="15.75" customHeight="1">
      <c r="A116" s="2">
        <v>29787887</v>
      </c>
      <c r="B116" s="11" t="s">
        <v>2987</v>
      </c>
      <c r="C116" s="2" t="s">
        <v>542</v>
      </c>
      <c r="D116" s="2" t="s">
        <v>2988</v>
      </c>
      <c r="E116" s="2" t="s">
        <v>2989</v>
      </c>
      <c r="F116" s="2">
        <v>2019</v>
      </c>
      <c r="G116" s="2" t="s">
        <v>580</v>
      </c>
      <c r="H116" s="3" t="s">
        <v>53</v>
      </c>
      <c r="I116" s="2"/>
      <c r="J116" s="16"/>
      <c r="K116" s="2"/>
      <c r="L116" s="2"/>
      <c r="M116" s="2"/>
      <c r="N116" s="2"/>
      <c r="O116" s="2"/>
      <c r="Q116" s="2"/>
      <c r="V116" s="6"/>
      <c r="W116" s="6"/>
      <c r="X116" s="6"/>
      <c r="Y116" s="124"/>
      <c r="Z116" s="124"/>
    </row>
    <row r="117" spans="1:26" ht="15.75" customHeight="1">
      <c r="A117" s="2">
        <v>17401392</v>
      </c>
      <c r="B117" s="11" t="s">
        <v>2990</v>
      </c>
      <c r="C117" s="2" t="s">
        <v>424</v>
      </c>
      <c r="D117" s="2" t="s">
        <v>2991</v>
      </c>
      <c r="E117" s="2" t="s">
        <v>2992</v>
      </c>
      <c r="F117" s="2">
        <v>2007</v>
      </c>
      <c r="G117" s="2" t="s">
        <v>580</v>
      </c>
      <c r="H117" s="3" t="s">
        <v>53</v>
      </c>
      <c r="I117" s="2"/>
      <c r="J117" s="16"/>
      <c r="K117" s="2"/>
      <c r="L117" s="2"/>
      <c r="M117" s="2"/>
      <c r="N117" s="2"/>
      <c r="O117" s="2"/>
      <c r="Q117" s="2"/>
      <c r="V117" s="6"/>
      <c r="W117" s="6"/>
      <c r="X117" s="6"/>
      <c r="Y117" s="124"/>
      <c r="Z117" s="124"/>
    </row>
    <row r="118" spans="1:26" ht="15.75" customHeight="1">
      <c r="A118" s="2">
        <v>17376882</v>
      </c>
      <c r="B118" s="11" t="s">
        <v>2993</v>
      </c>
      <c r="C118" s="2" t="s">
        <v>233</v>
      </c>
      <c r="D118" s="2" t="s">
        <v>2994</v>
      </c>
      <c r="E118" s="2" t="s">
        <v>2995</v>
      </c>
      <c r="F118" s="2">
        <v>2007</v>
      </c>
      <c r="G118" s="2" t="s">
        <v>580</v>
      </c>
      <c r="H118" s="3" t="s">
        <v>53</v>
      </c>
      <c r="I118" s="2"/>
      <c r="J118" s="16"/>
      <c r="K118" s="2"/>
      <c r="L118" s="2"/>
      <c r="M118" s="2"/>
      <c r="N118" s="2"/>
      <c r="O118" s="2"/>
      <c r="Q118" s="2"/>
    </row>
    <row r="119" spans="1:26" ht="15.75" customHeight="1">
      <c r="A119" s="2">
        <v>8896431</v>
      </c>
      <c r="B119" s="11" t="s">
        <v>2996</v>
      </c>
      <c r="C119" s="2" t="s">
        <v>490</v>
      </c>
      <c r="D119" s="2" t="s">
        <v>2997</v>
      </c>
      <c r="E119" s="2" t="s">
        <v>2998</v>
      </c>
      <c r="F119" s="2">
        <v>1996</v>
      </c>
      <c r="G119" s="2" t="s">
        <v>580</v>
      </c>
      <c r="H119" s="3" t="s">
        <v>53</v>
      </c>
      <c r="I119" s="2"/>
      <c r="J119" s="16"/>
      <c r="K119" s="2"/>
      <c r="L119" s="2"/>
      <c r="M119" s="2"/>
      <c r="N119" s="2"/>
      <c r="O119" s="2"/>
      <c r="Q119" s="2"/>
    </row>
    <row r="120" spans="1:26" ht="15.75" customHeight="1">
      <c r="A120" s="2">
        <v>12379892</v>
      </c>
      <c r="B120" s="11" t="s">
        <v>2999</v>
      </c>
      <c r="C120" s="2" t="s">
        <v>322</v>
      </c>
      <c r="D120" s="2" t="s">
        <v>3000</v>
      </c>
      <c r="E120" s="2" t="s">
        <v>2998</v>
      </c>
      <c r="F120" s="2">
        <v>2002</v>
      </c>
      <c r="G120" s="2" t="s">
        <v>580</v>
      </c>
      <c r="H120" s="3" t="s">
        <v>53</v>
      </c>
      <c r="I120" s="2"/>
      <c r="J120" s="16"/>
      <c r="K120" s="2"/>
      <c r="L120" s="2"/>
      <c r="M120" s="2"/>
      <c r="N120" s="2"/>
      <c r="O120" s="2"/>
      <c r="Q120" s="2"/>
    </row>
    <row r="121" spans="1:26" ht="15.75" customHeight="1">
      <c r="A121" s="2">
        <v>10642809</v>
      </c>
      <c r="B121" s="11" t="s">
        <v>3001</v>
      </c>
      <c r="C121" s="2" t="s">
        <v>426</v>
      </c>
      <c r="D121" s="2" t="s">
        <v>3002</v>
      </c>
      <c r="E121" s="2" t="s">
        <v>2998</v>
      </c>
      <c r="F121" s="2">
        <v>1999</v>
      </c>
      <c r="G121" s="2" t="s">
        <v>580</v>
      </c>
      <c r="H121" s="3" t="s">
        <v>53</v>
      </c>
      <c r="I121" s="2"/>
      <c r="J121" s="16"/>
      <c r="K121" s="2"/>
      <c r="L121" s="2"/>
      <c r="M121" s="2"/>
      <c r="N121" s="2"/>
      <c r="O121" s="2"/>
      <c r="Q121" s="2"/>
    </row>
    <row r="122" spans="1:26" ht="15.75" customHeight="1">
      <c r="A122" s="2">
        <v>10194079</v>
      </c>
      <c r="B122" s="11" t="s">
        <v>3003</v>
      </c>
      <c r="C122" s="2" t="s">
        <v>290</v>
      </c>
      <c r="D122" s="2" t="s">
        <v>3004</v>
      </c>
      <c r="E122" s="2" t="s">
        <v>2998</v>
      </c>
      <c r="F122" s="2">
        <v>1999</v>
      </c>
      <c r="G122" s="2" t="s">
        <v>580</v>
      </c>
      <c r="H122" s="3" t="s">
        <v>2680</v>
      </c>
      <c r="I122" s="2"/>
      <c r="J122" s="16"/>
      <c r="K122" s="2"/>
      <c r="L122" s="2"/>
      <c r="M122" s="2"/>
      <c r="N122" s="2"/>
      <c r="O122" s="2"/>
      <c r="Q122" s="2"/>
    </row>
    <row r="123" spans="1:26" ht="15.75" customHeight="1">
      <c r="A123" s="2">
        <v>17050202</v>
      </c>
      <c r="B123" s="11" t="s">
        <v>3005</v>
      </c>
      <c r="C123" s="2" t="s">
        <v>267</v>
      </c>
      <c r="D123" s="2" t="s">
        <v>3006</v>
      </c>
      <c r="E123" s="2" t="s">
        <v>2843</v>
      </c>
      <c r="F123" s="2">
        <v>2006</v>
      </c>
      <c r="G123" s="2" t="s">
        <v>580</v>
      </c>
      <c r="H123" s="3" t="s">
        <v>53</v>
      </c>
      <c r="I123" s="2"/>
      <c r="J123" s="16"/>
      <c r="K123" s="2"/>
      <c r="L123" s="2"/>
      <c r="M123" s="2"/>
      <c r="N123" s="2"/>
      <c r="O123" s="2"/>
      <c r="Q123" s="2"/>
    </row>
    <row r="124" spans="1:26" ht="15.75" customHeight="1">
      <c r="A124" s="2">
        <v>17259874</v>
      </c>
      <c r="B124" s="11" t="s">
        <v>3007</v>
      </c>
      <c r="C124" s="2" t="s">
        <v>472</v>
      </c>
      <c r="D124" s="2" t="s">
        <v>3008</v>
      </c>
      <c r="E124" s="2" t="s">
        <v>3009</v>
      </c>
      <c r="F124" s="2">
        <v>2007</v>
      </c>
      <c r="G124" s="2" t="s">
        <v>580</v>
      </c>
      <c r="H124" s="3" t="s">
        <v>2686</v>
      </c>
      <c r="I124" s="2"/>
      <c r="J124" s="16"/>
      <c r="K124" s="2"/>
      <c r="L124" s="2"/>
      <c r="M124" s="2"/>
      <c r="N124" s="2"/>
      <c r="O124" s="2"/>
      <c r="Q124" s="2"/>
    </row>
    <row r="125" spans="1:26" ht="15.75" customHeight="1">
      <c r="A125" s="2">
        <v>30359733</v>
      </c>
      <c r="B125" s="11" t="s">
        <v>3010</v>
      </c>
      <c r="C125" s="2" t="s">
        <v>175</v>
      </c>
      <c r="D125" s="2" t="s">
        <v>3011</v>
      </c>
      <c r="E125" s="2" t="s">
        <v>3012</v>
      </c>
      <c r="F125" s="2">
        <v>2019</v>
      </c>
      <c r="G125" s="2" t="s">
        <v>580</v>
      </c>
      <c r="H125" s="3" t="s">
        <v>53</v>
      </c>
      <c r="I125" s="2"/>
      <c r="J125" s="16"/>
      <c r="K125" s="2"/>
      <c r="L125" s="2"/>
      <c r="M125" s="2"/>
      <c r="N125" s="2"/>
      <c r="O125" s="2"/>
      <c r="Q125" s="2"/>
    </row>
    <row r="126" spans="1:26" ht="15.75" customHeight="1">
      <c r="A126" s="2">
        <v>15625542</v>
      </c>
      <c r="B126" s="11" t="s">
        <v>3013</v>
      </c>
      <c r="C126" s="2" t="s">
        <v>302</v>
      </c>
      <c r="D126" s="2" t="s">
        <v>3014</v>
      </c>
      <c r="E126" s="2" t="s">
        <v>3015</v>
      </c>
      <c r="F126" s="2">
        <v>2005</v>
      </c>
      <c r="G126" s="2" t="s">
        <v>580</v>
      </c>
      <c r="H126" s="3" t="s">
        <v>53</v>
      </c>
      <c r="I126" s="2"/>
      <c r="J126" s="16"/>
      <c r="K126" s="2"/>
      <c r="L126" s="2"/>
      <c r="M126" s="2"/>
      <c r="N126" s="2"/>
      <c r="O126" s="2"/>
      <c r="Q126" s="2"/>
    </row>
    <row r="127" spans="1:26" ht="15.75" customHeight="1">
      <c r="A127" s="2">
        <v>8180402</v>
      </c>
      <c r="B127" s="11" t="s">
        <v>3016</v>
      </c>
      <c r="C127" s="2" t="s">
        <v>171</v>
      </c>
      <c r="D127" s="2" t="s">
        <v>3017</v>
      </c>
      <c r="E127" s="2" t="s">
        <v>3018</v>
      </c>
      <c r="F127" s="2">
        <v>1994</v>
      </c>
      <c r="G127" s="2" t="s">
        <v>580</v>
      </c>
      <c r="H127" s="3" t="s">
        <v>53</v>
      </c>
      <c r="I127" s="2"/>
      <c r="J127" s="16"/>
      <c r="K127" s="2"/>
      <c r="L127" s="2"/>
      <c r="M127" s="2"/>
      <c r="N127" s="2"/>
      <c r="O127" s="2"/>
      <c r="Q127" s="2"/>
    </row>
    <row r="128" spans="1:26" ht="15.75" customHeight="1">
      <c r="A128" s="2">
        <v>27419878</v>
      </c>
      <c r="B128" s="11" t="s">
        <v>3019</v>
      </c>
      <c r="C128" s="2" t="s">
        <v>468</v>
      </c>
      <c r="D128" s="2" t="s">
        <v>3020</v>
      </c>
      <c r="E128" s="2" t="s">
        <v>3021</v>
      </c>
      <c r="F128" s="2">
        <v>2001</v>
      </c>
      <c r="G128" s="2" t="s">
        <v>580</v>
      </c>
      <c r="H128" s="3" t="s">
        <v>2662</v>
      </c>
      <c r="I128" s="2"/>
      <c r="J128" s="16"/>
      <c r="K128" s="2"/>
      <c r="L128" s="2"/>
      <c r="M128" s="2"/>
      <c r="N128" s="2"/>
      <c r="O128" s="2"/>
      <c r="Q128" s="2"/>
    </row>
    <row r="129" spans="1:17" ht="15.75" customHeight="1">
      <c r="A129" s="2">
        <v>24579822</v>
      </c>
      <c r="B129" s="11" t="s">
        <v>3022</v>
      </c>
      <c r="C129" s="2" t="s">
        <v>320</v>
      </c>
      <c r="D129" s="2" t="s">
        <v>3023</v>
      </c>
      <c r="E129" s="2" t="s">
        <v>3024</v>
      </c>
      <c r="F129" s="2">
        <v>2014</v>
      </c>
      <c r="G129" s="2" t="s">
        <v>580</v>
      </c>
      <c r="H129" s="3" t="s">
        <v>53</v>
      </c>
      <c r="I129" s="2"/>
      <c r="J129" s="16"/>
      <c r="K129" s="2"/>
      <c r="L129" s="2"/>
      <c r="M129" s="2"/>
      <c r="N129" s="2"/>
      <c r="O129" s="2"/>
      <c r="Q129" s="2"/>
    </row>
    <row r="130" spans="1:17" ht="15.75" customHeight="1">
      <c r="A130" s="2">
        <v>17222758</v>
      </c>
      <c r="B130" s="11" t="s">
        <v>3025</v>
      </c>
      <c r="C130" s="2" t="s">
        <v>342</v>
      </c>
      <c r="D130" s="2" t="s">
        <v>3026</v>
      </c>
      <c r="E130" s="2" t="s">
        <v>3027</v>
      </c>
      <c r="F130" s="2">
        <v>2007</v>
      </c>
      <c r="G130" s="2" t="s">
        <v>580</v>
      </c>
      <c r="H130" s="3" t="s">
        <v>53</v>
      </c>
      <c r="I130" s="2"/>
      <c r="J130" s="16"/>
      <c r="K130" s="2"/>
      <c r="L130" s="2"/>
      <c r="M130" s="2"/>
      <c r="N130" s="2"/>
      <c r="O130" s="2"/>
      <c r="Q130" s="2"/>
    </row>
    <row r="131" spans="1:17" ht="15.75" customHeight="1">
      <c r="A131" s="2">
        <v>33133590</v>
      </c>
      <c r="B131" s="11" t="s">
        <v>3028</v>
      </c>
      <c r="C131" s="2" t="s">
        <v>540</v>
      </c>
      <c r="D131" s="2" t="s">
        <v>3029</v>
      </c>
      <c r="E131" s="2" t="s">
        <v>3030</v>
      </c>
      <c r="F131" s="2">
        <v>2020</v>
      </c>
      <c r="G131" s="2" t="s">
        <v>580</v>
      </c>
      <c r="H131" s="3" t="s">
        <v>111</v>
      </c>
      <c r="I131" s="2"/>
      <c r="J131" s="16"/>
      <c r="K131" s="2"/>
      <c r="L131" s="2"/>
      <c r="M131" s="2"/>
      <c r="N131" s="2"/>
      <c r="O131" s="2"/>
      <c r="Q131" s="2"/>
    </row>
    <row r="132" spans="1:17" ht="15.75" customHeight="1">
      <c r="A132" s="2">
        <v>11920307</v>
      </c>
      <c r="B132" s="11" t="s">
        <v>3031</v>
      </c>
      <c r="C132" s="2" t="s">
        <v>312</v>
      </c>
      <c r="D132" s="2" t="s">
        <v>3032</v>
      </c>
      <c r="E132" s="2" t="s">
        <v>2854</v>
      </c>
      <c r="F132" s="2">
        <v>2002</v>
      </c>
      <c r="G132" s="2" t="s">
        <v>580</v>
      </c>
      <c r="H132" s="3" t="s">
        <v>53</v>
      </c>
      <c r="I132" s="2"/>
      <c r="J132" s="16"/>
      <c r="K132" s="2"/>
      <c r="L132" s="2"/>
      <c r="M132" s="2"/>
      <c r="N132" s="2"/>
      <c r="O132" s="2"/>
      <c r="Q132" s="2"/>
    </row>
    <row r="133" spans="1:17" ht="15.75" customHeight="1">
      <c r="A133" s="2">
        <v>11498748</v>
      </c>
      <c r="B133" s="11" t="s">
        <v>3033</v>
      </c>
      <c r="C133" s="2" t="s">
        <v>346</v>
      </c>
      <c r="D133" s="2" t="s">
        <v>3034</v>
      </c>
      <c r="E133" s="2" t="s">
        <v>2854</v>
      </c>
      <c r="F133" s="2">
        <v>2001</v>
      </c>
      <c r="G133" s="2" t="s">
        <v>580</v>
      </c>
      <c r="H133" s="3" t="s">
        <v>53</v>
      </c>
      <c r="I133" s="2"/>
      <c r="J133" s="16"/>
      <c r="K133" s="2"/>
      <c r="L133" s="2"/>
      <c r="M133" s="2"/>
      <c r="N133" s="2"/>
      <c r="O133" s="2"/>
      <c r="Q133" s="2"/>
    </row>
    <row r="134" spans="1:17" ht="15.75" customHeight="1">
      <c r="A134" s="2">
        <v>12858204</v>
      </c>
      <c r="B134" s="11" t="s">
        <v>3035</v>
      </c>
      <c r="C134" s="2" t="s">
        <v>486</v>
      </c>
      <c r="D134" s="2" t="s">
        <v>3036</v>
      </c>
      <c r="E134" s="2" t="s">
        <v>3037</v>
      </c>
      <c r="F134" s="2">
        <v>2003</v>
      </c>
      <c r="G134" s="2" t="s">
        <v>580</v>
      </c>
      <c r="H134" s="3" t="s">
        <v>53</v>
      </c>
      <c r="I134" s="2"/>
      <c r="J134" s="16"/>
      <c r="K134" s="2"/>
      <c r="L134" s="2"/>
      <c r="M134" s="2"/>
      <c r="N134" s="2"/>
      <c r="O134" s="2"/>
      <c r="Q134" s="2"/>
    </row>
    <row r="135" spans="1:17" ht="15.75" customHeight="1">
      <c r="A135" s="2">
        <v>30026111</v>
      </c>
      <c r="B135" s="11" t="s">
        <v>3038</v>
      </c>
      <c r="C135" s="2" t="s">
        <v>364</v>
      </c>
      <c r="D135" s="2" t="s">
        <v>3039</v>
      </c>
      <c r="E135" s="2" t="s">
        <v>3040</v>
      </c>
      <c r="F135" s="2">
        <v>2018</v>
      </c>
      <c r="G135" s="2" t="s">
        <v>580</v>
      </c>
      <c r="H135" s="3" t="s">
        <v>111</v>
      </c>
      <c r="I135" s="2"/>
      <c r="J135" s="16"/>
      <c r="K135" s="2"/>
      <c r="L135" s="2"/>
      <c r="M135" s="2"/>
      <c r="N135" s="2"/>
      <c r="O135" s="2"/>
      <c r="Q135" s="2"/>
    </row>
    <row r="136" spans="1:17" ht="15.75" customHeight="1">
      <c r="A136" s="2">
        <v>21804462</v>
      </c>
      <c r="B136" s="11" t="s">
        <v>3041</v>
      </c>
      <c r="C136" s="2" t="s">
        <v>336</v>
      </c>
      <c r="D136" s="2" t="s">
        <v>3042</v>
      </c>
      <c r="E136" s="2" t="s">
        <v>3043</v>
      </c>
      <c r="F136" s="2">
        <v>2011</v>
      </c>
      <c r="G136" s="2" t="s">
        <v>580</v>
      </c>
      <c r="H136" s="3" t="s">
        <v>53</v>
      </c>
      <c r="I136" s="2"/>
      <c r="J136" s="16"/>
      <c r="K136" s="2"/>
      <c r="L136" s="2"/>
      <c r="M136" s="2"/>
      <c r="N136" s="2"/>
      <c r="O136" s="2"/>
      <c r="Q136" s="2"/>
    </row>
    <row r="137" spans="1:17" ht="15.75" customHeight="1">
      <c r="A137" s="2">
        <v>21389320</v>
      </c>
      <c r="B137" s="11" t="s">
        <v>3044</v>
      </c>
      <c r="C137" s="2" t="s">
        <v>304</v>
      </c>
      <c r="D137" s="2" t="s">
        <v>3045</v>
      </c>
      <c r="E137" s="2" t="s">
        <v>2857</v>
      </c>
      <c r="F137" s="2">
        <v>2011</v>
      </c>
      <c r="G137" s="2" t="s">
        <v>580</v>
      </c>
      <c r="H137" s="3" t="s">
        <v>53</v>
      </c>
      <c r="I137" s="2"/>
      <c r="J137" s="16"/>
      <c r="K137" s="2"/>
      <c r="L137" s="2"/>
      <c r="M137" s="2"/>
      <c r="N137" s="2"/>
      <c r="O137" s="2"/>
      <c r="Q137" s="2"/>
    </row>
    <row r="138" spans="1:17" ht="15.75" customHeight="1">
      <c r="A138" s="2">
        <v>11512080</v>
      </c>
      <c r="B138" s="11" t="s">
        <v>3046</v>
      </c>
      <c r="C138" s="2" t="s">
        <v>241</v>
      </c>
      <c r="D138" s="2" t="s">
        <v>3047</v>
      </c>
      <c r="E138" s="2" t="s">
        <v>2857</v>
      </c>
      <c r="F138" s="2">
        <v>2001</v>
      </c>
      <c r="G138" s="2" t="s">
        <v>580</v>
      </c>
      <c r="H138" s="3" t="s">
        <v>53</v>
      </c>
      <c r="I138" s="2"/>
      <c r="J138" s="16"/>
      <c r="K138" s="2"/>
      <c r="L138" s="2"/>
      <c r="M138" s="2"/>
      <c r="N138" s="2"/>
      <c r="O138" s="2"/>
      <c r="Q138" s="2"/>
    </row>
    <row r="139" spans="1:17" ht="15.75" customHeight="1">
      <c r="A139" s="2">
        <v>11774077</v>
      </c>
      <c r="B139" s="11" t="s">
        <v>3048</v>
      </c>
      <c r="C139" s="2" t="s">
        <v>124</v>
      </c>
      <c r="D139" s="2" t="s">
        <v>3049</v>
      </c>
      <c r="E139" s="2" t="s">
        <v>2857</v>
      </c>
      <c r="F139" s="2">
        <v>2002</v>
      </c>
      <c r="G139" s="2" t="s">
        <v>580</v>
      </c>
      <c r="H139" s="3" t="s">
        <v>111</v>
      </c>
      <c r="I139" s="2"/>
      <c r="J139" s="16"/>
      <c r="K139" s="2"/>
      <c r="L139" s="2"/>
      <c r="M139" s="2"/>
      <c r="N139" s="2"/>
      <c r="O139" s="2"/>
      <c r="Q139" s="2"/>
    </row>
    <row r="140" spans="1:17" ht="15.75" customHeight="1">
      <c r="A140" s="2">
        <v>28129450</v>
      </c>
      <c r="B140" s="11" t="s">
        <v>3050</v>
      </c>
      <c r="C140" s="2" t="s">
        <v>564</v>
      </c>
      <c r="D140" s="2" t="s">
        <v>3051</v>
      </c>
      <c r="E140" s="2" t="s">
        <v>3052</v>
      </c>
      <c r="F140" s="2">
        <v>2017</v>
      </c>
      <c r="G140" s="2" t="s">
        <v>580</v>
      </c>
      <c r="H140" s="3" t="s">
        <v>53</v>
      </c>
      <c r="J140" s="16"/>
      <c r="K140" s="2"/>
      <c r="L140" s="2"/>
      <c r="M140" s="2"/>
      <c r="N140" s="2"/>
      <c r="O140" s="2"/>
      <c r="Q140" s="2"/>
    </row>
    <row r="141" spans="1:17" ht="15.75" customHeight="1">
      <c r="A141" s="2">
        <v>30696997</v>
      </c>
      <c r="B141" s="11" t="s">
        <v>3053</v>
      </c>
      <c r="C141" s="2" t="s">
        <v>532</v>
      </c>
      <c r="D141" s="2" t="s">
        <v>3054</v>
      </c>
      <c r="E141" s="2" t="s">
        <v>3055</v>
      </c>
      <c r="F141" s="2">
        <v>2019</v>
      </c>
      <c r="G141" s="2" t="s">
        <v>580</v>
      </c>
      <c r="H141" s="2" t="s">
        <v>2692</v>
      </c>
      <c r="I141" s="2"/>
      <c r="J141" s="16"/>
      <c r="K141" s="2"/>
      <c r="L141" s="2"/>
      <c r="M141" s="2"/>
      <c r="N141" s="2"/>
      <c r="O141" s="2"/>
      <c r="Q141" s="2"/>
    </row>
    <row r="142" spans="1:17" ht="15.75" customHeight="1">
      <c r="A142" s="2">
        <v>15483248</v>
      </c>
      <c r="B142" s="11" t="s">
        <v>3056</v>
      </c>
      <c r="C142" s="2" t="s">
        <v>71</v>
      </c>
      <c r="D142" s="2" t="s">
        <v>3057</v>
      </c>
      <c r="E142" s="2" t="s">
        <v>3058</v>
      </c>
      <c r="F142" s="2">
        <v>2004</v>
      </c>
      <c r="G142" s="2" t="s">
        <v>580</v>
      </c>
      <c r="H142" s="2" t="s">
        <v>2658</v>
      </c>
      <c r="I142" s="2"/>
      <c r="J142" s="16"/>
      <c r="K142" s="2"/>
      <c r="L142" s="2"/>
      <c r="M142" s="2"/>
      <c r="N142" s="2"/>
      <c r="O142" s="2"/>
      <c r="Q142" s="2"/>
    </row>
    <row r="143" spans="1:17" ht="15.75" customHeight="1">
      <c r="A143" s="2">
        <v>8750269</v>
      </c>
      <c r="B143" s="11" t="s">
        <v>3059</v>
      </c>
      <c r="C143" s="2" t="s">
        <v>237</v>
      </c>
      <c r="D143" s="2" t="s">
        <v>3060</v>
      </c>
      <c r="E143" s="2" t="s">
        <v>3061</v>
      </c>
      <c r="F143" s="2">
        <v>1995</v>
      </c>
      <c r="G143" s="2" t="s">
        <v>580</v>
      </c>
      <c r="H143" s="2" t="s">
        <v>2668</v>
      </c>
      <c r="J143" s="16"/>
      <c r="K143" s="2"/>
      <c r="L143" s="2"/>
      <c r="M143" s="2"/>
      <c r="N143" s="2"/>
      <c r="O143" s="2"/>
      <c r="Q143" s="2"/>
    </row>
    <row r="144" spans="1:17" ht="15.75" customHeight="1">
      <c r="A144" s="2">
        <v>9342002</v>
      </c>
      <c r="B144" s="11" t="s">
        <v>3062</v>
      </c>
      <c r="C144" s="2" t="s">
        <v>576</v>
      </c>
      <c r="D144" s="2" t="s">
        <v>3063</v>
      </c>
      <c r="E144" s="2" t="s">
        <v>3064</v>
      </c>
      <c r="F144" s="2">
        <v>1997</v>
      </c>
      <c r="G144" s="2" t="s">
        <v>580</v>
      </c>
      <c r="H144" s="2" t="s">
        <v>2664</v>
      </c>
      <c r="I144" s="2"/>
      <c r="J144" s="16"/>
      <c r="K144" s="2"/>
      <c r="L144" s="2"/>
      <c r="M144" s="2"/>
      <c r="N144" s="2"/>
      <c r="O144" s="2"/>
      <c r="Q144" s="2"/>
    </row>
    <row r="145" spans="1:17" ht="15.75" customHeight="1">
      <c r="A145" s="2">
        <v>16213350</v>
      </c>
      <c r="B145" s="11" t="s">
        <v>3065</v>
      </c>
      <c r="C145" s="2" t="s">
        <v>446</v>
      </c>
      <c r="D145" s="2" t="s">
        <v>3066</v>
      </c>
      <c r="E145" s="2" t="s">
        <v>3067</v>
      </c>
      <c r="F145" s="2">
        <v>2005</v>
      </c>
      <c r="G145" s="2" t="s">
        <v>580</v>
      </c>
      <c r="H145" s="2" t="s">
        <v>2673</v>
      </c>
      <c r="I145" s="2"/>
      <c r="J145" s="16"/>
      <c r="K145" s="2"/>
      <c r="L145" s="2"/>
      <c r="M145" s="2"/>
      <c r="N145" s="2"/>
      <c r="O145" s="2"/>
      <c r="Q145" s="2"/>
    </row>
    <row r="146" spans="1:17" ht="15.75" customHeight="1">
      <c r="A146" s="2">
        <v>23516318</v>
      </c>
      <c r="B146" s="11" t="s">
        <v>3068</v>
      </c>
      <c r="C146" s="2" t="s">
        <v>442</v>
      </c>
      <c r="D146" s="2" t="s">
        <v>3069</v>
      </c>
      <c r="E146" s="2" t="s">
        <v>3070</v>
      </c>
      <c r="F146" s="2">
        <v>2013</v>
      </c>
      <c r="G146" s="2" t="s">
        <v>580</v>
      </c>
      <c r="H146" s="2" t="s">
        <v>2698</v>
      </c>
      <c r="I146" s="2"/>
      <c r="J146" s="16"/>
      <c r="K146" s="2"/>
      <c r="L146" s="2"/>
      <c r="M146" s="2"/>
      <c r="N146" s="2"/>
      <c r="O146" s="2"/>
      <c r="Q146" s="2"/>
    </row>
    <row r="147" spans="1:17" ht="15.75" customHeight="1">
      <c r="A147" s="2">
        <v>12971497</v>
      </c>
      <c r="B147" s="11" t="s">
        <v>3071</v>
      </c>
      <c r="C147" s="2" t="s">
        <v>257</v>
      </c>
      <c r="D147" s="2" t="s">
        <v>3072</v>
      </c>
      <c r="E147" s="2" t="s">
        <v>3073</v>
      </c>
      <c r="F147" s="2">
        <v>2002</v>
      </c>
      <c r="G147" s="2" t="s">
        <v>580</v>
      </c>
      <c r="H147" s="2" t="s">
        <v>2679</v>
      </c>
      <c r="I147" s="2"/>
      <c r="J147" s="16"/>
      <c r="K147" s="2"/>
      <c r="L147" s="2"/>
      <c r="M147" s="2"/>
      <c r="N147" s="2"/>
      <c r="O147" s="2"/>
      <c r="Q147" s="2"/>
    </row>
    <row r="148" spans="1:17" ht="15.75" customHeight="1">
      <c r="A148" s="2">
        <v>15936168</v>
      </c>
      <c r="B148" s="11" t="s">
        <v>3074</v>
      </c>
      <c r="C148" s="2" t="s">
        <v>518</v>
      </c>
      <c r="D148" s="2" t="s">
        <v>3075</v>
      </c>
      <c r="E148" s="2" t="s">
        <v>3076</v>
      </c>
      <c r="F148" s="2">
        <v>2005</v>
      </c>
      <c r="G148" s="2" t="s">
        <v>580</v>
      </c>
      <c r="H148" s="3" t="s">
        <v>2685</v>
      </c>
      <c r="I148" s="2"/>
      <c r="J148" s="16"/>
      <c r="K148" s="2"/>
      <c r="L148" s="2"/>
      <c r="M148" s="2"/>
      <c r="N148" s="2"/>
      <c r="O148" s="2"/>
      <c r="Q148" s="2"/>
    </row>
    <row r="149" spans="1:17" ht="15.75" customHeight="1">
      <c r="A149" s="2">
        <v>21331905</v>
      </c>
      <c r="B149" s="11" t="s">
        <v>3077</v>
      </c>
      <c r="C149" s="2" t="s">
        <v>444</v>
      </c>
      <c r="D149" s="2" t="s">
        <v>3078</v>
      </c>
      <c r="E149" s="2" t="s">
        <v>3079</v>
      </c>
      <c r="F149" s="2">
        <v>2000</v>
      </c>
      <c r="G149" s="2" t="s">
        <v>580</v>
      </c>
      <c r="H149" s="2" t="s">
        <v>2691</v>
      </c>
      <c r="I149" s="2"/>
      <c r="J149" s="16"/>
      <c r="K149" s="2"/>
      <c r="L149" s="2"/>
      <c r="M149" s="2"/>
      <c r="N149" s="2"/>
      <c r="O149" s="2"/>
      <c r="Q149" s="2"/>
    </row>
    <row r="150" spans="1:17" ht="15.75" customHeight="1">
      <c r="A150" s="2">
        <v>25982843</v>
      </c>
      <c r="B150" s="11" t="s">
        <v>3080</v>
      </c>
      <c r="C150" s="2" t="s">
        <v>318</v>
      </c>
      <c r="D150" s="2" t="s">
        <v>3081</v>
      </c>
      <c r="E150" s="2" t="s">
        <v>3082</v>
      </c>
      <c r="F150" s="2">
        <v>2015</v>
      </c>
      <c r="G150" s="2" t="s">
        <v>580</v>
      </c>
      <c r="H150" s="3" t="s">
        <v>2697</v>
      </c>
      <c r="I150" s="2"/>
      <c r="J150" s="16"/>
      <c r="K150" s="2"/>
      <c r="L150" s="2"/>
      <c r="M150" s="2"/>
      <c r="N150" s="2"/>
      <c r="O150" s="2"/>
      <c r="Q150" s="2"/>
    </row>
    <row r="151" spans="1:17" ht="15.75" customHeight="1">
      <c r="A151" s="2">
        <v>16183328</v>
      </c>
      <c r="B151" s="11" t="s">
        <v>3083</v>
      </c>
      <c r="C151" s="2" t="s">
        <v>103</v>
      </c>
      <c r="D151" s="2" t="s">
        <v>3084</v>
      </c>
      <c r="E151" s="2" t="s">
        <v>3085</v>
      </c>
      <c r="F151" s="2">
        <v>2006</v>
      </c>
      <c r="G151" s="2" t="s">
        <v>580</v>
      </c>
      <c r="H151" s="2" t="s">
        <v>2704</v>
      </c>
      <c r="I151" s="2"/>
      <c r="J151" s="16"/>
      <c r="K151" s="2"/>
      <c r="L151" s="2"/>
      <c r="M151" s="2"/>
      <c r="N151" s="2"/>
      <c r="O151" s="2"/>
      <c r="Q151" s="2"/>
    </row>
    <row r="152" spans="1:17" ht="15.75" customHeight="1">
      <c r="A152" s="2">
        <v>12552442</v>
      </c>
      <c r="B152" s="11" t="s">
        <v>3086</v>
      </c>
      <c r="C152" s="2" t="s">
        <v>87</v>
      </c>
      <c r="D152" s="2" t="s">
        <v>3087</v>
      </c>
      <c r="E152" s="2" t="s">
        <v>3085</v>
      </c>
      <c r="F152" s="2">
        <v>2003</v>
      </c>
      <c r="G152" s="2" t="s">
        <v>580</v>
      </c>
      <c r="H152" s="3" t="s">
        <v>2669</v>
      </c>
      <c r="I152" s="2"/>
      <c r="J152" s="16"/>
      <c r="K152" s="2"/>
      <c r="L152" s="2"/>
      <c r="M152" s="2"/>
      <c r="N152" s="2"/>
      <c r="O152" s="2"/>
      <c r="Q152" s="2"/>
    </row>
    <row r="153" spans="1:17" ht="15.75" customHeight="1">
      <c r="A153" s="2">
        <v>24380721</v>
      </c>
      <c r="B153" s="11" t="s">
        <v>3088</v>
      </c>
      <c r="C153" s="2" t="s">
        <v>199</v>
      </c>
      <c r="D153" s="2" t="s">
        <v>3089</v>
      </c>
      <c r="E153" s="2" t="s">
        <v>3090</v>
      </c>
      <c r="F153" s="2">
        <v>2014</v>
      </c>
      <c r="G153" s="2" t="s">
        <v>580</v>
      </c>
      <c r="H153" s="3" t="s">
        <v>2675</v>
      </c>
      <c r="I153" s="2"/>
      <c r="J153" s="16"/>
      <c r="K153" s="2"/>
      <c r="L153" s="2"/>
      <c r="M153" s="2"/>
      <c r="N153" s="2"/>
      <c r="O153" s="2"/>
      <c r="Q153" s="2"/>
    </row>
    <row r="154" spans="1:17" ht="15.75" customHeight="1">
      <c r="A154" s="2">
        <v>8907621</v>
      </c>
      <c r="B154" s="11" t="s">
        <v>3091</v>
      </c>
      <c r="C154" s="2" t="s">
        <v>572</v>
      </c>
      <c r="D154" s="2" t="s">
        <v>3092</v>
      </c>
      <c r="E154" s="2" t="s">
        <v>3093</v>
      </c>
      <c r="F154" s="2">
        <v>1995</v>
      </c>
      <c r="G154" s="2" t="s">
        <v>580</v>
      </c>
      <c r="H154" s="3" t="s">
        <v>2703</v>
      </c>
      <c r="I154" s="2"/>
      <c r="J154" s="16"/>
      <c r="K154" s="2"/>
      <c r="L154" s="2"/>
      <c r="M154" s="2"/>
      <c r="N154" s="2"/>
      <c r="O154" s="2"/>
      <c r="Q154" s="2"/>
    </row>
    <row r="155" spans="1:17" ht="15.75" customHeight="1">
      <c r="A155" s="2">
        <v>15494267</v>
      </c>
      <c r="B155" s="11" t="s">
        <v>3094</v>
      </c>
      <c r="C155" s="2" t="s">
        <v>376</v>
      </c>
      <c r="D155" s="2" t="s">
        <v>3095</v>
      </c>
      <c r="E155" s="2" t="s">
        <v>3096</v>
      </c>
      <c r="F155" s="2">
        <v>2004</v>
      </c>
      <c r="G155" s="2" t="s">
        <v>580</v>
      </c>
      <c r="H155" s="3" t="s">
        <v>2709</v>
      </c>
      <c r="I155" s="2"/>
      <c r="J155" s="16"/>
      <c r="K155" s="2"/>
      <c r="L155" s="2"/>
      <c r="M155" s="2"/>
      <c r="N155" s="2"/>
      <c r="O155" s="2"/>
      <c r="Q155" s="2"/>
    </row>
    <row r="156" spans="1:17" ht="15.75" customHeight="1">
      <c r="A156" s="2">
        <v>7949085</v>
      </c>
      <c r="B156" s="11" t="s">
        <v>3097</v>
      </c>
      <c r="C156" s="2" t="s">
        <v>225</v>
      </c>
      <c r="D156" s="2" t="s">
        <v>3098</v>
      </c>
      <c r="E156" s="2" t="s">
        <v>3099</v>
      </c>
      <c r="F156" s="2">
        <v>1994</v>
      </c>
      <c r="G156" s="2" t="s">
        <v>580</v>
      </c>
      <c r="H156" s="3" t="s">
        <v>2681</v>
      </c>
      <c r="I156" s="2"/>
      <c r="J156" s="16"/>
      <c r="K156" s="2"/>
      <c r="L156" s="2"/>
      <c r="M156" s="2"/>
      <c r="N156" s="2"/>
      <c r="O156" s="2"/>
      <c r="Q156" s="2"/>
    </row>
    <row r="157" spans="1:17" ht="15.75" customHeight="1">
      <c r="A157" s="2">
        <v>14981771</v>
      </c>
      <c r="B157" s="11" t="s">
        <v>3100</v>
      </c>
      <c r="C157" s="2" t="s">
        <v>360</v>
      </c>
      <c r="D157" s="2" t="s">
        <v>3101</v>
      </c>
      <c r="E157" s="2" t="s">
        <v>2684</v>
      </c>
      <c r="F157" s="2">
        <v>2004</v>
      </c>
      <c r="G157" s="2" t="s">
        <v>580</v>
      </c>
      <c r="H157" s="3" t="s">
        <v>2687</v>
      </c>
      <c r="I157" s="2"/>
      <c r="J157" s="16"/>
      <c r="K157" s="2"/>
      <c r="L157" s="2"/>
      <c r="M157" s="2"/>
      <c r="N157" s="2"/>
      <c r="O157" s="2"/>
      <c r="Q157" s="2"/>
    </row>
    <row r="158" spans="1:17" ht="15.75" customHeight="1">
      <c r="A158" s="2">
        <v>23080502</v>
      </c>
      <c r="B158" s="11" t="s">
        <v>3102</v>
      </c>
      <c r="C158" s="2" t="s">
        <v>324</v>
      </c>
      <c r="D158" s="2" t="s">
        <v>3103</v>
      </c>
      <c r="E158" s="2" t="s">
        <v>3104</v>
      </c>
      <c r="F158" s="2">
        <v>2012</v>
      </c>
      <c r="G158" s="2" t="s">
        <v>580</v>
      </c>
      <c r="H158" s="3" t="s">
        <v>2693</v>
      </c>
      <c r="I158" s="2"/>
      <c r="J158" s="16"/>
      <c r="K158" s="2"/>
      <c r="L158" s="2"/>
      <c r="M158" s="2"/>
      <c r="N158" s="2"/>
      <c r="O158" s="2"/>
      <c r="Q158" s="2"/>
    </row>
    <row r="159" spans="1:17" ht="15.75" customHeight="1">
      <c r="A159" s="2">
        <v>20534025</v>
      </c>
      <c r="B159" s="11" t="s">
        <v>3105</v>
      </c>
      <c r="C159" s="2" t="s">
        <v>410</v>
      </c>
      <c r="D159" s="2" t="s">
        <v>3106</v>
      </c>
      <c r="E159" s="2" t="s">
        <v>3107</v>
      </c>
      <c r="F159" s="2">
        <v>2010</v>
      </c>
      <c r="G159" s="2" t="s">
        <v>580</v>
      </c>
      <c r="H159" s="3" t="s">
        <v>2693</v>
      </c>
      <c r="I159" s="2"/>
      <c r="J159" s="16"/>
      <c r="K159" s="2"/>
      <c r="L159" s="2"/>
      <c r="M159" s="2"/>
      <c r="N159" s="2"/>
      <c r="O159" s="2"/>
      <c r="Q159" s="2"/>
    </row>
    <row r="160" spans="1:17" ht="15.75" customHeight="1">
      <c r="A160" s="2">
        <v>19843234</v>
      </c>
      <c r="B160" s="11" t="s">
        <v>3108</v>
      </c>
      <c r="C160" s="2" t="s">
        <v>436</v>
      </c>
      <c r="D160" s="2" t="s">
        <v>3109</v>
      </c>
      <c r="E160" s="2" t="s">
        <v>3107</v>
      </c>
      <c r="F160" s="2">
        <v>2010</v>
      </c>
      <c r="G160" s="2" t="s">
        <v>580</v>
      </c>
      <c r="H160" s="3" t="s">
        <v>2710</v>
      </c>
      <c r="I160" s="2"/>
      <c r="J160" s="16"/>
      <c r="K160" s="2"/>
      <c r="L160" s="2"/>
      <c r="M160" s="2"/>
      <c r="N160" s="2"/>
      <c r="O160" s="2"/>
      <c r="Q160" s="2"/>
    </row>
    <row r="161" spans="1:17" ht="15.75" customHeight="1">
      <c r="A161" s="2">
        <v>28551368</v>
      </c>
      <c r="B161" s="11" t="s">
        <v>3110</v>
      </c>
      <c r="C161" s="2" t="s">
        <v>408</v>
      </c>
      <c r="D161" s="2" t="s">
        <v>3111</v>
      </c>
      <c r="E161" s="2" t="s">
        <v>3112</v>
      </c>
      <c r="F161" s="2">
        <v>2017</v>
      </c>
      <c r="G161" s="2" t="s">
        <v>580</v>
      </c>
      <c r="H161" s="3" t="s">
        <v>53</v>
      </c>
      <c r="I161" s="2"/>
      <c r="J161" s="16"/>
      <c r="K161" s="2"/>
      <c r="L161" s="2"/>
      <c r="M161" s="2"/>
      <c r="N161" s="2"/>
      <c r="O161" s="2"/>
      <c r="Q161" s="2"/>
    </row>
    <row r="162" spans="1:17" ht="15.75" customHeight="1">
      <c r="A162" s="2">
        <v>8390614</v>
      </c>
      <c r="B162" s="11" t="s">
        <v>3113</v>
      </c>
      <c r="C162" s="2" t="s">
        <v>79</v>
      </c>
      <c r="D162" s="2" t="s">
        <v>3114</v>
      </c>
      <c r="E162" s="2" t="s">
        <v>3115</v>
      </c>
      <c r="F162" s="2">
        <v>1993</v>
      </c>
      <c r="G162" s="2" t="s">
        <v>580</v>
      </c>
      <c r="H162" s="3" t="s">
        <v>2716</v>
      </c>
      <c r="I162" s="2"/>
      <c r="J162" s="16"/>
      <c r="K162" s="2"/>
      <c r="L162" s="2"/>
      <c r="M162" s="2"/>
      <c r="N162" s="2"/>
      <c r="O162" s="2"/>
      <c r="Q162" s="2"/>
    </row>
    <row r="163" spans="1:17" ht="15.75" customHeight="1">
      <c r="A163" s="2">
        <v>9878013</v>
      </c>
      <c r="B163" s="11" t="s">
        <v>3116</v>
      </c>
      <c r="C163" s="2" t="s">
        <v>384</v>
      </c>
      <c r="D163" s="2" t="s">
        <v>3117</v>
      </c>
      <c r="E163" s="2" t="s">
        <v>3115</v>
      </c>
      <c r="F163" s="2">
        <v>1999</v>
      </c>
      <c r="G163" s="2" t="s">
        <v>580</v>
      </c>
      <c r="H163" s="3" t="s">
        <v>2699</v>
      </c>
      <c r="I163" s="2"/>
      <c r="J163" s="16"/>
      <c r="K163" s="2"/>
      <c r="L163" s="2"/>
      <c r="M163" s="2"/>
      <c r="N163" s="2"/>
      <c r="O163" s="2"/>
      <c r="Q163" s="2"/>
    </row>
    <row r="164" spans="1:17" ht="15.75" customHeight="1">
      <c r="A164" s="2">
        <v>8815100</v>
      </c>
      <c r="B164" s="11" t="s">
        <v>3118</v>
      </c>
      <c r="C164" s="2" t="s">
        <v>156</v>
      </c>
      <c r="D164" s="2" t="s">
        <v>3119</v>
      </c>
      <c r="E164" s="2" t="s">
        <v>3115</v>
      </c>
      <c r="F164" s="2">
        <v>1996</v>
      </c>
      <c r="G164" s="2" t="s">
        <v>580</v>
      </c>
      <c r="H164" s="3" t="s">
        <v>53</v>
      </c>
      <c r="I164" s="2"/>
      <c r="J164" s="16"/>
      <c r="K164" s="2"/>
      <c r="L164" s="2"/>
      <c r="M164" s="2"/>
      <c r="N164" s="2"/>
      <c r="O164" s="2"/>
      <c r="Q164" s="2"/>
    </row>
    <row r="165" spans="1:17" ht="15.75" customHeight="1">
      <c r="A165" s="2">
        <v>28390986</v>
      </c>
      <c r="B165" s="11" t="s">
        <v>3120</v>
      </c>
      <c r="C165" s="2" t="s">
        <v>508</v>
      </c>
      <c r="D165" s="2" t="s">
        <v>3121</v>
      </c>
      <c r="E165" s="2" t="s">
        <v>3122</v>
      </c>
      <c r="F165" s="2">
        <v>2017</v>
      </c>
      <c r="G165" s="2" t="s">
        <v>580</v>
      </c>
      <c r="H165" s="3" t="s">
        <v>2705</v>
      </c>
      <c r="I165" s="2"/>
      <c r="J165" s="16"/>
      <c r="K165" s="2"/>
      <c r="L165" s="2"/>
      <c r="M165" s="2"/>
      <c r="N165" s="2"/>
      <c r="O165" s="2"/>
      <c r="Q165" s="2"/>
    </row>
    <row r="166" spans="1:17" ht="15.75" customHeight="1">
      <c r="A166" s="2">
        <v>27669362</v>
      </c>
      <c r="B166" s="11" t="s">
        <v>3123</v>
      </c>
      <c r="C166" s="2" t="s">
        <v>75</v>
      </c>
      <c r="D166" s="2" t="s">
        <v>3124</v>
      </c>
      <c r="E166" s="2" t="s">
        <v>3125</v>
      </c>
      <c r="F166" s="2">
        <v>2016</v>
      </c>
      <c r="G166" s="2" t="s">
        <v>580</v>
      </c>
      <c r="H166" s="3" t="s">
        <v>53</v>
      </c>
      <c r="I166" s="2"/>
      <c r="J166" s="16"/>
      <c r="K166" s="2"/>
      <c r="L166" s="2"/>
      <c r="M166" s="2"/>
      <c r="N166" s="2"/>
      <c r="O166" s="2"/>
      <c r="Q166" s="2"/>
    </row>
    <row r="167" spans="1:17" ht="15.75" customHeight="1">
      <c r="A167" s="2">
        <v>29487057</v>
      </c>
      <c r="B167" s="11" t="s">
        <v>3126</v>
      </c>
      <c r="C167" s="2" t="s">
        <v>390</v>
      </c>
      <c r="D167" s="2" t="s">
        <v>3127</v>
      </c>
      <c r="E167" s="2" t="s">
        <v>3128</v>
      </c>
      <c r="F167" s="2">
        <v>2018</v>
      </c>
      <c r="G167" s="2" t="s">
        <v>580</v>
      </c>
      <c r="H167" s="3" t="s">
        <v>53</v>
      </c>
      <c r="I167" s="2"/>
      <c r="J167" s="16"/>
      <c r="K167" s="2"/>
      <c r="L167" s="2"/>
      <c r="M167" s="2"/>
      <c r="N167" s="2"/>
      <c r="O167" s="2"/>
      <c r="Q167" s="2"/>
    </row>
    <row r="168" spans="1:17" ht="15.75" customHeight="1">
      <c r="A168" s="2">
        <v>24829249</v>
      </c>
      <c r="B168" s="11" t="s">
        <v>3129</v>
      </c>
      <c r="C168" s="2" t="s">
        <v>179</v>
      </c>
      <c r="D168" s="2" t="s">
        <v>3130</v>
      </c>
      <c r="E168" s="2" t="s">
        <v>3131</v>
      </c>
      <c r="F168" s="2">
        <v>2014</v>
      </c>
      <c r="G168" s="2" t="s">
        <v>580</v>
      </c>
      <c r="H168" s="3" t="s">
        <v>53</v>
      </c>
      <c r="I168" s="2"/>
      <c r="J168" s="16"/>
      <c r="K168" s="2"/>
      <c r="L168" s="2"/>
      <c r="M168" s="2"/>
      <c r="N168" s="2"/>
      <c r="O168" s="2"/>
      <c r="Q168" s="2"/>
    </row>
    <row r="169" spans="1:17" ht="15.75" customHeight="1">
      <c r="A169" s="2">
        <v>8391023</v>
      </c>
      <c r="B169" s="11" t="s">
        <v>3132</v>
      </c>
      <c r="C169" s="2" t="s">
        <v>239</v>
      </c>
      <c r="D169" s="2" t="s">
        <v>3133</v>
      </c>
      <c r="E169" s="2" t="s">
        <v>2723</v>
      </c>
      <c r="F169" s="2">
        <v>1993</v>
      </c>
      <c r="G169" s="2" t="s">
        <v>580</v>
      </c>
      <c r="H169" s="3" t="s">
        <v>53</v>
      </c>
      <c r="I169" s="2"/>
      <c r="J169" s="16"/>
      <c r="K169" s="2"/>
      <c r="L169" s="2"/>
      <c r="M169" s="2"/>
      <c r="N169" s="2"/>
      <c r="O169" s="2"/>
      <c r="Q169" s="2"/>
    </row>
    <row r="170" spans="1:17" ht="15.75" customHeight="1">
      <c r="A170" s="2">
        <v>26809130</v>
      </c>
      <c r="B170" s="11" t="s">
        <v>3134</v>
      </c>
      <c r="C170" s="2" t="s">
        <v>191</v>
      </c>
      <c r="D170" s="2" t="s">
        <v>3135</v>
      </c>
      <c r="E170" s="2" t="s">
        <v>2740</v>
      </c>
      <c r="F170" s="2">
        <v>2016</v>
      </c>
      <c r="G170" s="2" t="s">
        <v>580</v>
      </c>
      <c r="H170" s="3" t="s">
        <v>53</v>
      </c>
      <c r="I170" s="2"/>
      <c r="J170" s="16"/>
      <c r="K170" s="2"/>
      <c r="L170" s="2"/>
      <c r="M170" s="2"/>
      <c r="N170" s="2"/>
      <c r="O170" s="2"/>
      <c r="Q170" s="2"/>
    </row>
    <row r="171" spans="1:17" ht="15.75" customHeight="1">
      <c r="A171" s="2">
        <v>33378595</v>
      </c>
      <c r="B171" s="2" t="s">
        <v>3136</v>
      </c>
      <c r="C171" s="2" t="s">
        <v>3137</v>
      </c>
      <c r="E171" s="2" t="s">
        <v>3138</v>
      </c>
      <c r="F171" s="2">
        <v>2020</v>
      </c>
      <c r="G171" s="2" t="s">
        <v>580</v>
      </c>
      <c r="H171" s="3" t="s">
        <v>29</v>
      </c>
      <c r="I171" s="2"/>
      <c r="J171" s="16"/>
      <c r="K171" s="2"/>
      <c r="L171" s="2"/>
      <c r="M171" s="2"/>
      <c r="N171" s="2"/>
      <c r="O171" s="2"/>
      <c r="Q171" s="2"/>
    </row>
    <row r="172" spans="1:17" ht="15.75" customHeight="1">
      <c r="A172" s="2">
        <v>33053448</v>
      </c>
      <c r="B172" s="11" t="s">
        <v>3139</v>
      </c>
      <c r="C172" s="2" t="s">
        <v>282</v>
      </c>
      <c r="D172" s="2" t="s">
        <v>3140</v>
      </c>
      <c r="E172" s="2" t="s">
        <v>3141</v>
      </c>
      <c r="F172" s="2">
        <v>2020</v>
      </c>
      <c r="G172" s="2" t="s">
        <v>580</v>
      </c>
      <c r="H172" s="3" t="s">
        <v>53</v>
      </c>
      <c r="I172" s="2"/>
      <c r="J172" s="16"/>
      <c r="K172" s="2"/>
      <c r="L172" s="2"/>
      <c r="M172" s="2"/>
      <c r="N172" s="2"/>
      <c r="O172" s="2"/>
      <c r="Q172" s="2"/>
    </row>
    <row r="173" spans="1:17" ht="15.75" customHeight="1">
      <c r="A173" s="2">
        <v>27057748</v>
      </c>
      <c r="B173" s="11" t="s">
        <v>3142</v>
      </c>
      <c r="C173" s="2" t="s">
        <v>554</v>
      </c>
      <c r="D173" s="2" t="s">
        <v>3143</v>
      </c>
      <c r="E173" s="2" t="s">
        <v>3144</v>
      </c>
      <c r="F173" s="2">
        <v>2016</v>
      </c>
      <c r="G173" s="2" t="s">
        <v>580</v>
      </c>
      <c r="H173" s="3" t="s">
        <v>53</v>
      </c>
      <c r="I173" s="2"/>
      <c r="J173" s="16"/>
      <c r="K173" s="2"/>
      <c r="L173" s="2"/>
      <c r="M173" s="2"/>
      <c r="N173" s="2"/>
      <c r="O173" s="2"/>
      <c r="Q173" s="2"/>
    </row>
    <row r="174" spans="1:17" ht="15.75" customHeight="1">
      <c r="A174" s="2">
        <v>23146098</v>
      </c>
      <c r="B174" s="11" t="s">
        <v>3145</v>
      </c>
      <c r="C174" s="2" t="s">
        <v>448</v>
      </c>
      <c r="D174" s="2" t="s">
        <v>3146</v>
      </c>
      <c r="E174" s="2" t="s">
        <v>3147</v>
      </c>
      <c r="F174" s="2">
        <v>2012</v>
      </c>
      <c r="G174" s="2" t="s">
        <v>580</v>
      </c>
      <c r="H174" s="3" t="s">
        <v>2715</v>
      </c>
      <c r="I174" s="2"/>
      <c r="J174" s="16"/>
      <c r="K174" s="2"/>
      <c r="L174" s="2"/>
      <c r="M174" s="2"/>
      <c r="N174" s="2"/>
      <c r="O174" s="2"/>
      <c r="Q174" s="2"/>
    </row>
    <row r="175" spans="1:17" ht="15.75" customHeight="1">
      <c r="A175" s="2">
        <v>31334297</v>
      </c>
      <c r="B175" s="11" t="s">
        <v>3148</v>
      </c>
      <c r="C175" s="2" t="s">
        <v>450</v>
      </c>
      <c r="D175" s="2" t="s">
        <v>3149</v>
      </c>
      <c r="E175" s="2" t="s">
        <v>3150</v>
      </c>
      <c r="F175" s="2">
        <v>2019</v>
      </c>
      <c r="G175" s="2" t="s">
        <v>580</v>
      </c>
      <c r="H175" s="3" t="s">
        <v>2720</v>
      </c>
      <c r="I175" s="2"/>
      <c r="J175" s="16"/>
      <c r="K175" s="2"/>
      <c r="L175" s="2"/>
      <c r="M175" s="2"/>
      <c r="N175" s="2"/>
      <c r="O175" s="2"/>
      <c r="Q175" s="2"/>
    </row>
    <row r="176" spans="1:17" ht="15.75" customHeight="1">
      <c r="A176" s="2">
        <v>11785448</v>
      </c>
      <c r="B176" s="11" t="s">
        <v>3151</v>
      </c>
      <c r="C176" s="2" t="s">
        <v>310</v>
      </c>
      <c r="D176" s="2" t="s">
        <v>3152</v>
      </c>
      <c r="E176" s="2" t="s">
        <v>3153</v>
      </c>
      <c r="F176" s="2">
        <v>2001</v>
      </c>
      <c r="G176" s="2" t="s">
        <v>580</v>
      </c>
      <c r="H176" s="3" t="s">
        <v>53</v>
      </c>
      <c r="I176" s="2"/>
      <c r="J176" s="16"/>
      <c r="K176" s="2"/>
      <c r="L176" s="2"/>
      <c r="M176" s="2"/>
      <c r="N176" s="2"/>
      <c r="O176" s="2"/>
      <c r="Q176" s="2"/>
    </row>
    <row r="177" spans="1:17" ht="15.75" customHeight="1">
      <c r="A177" s="2">
        <v>17205485</v>
      </c>
      <c r="B177" s="11" t="s">
        <v>3154</v>
      </c>
      <c r="C177" s="2" t="s">
        <v>205</v>
      </c>
      <c r="D177" s="2" t="s">
        <v>3155</v>
      </c>
      <c r="E177" s="2" t="s">
        <v>3156</v>
      </c>
      <c r="F177" s="2">
        <v>2007</v>
      </c>
      <c r="G177" s="2" t="s">
        <v>580</v>
      </c>
      <c r="H177" s="3" t="s">
        <v>2720</v>
      </c>
      <c r="I177" s="2"/>
      <c r="J177" s="16"/>
      <c r="K177" s="2"/>
      <c r="L177" s="2"/>
      <c r="M177" s="2"/>
      <c r="N177" s="2"/>
      <c r="O177" s="2"/>
      <c r="Q177" s="2"/>
    </row>
    <row r="178" spans="1:17" ht="15.75" customHeight="1">
      <c r="A178" s="2">
        <v>7889017</v>
      </c>
      <c r="B178" s="11" t="s">
        <v>3157</v>
      </c>
      <c r="C178" s="2" t="s">
        <v>231</v>
      </c>
      <c r="D178" s="2" t="s">
        <v>3158</v>
      </c>
      <c r="E178" s="2" t="s">
        <v>3159</v>
      </c>
      <c r="F178" s="2">
        <v>1994</v>
      </c>
      <c r="G178" s="2" t="s">
        <v>580</v>
      </c>
      <c r="H178" s="3" t="s">
        <v>2719</v>
      </c>
      <c r="I178" s="2"/>
      <c r="J178" s="16"/>
      <c r="K178" s="2"/>
      <c r="L178" s="2"/>
      <c r="M178" s="2"/>
      <c r="N178" s="2"/>
      <c r="O178" s="2"/>
      <c r="Q178" s="2"/>
    </row>
    <row r="179" spans="1:17" ht="15.75" customHeight="1">
      <c r="A179" s="2">
        <v>17189225</v>
      </c>
      <c r="B179" s="11" t="s">
        <v>3160</v>
      </c>
      <c r="C179" s="2" t="s">
        <v>438</v>
      </c>
      <c r="D179" s="2" t="s">
        <v>3161</v>
      </c>
      <c r="E179" s="2" t="s">
        <v>3162</v>
      </c>
      <c r="F179" s="2">
        <v>2006</v>
      </c>
      <c r="G179" s="2" t="s">
        <v>580</v>
      </c>
      <c r="H179" s="3" t="s">
        <v>2720</v>
      </c>
      <c r="I179" s="2"/>
      <c r="J179" s="16"/>
      <c r="K179" s="2"/>
      <c r="L179" s="2"/>
      <c r="M179" s="2"/>
      <c r="N179" s="2"/>
      <c r="O179" s="2"/>
      <c r="Q179" s="2"/>
    </row>
    <row r="180" spans="1:17" ht="15.75" customHeight="1">
      <c r="A180" s="2">
        <v>18662831</v>
      </c>
      <c r="B180" s="11" t="s">
        <v>3163</v>
      </c>
      <c r="C180" s="2" t="s">
        <v>211</v>
      </c>
      <c r="D180" s="2" t="s">
        <v>3164</v>
      </c>
      <c r="E180" s="2" t="s">
        <v>3165</v>
      </c>
      <c r="F180" s="2">
        <v>2008</v>
      </c>
      <c r="G180" s="2" t="s">
        <v>580</v>
      </c>
      <c r="H180" s="3" t="s">
        <v>53</v>
      </c>
      <c r="I180" s="2"/>
      <c r="J180" s="16"/>
      <c r="K180" s="2"/>
      <c r="L180" s="2"/>
      <c r="M180" s="2"/>
      <c r="N180" s="2"/>
      <c r="O180" s="2"/>
      <c r="Q180" s="2"/>
    </row>
    <row r="181" spans="1:17" ht="15.75" customHeight="1">
      <c r="A181" s="2">
        <v>11454544</v>
      </c>
      <c r="B181" s="11" t="s">
        <v>3166</v>
      </c>
      <c r="C181" s="2" t="s">
        <v>259</v>
      </c>
      <c r="D181" s="2" t="s">
        <v>3167</v>
      </c>
      <c r="E181" s="2" t="s">
        <v>3168</v>
      </c>
      <c r="F181" s="2">
        <v>2001</v>
      </c>
      <c r="G181" s="2" t="s">
        <v>580</v>
      </c>
      <c r="H181" s="3" t="s">
        <v>2724</v>
      </c>
      <c r="I181" s="2"/>
      <c r="J181" s="16"/>
      <c r="K181" s="2"/>
      <c r="L181" s="2"/>
      <c r="M181" s="2"/>
      <c r="N181" s="2"/>
      <c r="O181" s="2"/>
      <c r="Q181" s="2"/>
    </row>
    <row r="182" spans="1:17" ht="15.75" customHeight="1">
      <c r="A182" s="2">
        <v>19505844</v>
      </c>
      <c r="B182" s="11" t="s">
        <v>3169</v>
      </c>
      <c r="C182" s="2" t="s">
        <v>247</v>
      </c>
      <c r="D182" s="2" t="s">
        <v>3170</v>
      </c>
      <c r="E182" s="2" t="s">
        <v>3171</v>
      </c>
      <c r="F182" s="2">
        <v>2009</v>
      </c>
      <c r="G182" s="2" t="s">
        <v>580</v>
      </c>
      <c r="H182" s="3" t="s">
        <v>53</v>
      </c>
      <c r="I182" s="2"/>
      <c r="J182" s="16"/>
      <c r="K182" s="2"/>
      <c r="L182" s="2"/>
      <c r="M182" s="2"/>
      <c r="N182" s="2"/>
      <c r="O182" s="2"/>
      <c r="Q182" s="2"/>
    </row>
    <row r="183" spans="1:17" ht="15.75" customHeight="1">
      <c r="A183" s="2">
        <v>23152545</v>
      </c>
      <c r="B183" s="11" t="s">
        <v>3172</v>
      </c>
      <c r="C183" s="2" t="s">
        <v>63</v>
      </c>
      <c r="D183" s="2" t="s">
        <v>3173</v>
      </c>
      <c r="E183" s="2" t="s">
        <v>3174</v>
      </c>
      <c r="F183" s="2">
        <v>2013</v>
      </c>
      <c r="G183" s="2" t="s">
        <v>580</v>
      </c>
      <c r="H183" s="3" t="s">
        <v>53</v>
      </c>
      <c r="I183" s="2"/>
      <c r="J183" s="16"/>
      <c r="K183" s="2"/>
      <c r="L183" s="2"/>
      <c r="M183" s="2"/>
      <c r="N183" s="2"/>
      <c r="O183" s="2"/>
      <c r="Q183" s="2"/>
    </row>
    <row r="184" spans="1:17" ht="15.75" customHeight="1">
      <c r="A184" s="2">
        <v>8385692</v>
      </c>
      <c r="B184" s="11" t="s">
        <v>3175</v>
      </c>
      <c r="C184" s="2" t="s">
        <v>165</v>
      </c>
      <c r="D184" s="2" t="s">
        <v>3176</v>
      </c>
      <c r="E184" s="2" t="s">
        <v>3177</v>
      </c>
      <c r="F184" s="2">
        <v>1993</v>
      </c>
      <c r="G184" s="2" t="s">
        <v>580</v>
      </c>
      <c r="H184" s="3" t="s">
        <v>2729</v>
      </c>
      <c r="I184" s="2"/>
      <c r="J184" s="16"/>
      <c r="K184" s="2"/>
      <c r="L184" s="2"/>
      <c r="M184" s="2"/>
      <c r="N184" s="2"/>
      <c r="O184" s="2"/>
      <c r="Q184" s="2"/>
    </row>
    <row r="185" spans="1:17" ht="15.75" customHeight="1">
      <c r="A185" s="2">
        <v>27697585</v>
      </c>
      <c r="B185" s="11" t="s">
        <v>3178</v>
      </c>
      <c r="C185" s="2" t="s">
        <v>59</v>
      </c>
      <c r="D185" s="2" t="s">
        <v>3179</v>
      </c>
      <c r="E185" s="2" t="s">
        <v>3180</v>
      </c>
      <c r="F185" s="2">
        <v>2016</v>
      </c>
      <c r="G185" s="2" t="s">
        <v>580</v>
      </c>
      <c r="H185" s="3" t="s">
        <v>2725</v>
      </c>
      <c r="I185" s="2"/>
      <c r="J185" s="16"/>
      <c r="K185" s="2"/>
      <c r="L185" s="2"/>
      <c r="M185" s="2"/>
      <c r="N185" s="2"/>
      <c r="O185" s="2"/>
      <c r="Q185" s="2"/>
    </row>
    <row r="186" spans="1:17" ht="15.75" customHeight="1">
      <c r="A186" s="2">
        <v>28954348</v>
      </c>
      <c r="B186" s="11" t="s">
        <v>3181</v>
      </c>
      <c r="C186" s="2" t="s">
        <v>348</v>
      </c>
      <c r="D186" s="2" t="s">
        <v>3182</v>
      </c>
      <c r="E186" s="2" t="s">
        <v>2755</v>
      </c>
      <c r="F186" s="2">
        <v>2017</v>
      </c>
      <c r="G186" s="2" t="s">
        <v>580</v>
      </c>
      <c r="H186" s="3" t="s">
        <v>2734</v>
      </c>
      <c r="I186" s="2"/>
      <c r="J186" s="16"/>
      <c r="K186" s="2"/>
      <c r="L186" s="2"/>
      <c r="M186" s="2"/>
      <c r="N186" s="2"/>
      <c r="O186" s="2"/>
      <c r="Q186" s="2"/>
    </row>
    <row r="187" spans="1:17" ht="15.75" customHeight="1">
      <c r="A187" s="2">
        <v>27664550</v>
      </c>
      <c r="B187" s="11" t="s">
        <v>3183</v>
      </c>
      <c r="C187" s="2" t="s">
        <v>338</v>
      </c>
      <c r="D187" s="2" t="s">
        <v>3184</v>
      </c>
      <c r="E187" s="2" t="s">
        <v>3185</v>
      </c>
      <c r="F187" s="2">
        <v>2017</v>
      </c>
      <c r="G187" s="2" t="s">
        <v>580</v>
      </c>
      <c r="H187" s="3" t="s">
        <v>53</v>
      </c>
      <c r="I187" s="2"/>
      <c r="J187" s="16"/>
      <c r="K187" s="2"/>
      <c r="L187" s="2"/>
      <c r="M187" s="2"/>
      <c r="N187" s="2"/>
      <c r="O187" s="2"/>
      <c r="Q187" s="2"/>
    </row>
    <row r="188" spans="1:17" ht="15.75" customHeight="1">
      <c r="A188" s="2">
        <v>15606551</v>
      </c>
      <c r="B188" s="11" t="s">
        <v>3186</v>
      </c>
      <c r="C188" s="2" t="s">
        <v>150</v>
      </c>
      <c r="D188" s="2" t="s">
        <v>3187</v>
      </c>
      <c r="E188" s="2" t="s">
        <v>3188</v>
      </c>
      <c r="F188" s="2">
        <v>2005</v>
      </c>
      <c r="G188" s="2" t="s">
        <v>580</v>
      </c>
      <c r="H188" s="3" t="s">
        <v>53</v>
      </c>
      <c r="I188" s="2"/>
      <c r="J188" s="16"/>
      <c r="K188" s="2"/>
      <c r="L188" s="2"/>
      <c r="M188" s="2"/>
      <c r="N188" s="2"/>
      <c r="O188" s="2"/>
      <c r="Q188" s="2"/>
    </row>
    <row r="189" spans="1:17" ht="15.75" customHeight="1">
      <c r="A189" s="2">
        <v>12529677</v>
      </c>
      <c r="B189" s="11" t="s">
        <v>3189</v>
      </c>
      <c r="C189" s="2" t="s">
        <v>296</v>
      </c>
      <c r="D189" s="2" t="s">
        <v>3190</v>
      </c>
      <c r="E189" s="2" t="s">
        <v>3191</v>
      </c>
      <c r="F189" s="2">
        <v>2003</v>
      </c>
      <c r="G189" s="2" t="s">
        <v>580</v>
      </c>
      <c r="H189" s="3" t="s">
        <v>2729</v>
      </c>
      <c r="I189" s="2"/>
      <c r="J189" s="16"/>
      <c r="K189" s="2"/>
      <c r="L189" s="2"/>
      <c r="M189" s="2"/>
      <c r="N189" s="2"/>
      <c r="O189" s="2"/>
      <c r="Q189" s="2"/>
    </row>
    <row r="190" spans="1:17" ht="15.75" customHeight="1">
      <c r="A190" s="2">
        <v>26121112</v>
      </c>
      <c r="B190" s="11" t="s">
        <v>3192</v>
      </c>
      <c r="C190" s="2" t="s">
        <v>94</v>
      </c>
      <c r="D190" s="2" t="s">
        <v>3193</v>
      </c>
      <c r="E190" s="2" t="s">
        <v>2761</v>
      </c>
      <c r="F190" s="2">
        <v>2015</v>
      </c>
      <c r="G190" s="2" t="s">
        <v>580</v>
      </c>
      <c r="H190" s="3" t="s">
        <v>53</v>
      </c>
      <c r="I190" s="2"/>
      <c r="J190" s="16"/>
      <c r="K190" s="2"/>
      <c r="L190" s="2"/>
      <c r="M190" s="2"/>
      <c r="N190" s="2"/>
      <c r="O190" s="2"/>
      <c r="Q190" s="2"/>
    </row>
    <row r="191" spans="1:17" ht="15.75" customHeight="1">
      <c r="A191" s="2">
        <v>25066883</v>
      </c>
      <c r="B191" s="11" t="s">
        <v>3194</v>
      </c>
      <c r="C191" s="2" t="s">
        <v>316</v>
      </c>
      <c r="D191" s="2" t="s">
        <v>3195</v>
      </c>
      <c r="E191" s="2" t="s">
        <v>2761</v>
      </c>
      <c r="F191" s="2">
        <v>2014</v>
      </c>
      <c r="G191" s="2" t="s">
        <v>580</v>
      </c>
      <c r="H191" s="3" t="s">
        <v>53</v>
      </c>
      <c r="I191" s="2"/>
      <c r="J191" s="16"/>
      <c r="K191" s="2"/>
      <c r="L191" s="2"/>
      <c r="M191" s="2"/>
      <c r="N191" s="2"/>
      <c r="O191" s="2"/>
      <c r="Q191" s="2"/>
    </row>
    <row r="192" spans="1:17" ht="15.75" customHeight="1">
      <c r="A192" s="2">
        <v>22564265</v>
      </c>
      <c r="B192" s="11" t="s">
        <v>3196</v>
      </c>
      <c r="C192" s="2" t="s">
        <v>398</v>
      </c>
      <c r="D192" s="2" t="s">
        <v>3197</v>
      </c>
      <c r="E192" s="2" t="s">
        <v>2761</v>
      </c>
      <c r="F192" s="2">
        <v>2012</v>
      </c>
      <c r="G192" s="2" t="s">
        <v>580</v>
      </c>
      <c r="H192" s="3" t="s">
        <v>53</v>
      </c>
      <c r="I192" s="2"/>
      <c r="J192" s="16"/>
      <c r="K192" s="2"/>
      <c r="L192" s="2"/>
      <c r="M192" s="2"/>
      <c r="N192" s="2"/>
      <c r="O192" s="2"/>
      <c r="Q192" s="2"/>
    </row>
    <row r="193" spans="1:17" ht="15.75" customHeight="1">
      <c r="A193" s="2">
        <v>32076716</v>
      </c>
      <c r="B193" s="11" t="s">
        <v>3198</v>
      </c>
      <c r="C193" s="2" t="s">
        <v>386</v>
      </c>
      <c r="D193" s="2" t="s">
        <v>3199</v>
      </c>
      <c r="E193" s="2" t="s">
        <v>2761</v>
      </c>
      <c r="F193" s="2">
        <v>2020</v>
      </c>
      <c r="G193" s="2" t="s">
        <v>580</v>
      </c>
      <c r="H193" s="3" t="s">
        <v>53</v>
      </c>
      <c r="I193" s="2"/>
      <c r="J193" s="16"/>
      <c r="K193" s="2"/>
      <c r="L193" s="2"/>
      <c r="M193" s="2"/>
      <c r="N193" s="2"/>
      <c r="O193" s="2"/>
      <c r="Q193" s="2"/>
    </row>
    <row r="194" spans="1:17" ht="15.75" customHeight="1">
      <c r="A194" s="2">
        <v>28668490</v>
      </c>
      <c r="B194" s="11" t="s">
        <v>3200</v>
      </c>
      <c r="C194" s="2" t="s">
        <v>520</v>
      </c>
      <c r="D194" s="2" t="s">
        <v>3201</v>
      </c>
      <c r="E194" s="2" t="s">
        <v>3202</v>
      </c>
      <c r="F194" s="2">
        <v>2017</v>
      </c>
      <c r="G194" s="2" t="s">
        <v>580</v>
      </c>
      <c r="H194" s="3" t="s">
        <v>53</v>
      </c>
      <c r="I194" s="2"/>
      <c r="J194" s="16"/>
      <c r="K194" s="2"/>
      <c r="L194" s="2"/>
      <c r="M194" s="2"/>
      <c r="N194" s="2"/>
      <c r="O194" s="2"/>
      <c r="Q194" s="2"/>
    </row>
    <row r="195" spans="1:17" ht="15.75" customHeight="1">
      <c r="A195" s="2">
        <v>22825817</v>
      </c>
      <c r="B195" s="11" t="s">
        <v>3203</v>
      </c>
      <c r="C195" s="2" t="s">
        <v>235</v>
      </c>
      <c r="D195" s="2" t="s">
        <v>3204</v>
      </c>
      <c r="E195" s="2" t="s">
        <v>3205</v>
      </c>
      <c r="F195" s="2">
        <v>2012</v>
      </c>
      <c r="G195" s="2" t="s">
        <v>580</v>
      </c>
      <c r="H195" s="3" t="s">
        <v>53</v>
      </c>
      <c r="I195" s="2"/>
      <c r="J195" s="16"/>
      <c r="K195" s="2"/>
      <c r="L195" s="2"/>
      <c r="M195" s="2"/>
      <c r="N195" s="2"/>
      <c r="O195" s="2"/>
      <c r="Q195" s="2"/>
    </row>
    <row r="196" spans="1:17" ht="15.75" customHeight="1">
      <c r="A196" s="2">
        <v>20138915</v>
      </c>
      <c r="B196" s="11" t="s">
        <v>3206</v>
      </c>
      <c r="C196" s="2" t="s">
        <v>229</v>
      </c>
      <c r="D196" s="2" t="s">
        <v>3207</v>
      </c>
      <c r="E196" s="2" t="s">
        <v>3205</v>
      </c>
      <c r="F196" s="2">
        <v>2010</v>
      </c>
      <c r="G196" s="2" t="s">
        <v>580</v>
      </c>
      <c r="H196" s="3" t="s">
        <v>53</v>
      </c>
      <c r="I196" s="2"/>
      <c r="J196" s="16"/>
      <c r="K196" s="2"/>
      <c r="L196" s="2"/>
      <c r="M196" s="2"/>
      <c r="N196" s="2"/>
      <c r="O196" s="2"/>
      <c r="Q196" s="2"/>
    </row>
    <row r="197" spans="1:17" ht="15.75" customHeight="1">
      <c r="A197" s="2">
        <v>26945690</v>
      </c>
      <c r="B197" s="11" t="s">
        <v>3208</v>
      </c>
      <c r="C197" s="2" t="s">
        <v>55</v>
      </c>
      <c r="D197" s="2" t="s">
        <v>3209</v>
      </c>
      <c r="E197" s="2" t="s">
        <v>3205</v>
      </c>
      <c r="F197" s="2">
        <v>2016</v>
      </c>
      <c r="G197" s="2" t="s">
        <v>580</v>
      </c>
      <c r="H197" s="3" t="s">
        <v>53</v>
      </c>
      <c r="I197" s="2"/>
      <c r="J197" s="16"/>
      <c r="K197" s="2"/>
      <c r="L197" s="2"/>
      <c r="M197" s="2"/>
      <c r="N197" s="2"/>
      <c r="O197" s="2"/>
      <c r="Q197" s="2"/>
    </row>
    <row r="198" spans="1:17" ht="15.75" customHeight="1">
      <c r="A198" s="2">
        <v>12477249</v>
      </c>
      <c r="B198" s="11" t="s">
        <v>3210</v>
      </c>
      <c r="C198" s="2" t="s">
        <v>217</v>
      </c>
      <c r="D198" s="2" t="s">
        <v>3211</v>
      </c>
      <c r="E198" s="2" t="s">
        <v>3205</v>
      </c>
      <c r="F198" s="2">
        <v>2002</v>
      </c>
      <c r="G198" s="2" t="s">
        <v>580</v>
      </c>
      <c r="H198" s="3" t="s">
        <v>53</v>
      </c>
      <c r="I198" s="2"/>
      <c r="J198" s="16"/>
      <c r="K198" s="2"/>
      <c r="L198" s="2"/>
      <c r="M198" s="2"/>
      <c r="N198" s="2"/>
      <c r="O198" s="2"/>
      <c r="Q198" s="2"/>
    </row>
    <row r="199" spans="1:17" ht="15.75" customHeight="1">
      <c r="A199" s="2">
        <v>33308840</v>
      </c>
      <c r="B199" s="11" t="s">
        <v>3212</v>
      </c>
      <c r="C199" s="2" t="s">
        <v>476</v>
      </c>
      <c r="D199" s="2" t="s">
        <v>3213</v>
      </c>
      <c r="E199" s="2" t="s">
        <v>3214</v>
      </c>
      <c r="F199" s="2">
        <v>2020</v>
      </c>
      <c r="G199" s="2" t="s">
        <v>580</v>
      </c>
      <c r="H199" s="3" t="s">
        <v>53</v>
      </c>
      <c r="I199" s="2"/>
      <c r="J199" s="16"/>
      <c r="K199" s="2"/>
      <c r="L199" s="2"/>
      <c r="M199" s="2"/>
      <c r="N199" s="2"/>
      <c r="O199" s="2"/>
      <c r="Q199" s="2"/>
    </row>
    <row r="200" spans="1:17" ht="15.75" customHeight="1">
      <c r="A200" s="2">
        <v>28601677</v>
      </c>
      <c r="B200" s="11" t="s">
        <v>3215</v>
      </c>
      <c r="C200" s="2" t="s">
        <v>474</v>
      </c>
      <c r="D200" s="2" t="s">
        <v>3216</v>
      </c>
      <c r="E200" s="2" t="s">
        <v>3217</v>
      </c>
      <c r="F200" s="2">
        <v>2017</v>
      </c>
      <c r="G200" s="2" t="s">
        <v>580</v>
      </c>
      <c r="H200" s="3" t="s">
        <v>53</v>
      </c>
      <c r="I200" s="2"/>
      <c r="J200" s="16"/>
      <c r="K200" s="2"/>
      <c r="L200" s="2"/>
      <c r="M200" s="2"/>
      <c r="N200" s="2"/>
      <c r="O200" s="2"/>
      <c r="Q200" s="2"/>
    </row>
    <row r="201" spans="1:17" ht="15.75" customHeight="1">
      <c r="A201" s="2">
        <v>24596281</v>
      </c>
      <c r="B201" s="11" t="s">
        <v>3218</v>
      </c>
      <c r="C201" s="2" t="s">
        <v>100</v>
      </c>
      <c r="D201" s="2" t="s">
        <v>3219</v>
      </c>
      <c r="E201" s="2" t="s">
        <v>3217</v>
      </c>
      <c r="F201" s="2">
        <v>2014</v>
      </c>
      <c r="G201" s="2" t="s">
        <v>580</v>
      </c>
      <c r="H201" s="3" t="s">
        <v>53</v>
      </c>
      <c r="I201" s="2"/>
      <c r="J201" s="16"/>
      <c r="K201" s="2"/>
      <c r="L201" s="2"/>
      <c r="M201" s="2"/>
      <c r="N201" s="2"/>
      <c r="O201" s="2"/>
      <c r="Q201" s="2"/>
    </row>
    <row r="202" spans="1:17" ht="15.75" customHeight="1">
      <c r="A202" s="2">
        <v>11049765</v>
      </c>
      <c r="B202" s="11" t="s">
        <v>3220</v>
      </c>
      <c r="C202" s="2" t="s">
        <v>167</v>
      </c>
      <c r="D202" s="2" t="s">
        <v>3221</v>
      </c>
      <c r="E202" s="2" t="s">
        <v>3222</v>
      </c>
      <c r="F202" s="2">
        <v>2000</v>
      </c>
      <c r="G202" s="2" t="s">
        <v>580</v>
      </c>
      <c r="H202" s="3" t="s">
        <v>53</v>
      </c>
      <c r="I202" s="2"/>
      <c r="J202" s="16"/>
      <c r="K202" s="2"/>
      <c r="L202" s="2"/>
      <c r="M202" s="2"/>
      <c r="N202" s="2"/>
      <c r="O202" s="2"/>
      <c r="Q202" s="2"/>
    </row>
    <row r="203" spans="1:17" ht="15.75" customHeight="1">
      <c r="A203" s="2">
        <v>25946433</v>
      </c>
      <c r="B203" s="11" t="s">
        <v>3223</v>
      </c>
      <c r="C203" s="2" t="s">
        <v>536</v>
      </c>
      <c r="D203" s="2" t="s">
        <v>3224</v>
      </c>
      <c r="E203" s="2" t="s">
        <v>3225</v>
      </c>
      <c r="F203" s="2">
        <v>2015</v>
      </c>
      <c r="G203" s="2" t="s">
        <v>580</v>
      </c>
      <c r="H203" s="3" t="s">
        <v>53</v>
      </c>
      <c r="I203" s="2"/>
      <c r="J203" s="16"/>
      <c r="K203" s="2"/>
      <c r="L203" s="2"/>
      <c r="M203" s="2"/>
      <c r="N203" s="2"/>
      <c r="O203" s="2"/>
      <c r="Q203" s="2"/>
    </row>
    <row r="204" spans="1:17" ht="15.75" customHeight="1">
      <c r="A204" s="2">
        <v>27364410</v>
      </c>
      <c r="B204" s="11" t="s">
        <v>3226</v>
      </c>
      <c r="C204" s="2" t="s">
        <v>488</v>
      </c>
      <c r="D204" s="2" t="s">
        <v>3227</v>
      </c>
      <c r="E204" s="2" t="s">
        <v>3225</v>
      </c>
      <c r="F204" s="2">
        <v>2017</v>
      </c>
      <c r="G204" s="2" t="s">
        <v>580</v>
      </c>
      <c r="H204" s="3" t="s">
        <v>53</v>
      </c>
      <c r="I204" s="2"/>
      <c r="J204" s="16"/>
      <c r="K204" s="2"/>
      <c r="L204" s="2"/>
      <c r="M204" s="2"/>
      <c r="N204" s="2"/>
      <c r="O204" s="2"/>
      <c r="Q204" s="2"/>
    </row>
    <row r="205" spans="1:17" ht="15.75" customHeight="1">
      <c r="A205" s="2">
        <v>26241219</v>
      </c>
      <c r="B205" s="11" t="s">
        <v>3228</v>
      </c>
      <c r="C205" s="2" t="s">
        <v>169</v>
      </c>
      <c r="D205" s="2" t="s">
        <v>3229</v>
      </c>
      <c r="E205" s="2" t="s">
        <v>3225</v>
      </c>
      <c r="F205" s="2">
        <v>2016</v>
      </c>
      <c r="G205" s="2" t="s">
        <v>580</v>
      </c>
      <c r="H205" s="3" t="s">
        <v>53</v>
      </c>
      <c r="I205" s="2"/>
      <c r="J205" s="16"/>
      <c r="K205" s="2"/>
      <c r="L205" s="2"/>
      <c r="M205" s="2"/>
      <c r="N205" s="2"/>
      <c r="O205" s="2"/>
      <c r="Q205" s="2"/>
    </row>
    <row r="206" spans="1:17" ht="15.75" customHeight="1">
      <c r="A206" s="2">
        <v>30414316</v>
      </c>
      <c r="B206" s="11" t="s">
        <v>3230</v>
      </c>
      <c r="C206" s="2" t="s">
        <v>400</v>
      </c>
      <c r="D206" s="2" t="s">
        <v>3231</v>
      </c>
      <c r="E206" s="2" t="s">
        <v>3232</v>
      </c>
      <c r="F206" s="2">
        <v>2019</v>
      </c>
      <c r="G206" s="2" t="s">
        <v>580</v>
      </c>
      <c r="H206" s="3" t="s">
        <v>53</v>
      </c>
      <c r="I206" s="2"/>
      <c r="J206" s="16"/>
      <c r="K206" s="2"/>
      <c r="L206" s="2"/>
      <c r="M206" s="2"/>
      <c r="N206" s="2"/>
      <c r="O206" s="2"/>
      <c r="Q206" s="2"/>
    </row>
    <row r="207" spans="1:17" ht="15.75" customHeight="1">
      <c r="A207" s="2">
        <v>25650037</v>
      </c>
      <c r="B207" s="11" t="s">
        <v>3233</v>
      </c>
      <c r="C207" s="2" t="s">
        <v>454</v>
      </c>
      <c r="D207" s="2" t="s">
        <v>3234</v>
      </c>
      <c r="E207" s="2" t="s">
        <v>3235</v>
      </c>
      <c r="F207" s="2">
        <v>2015</v>
      </c>
      <c r="G207" s="2" t="s">
        <v>580</v>
      </c>
      <c r="H207" s="3" t="s">
        <v>29</v>
      </c>
      <c r="I207" s="2"/>
      <c r="J207" s="16"/>
      <c r="K207" s="2"/>
      <c r="L207" s="2"/>
      <c r="M207" s="2"/>
      <c r="N207" s="2"/>
      <c r="O207" s="2"/>
      <c r="Q207" s="2"/>
    </row>
    <row r="208" spans="1:17" ht="15.75" customHeight="1">
      <c r="A208" s="2">
        <v>20838386</v>
      </c>
      <c r="B208" s="11" t="s">
        <v>3236</v>
      </c>
      <c r="C208" s="2" t="s">
        <v>263</v>
      </c>
      <c r="D208" s="2" t="s">
        <v>3237</v>
      </c>
      <c r="E208" s="2" t="s">
        <v>3238</v>
      </c>
      <c r="F208" s="2">
        <v>2011</v>
      </c>
      <c r="G208" s="2" t="s">
        <v>580</v>
      </c>
      <c r="H208" s="3" t="s">
        <v>53</v>
      </c>
      <c r="I208" s="2"/>
      <c r="J208" s="16"/>
      <c r="K208" s="2"/>
      <c r="L208" s="2"/>
      <c r="M208" s="2"/>
      <c r="N208" s="2"/>
      <c r="O208" s="2"/>
      <c r="Q208" s="2"/>
    </row>
    <row r="209" spans="1:17" ht="15.75" customHeight="1">
      <c r="A209" s="2">
        <v>21794043</v>
      </c>
      <c r="B209" s="11" t="s">
        <v>3239</v>
      </c>
      <c r="C209" s="2" t="s">
        <v>412</v>
      </c>
      <c r="D209" s="2" t="s">
        <v>3240</v>
      </c>
      <c r="E209" s="2" t="s">
        <v>3238</v>
      </c>
      <c r="F209" s="2">
        <v>2012</v>
      </c>
      <c r="G209" s="2" t="s">
        <v>580</v>
      </c>
      <c r="H209" s="3" t="s">
        <v>53</v>
      </c>
      <c r="I209" s="2"/>
      <c r="J209" s="16"/>
      <c r="K209" s="2"/>
      <c r="L209" s="2"/>
      <c r="M209" s="2"/>
      <c r="N209" s="2"/>
      <c r="O209" s="2"/>
      <c r="Q209" s="2"/>
    </row>
    <row r="210" spans="1:17" ht="15.75" customHeight="1">
      <c r="A210" s="2">
        <v>20970670</v>
      </c>
      <c r="B210" s="11" t="s">
        <v>3241</v>
      </c>
      <c r="C210" s="2" t="s">
        <v>221</v>
      </c>
      <c r="D210" s="2" t="s">
        <v>3242</v>
      </c>
      <c r="E210" s="2" t="s">
        <v>3243</v>
      </c>
      <c r="F210" s="2">
        <v>2010</v>
      </c>
      <c r="G210" s="2" t="s">
        <v>580</v>
      </c>
      <c r="H210" s="3" t="s">
        <v>53</v>
      </c>
      <c r="I210" s="2"/>
      <c r="J210" s="16"/>
      <c r="K210" s="2"/>
      <c r="L210" s="2"/>
      <c r="M210" s="2"/>
      <c r="N210" s="2"/>
      <c r="O210" s="2"/>
      <c r="Q210" s="2"/>
    </row>
    <row r="211" spans="1:17" ht="15.75" customHeight="1">
      <c r="A211" s="2">
        <v>25807050</v>
      </c>
      <c r="B211" s="11" t="s">
        <v>3244</v>
      </c>
      <c r="C211" s="2" t="s">
        <v>538</v>
      </c>
      <c r="D211" s="2" t="s">
        <v>3245</v>
      </c>
      <c r="E211" s="2" t="s">
        <v>3243</v>
      </c>
      <c r="F211" s="2">
        <v>2015</v>
      </c>
      <c r="G211" s="2" t="s">
        <v>580</v>
      </c>
      <c r="H211" s="3" t="s">
        <v>53</v>
      </c>
      <c r="I211" s="2"/>
      <c r="J211" s="16"/>
      <c r="K211" s="2"/>
      <c r="L211" s="2"/>
      <c r="M211" s="2"/>
      <c r="N211" s="2"/>
      <c r="O211" s="2"/>
      <c r="Q211" s="2"/>
    </row>
    <row r="212" spans="1:17" ht="15.75" customHeight="1">
      <c r="A212" s="2">
        <v>30519529</v>
      </c>
      <c r="B212" s="11" t="s">
        <v>3246</v>
      </c>
      <c r="C212" s="2" t="s">
        <v>464</v>
      </c>
      <c r="D212" s="2" t="s">
        <v>3247</v>
      </c>
      <c r="E212" s="2" t="s">
        <v>3248</v>
      </c>
      <c r="F212" s="2">
        <v>2018</v>
      </c>
      <c r="G212" s="2" t="s">
        <v>580</v>
      </c>
      <c r="H212" s="3" t="s">
        <v>53</v>
      </c>
      <c r="I212" s="2"/>
      <c r="J212" s="16"/>
      <c r="K212" s="2"/>
      <c r="L212" s="2"/>
      <c r="M212" s="2"/>
      <c r="N212" s="2"/>
      <c r="O212" s="2"/>
      <c r="Q212" s="2"/>
    </row>
    <row r="213" spans="1:17" ht="15.75" customHeight="1">
      <c r="A213" s="2">
        <v>21376661</v>
      </c>
      <c r="B213" s="11" t="s">
        <v>3249</v>
      </c>
      <c r="C213" s="2" t="s">
        <v>106</v>
      </c>
      <c r="D213" s="2" t="s">
        <v>3250</v>
      </c>
      <c r="E213" s="2" t="s">
        <v>3251</v>
      </c>
      <c r="F213" s="2">
        <v>2011</v>
      </c>
      <c r="G213" s="2" t="s">
        <v>580</v>
      </c>
      <c r="H213" s="3" t="s">
        <v>53</v>
      </c>
      <c r="I213" s="2"/>
      <c r="J213" s="16"/>
      <c r="K213" s="2"/>
      <c r="L213" s="2"/>
      <c r="M213" s="2"/>
      <c r="N213" s="2"/>
      <c r="O213" s="2"/>
      <c r="Q213" s="2"/>
    </row>
    <row r="214" spans="1:17" ht="15.75" customHeight="1">
      <c r="A214" s="2">
        <v>21457420</v>
      </c>
      <c r="B214" s="11" t="s">
        <v>3252</v>
      </c>
      <c r="C214" s="2" t="s">
        <v>574</v>
      </c>
      <c r="D214" s="2" t="s">
        <v>3253</v>
      </c>
      <c r="E214" s="2" t="s">
        <v>3254</v>
      </c>
      <c r="F214" s="2">
        <v>2011</v>
      </c>
      <c r="G214" s="2" t="s">
        <v>580</v>
      </c>
      <c r="H214" s="3" t="s">
        <v>53</v>
      </c>
      <c r="I214" s="2"/>
      <c r="J214" s="16"/>
      <c r="K214" s="2"/>
      <c r="L214" s="2"/>
      <c r="M214" s="2"/>
      <c r="N214" s="2"/>
      <c r="O214" s="2"/>
      <c r="Q214" s="2"/>
    </row>
    <row r="215" spans="1:17" ht="15.75" customHeight="1">
      <c r="A215" s="2">
        <v>12393439</v>
      </c>
      <c r="B215" s="11" t="s">
        <v>3255</v>
      </c>
      <c r="C215" s="2" t="s">
        <v>452</v>
      </c>
      <c r="D215" s="2" t="s">
        <v>3256</v>
      </c>
      <c r="E215" s="2" t="s">
        <v>3257</v>
      </c>
      <c r="F215" s="2">
        <v>2003</v>
      </c>
      <c r="G215" s="2" t="s">
        <v>580</v>
      </c>
      <c r="H215" s="3" t="s">
        <v>53</v>
      </c>
      <c r="I215" s="2"/>
      <c r="J215" s="16"/>
      <c r="K215" s="2"/>
      <c r="L215" s="2"/>
      <c r="M215" s="2"/>
      <c r="N215" s="2"/>
      <c r="O215" s="2"/>
      <c r="Q215" s="2"/>
    </row>
    <row r="216" spans="1:17" ht="15.75" customHeight="1">
      <c r="A216" s="2">
        <v>23665115</v>
      </c>
      <c r="B216" s="11" t="s">
        <v>3258</v>
      </c>
      <c r="C216" s="2" t="s">
        <v>562</v>
      </c>
      <c r="D216" s="2" t="s">
        <v>3259</v>
      </c>
      <c r="E216" s="2" t="s">
        <v>3260</v>
      </c>
      <c r="F216" s="2">
        <v>2013</v>
      </c>
      <c r="G216" s="2" t="s">
        <v>580</v>
      </c>
      <c r="H216" s="3" t="s">
        <v>53</v>
      </c>
      <c r="I216" s="2"/>
      <c r="J216" s="16"/>
      <c r="K216" s="2"/>
      <c r="L216" s="2"/>
      <c r="M216" s="2"/>
      <c r="N216" s="2"/>
      <c r="O216" s="2"/>
      <c r="Q216" s="2"/>
    </row>
    <row r="217" spans="1:17" ht="15.75" customHeight="1">
      <c r="A217" s="2">
        <v>25072620</v>
      </c>
      <c r="B217" s="11" t="s">
        <v>3261</v>
      </c>
      <c r="C217" s="2" t="s">
        <v>402</v>
      </c>
      <c r="D217" s="2" t="s">
        <v>3262</v>
      </c>
      <c r="E217" s="2" t="s">
        <v>3263</v>
      </c>
      <c r="F217" s="2">
        <v>2014</v>
      </c>
      <c r="G217" s="2" t="s">
        <v>580</v>
      </c>
      <c r="H217" s="3" t="s">
        <v>53</v>
      </c>
      <c r="I217" s="2"/>
      <c r="J217" s="16"/>
      <c r="K217" s="2"/>
      <c r="L217" s="2"/>
      <c r="M217" s="2"/>
      <c r="N217" s="2"/>
      <c r="O217" s="2"/>
      <c r="Q217" s="2"/>
    </row>
    <row r="218" spans="1:17" ht="15.75" customHeight="1">
      <c r="A218" s="2">
        <v>14744020</v>
      </c>
      <c r="B218" s="11" t="s">
        <v>3264</v>
      </c>
      <c r="C218" s="2" t="s">
        <v>126</v>
      </c>
      <c r="D218" s="2" t="s">
        <v>3265</v>
      </c>
      <c r="E218" s="2" t="s">
        <v>3266</v>
      </c>
      <c r="F218" s="2">
        <v>2003</v>
      </c>
      <c r="G218" s="2" t="s">
        <v>580</v>
      </c>
      <c r="H218" s="3" t="s">
        <v>53</v>
      </c>
      <c r="I218" s="2"/>
      <c r="J218" s="16"/>
      <c r="K218" s="2"/>
      <c r="L218" s="2"/>
      <c r="M218" s="2"/>
      <c r="N218" s="2"/>
      <c r="O218" s="2"/>
      <c r="Q218" s="2"/>
    </row>
    <row r="219" spans="1:17" ht="15.75" customHeight="1">
      <c r="A219" s="2">
        <v>30815505</v>
      </c>
      <c r="B219" s="11" t="s">
        <v>3267</v>
      </c>
      <c r="C219" s="2" t="s">
        <v>504</v>
      </c>
      <c r="D219" s="2" t="s">
        <v>3268</v>
      </c>
      <c r="E219" s="2" t="s">
        <v>3269</v>
      </c>
      <c r="F219" s="2">
        <v>2019</v>
      </c>
      <c r="G219" s="2" t="s">
        <v>580</v>
      </c>
      <c r="H219" s="3" t="s">
        <v>53</v>
      </c>
      <c r="I219" s="2"/>
      <c r="J219" s="16"/>
      <c r="K219" s="2"/>
      <c r="L219" s="2"/>
      <c r="M219" s="2"/>
      <c r="N219" s="2"/>
      <c r="O219" s="2"/>
      <c r="Q219" s="2"/>
    </row>
    <row r="220" spans="1:17" ht="15.75" customHeight="1">
      <c r="A220" s="2">
        <v>17334385</v>
      </c>
      <c r="B220" s="11" t="s">
        <v>3270</v>
      </c>
      <c r="C220" s="2" t="s">
        <v>193</v>
      </c>
      <c r="D220" s="2" t="s">
        <v>3271</v>
      </c>
      <c r="E220" s="2" t="s">
        <v>3272</v>
      </c>
      <c r="F220" s="2">
        <v>2007</v>
      </c>
      <c r="G220" s="2" t="s">
        <v>580</v>
      </c>
      <c r="H220" s="3" t="s">
        <v>53</v>
      </c>
      <c r="I220" s="2"/>
      <c r="J220" s="16"/>
      <c r="K220" s="2"/>
      <c r="L220" s="2"/>
      <c r="M220" s="2"/>
      <c r="N220" s="2"/>
      <c r="O220" s="2"/>
      <c r="Q220" s="2"/>
    </row>
    <row r="221" spans="1:17" ht="15.75" customHeight="1">
      <c r="A221" s="2">
        <v>11122137</v>
      </c>
      <c r="B221" s="11" t="s">
        <v>3273</v>
      </c>
      <c r="C221" s="2" t="s">
        <v>378</v>
      </c>
      <c r="D221" s="2" t="s">
        <v>3274</v>
      </c>
      <c r="E221" s="2" t="s">
        <v>3272</v>
      </c>
      <c r="F221" s="2">
        <v>2000</v>
      </c>
      <c r="G221" s="2" t="s">
        <v>580</v>
      </c>
      <c r="H221" s="3" t="s">
        <v>53</v>
      </c>
      <c r="I221" s="2"/>
      <c r="J221" s="16"/>
      <c r="K221" s="2"/>
      <c r="L221" s="2"/>
      <c r="M221" s="2"/>
      <c r="N221" s="2"/>
      <c r="O221" s="2"/>
      <c r="Q221" s="2"/>
    </row>
    <row r="222" spans="1:17" ht="15.75" customHeight="1">
      <c r="A222" s="2">
        <v>26046087</v>
      </c>
      <c r="B222" s="11" t="s">
        <v>3275</v>
      </c>
      <c r="C222" s="2" t="s">
        <v>550</v>
      </c>
      <c r="D222" s="2" t="s">
        <v>3276</v>
      </c>
      <c r="E222" s="2" t="s">
        <v>3277</v>
      </c>
      <c r="F222" s="2">
        <v>2015</v>
      </c>
      <c r="G222" s="2" t="s">
        <v>580</v>
      </c>
      <c r="H222" s="3" t="s">
        <v>53</v>
      </c>
      <c r="I222" s="2"/>
      <c r="J222" s="16"/>
      <c r="K222" s="2"/>
      <c r="L222" s="2"/>
      <c r="M222" s="2"/>
      <c r="N222" s="2"/>
      <c r="O222" s="2"/>
      <c r="Q222" s="2"/>
    </row>
    <row r="223" spans="1:17" ht="15.75" customHeight="1">
      <c r="A223" s="2">
        <v>10233397</v>
      </c>
      <c r="B223" s="11" t="s">
        <v>3278</v>
      </c>
      <c r="C223" s="2" t="s">
        <v>271</v>
      </c>
      <c r="D223" s="2" t="s">
        <v>3279</v>
      </c>
      <c r="E223" s="2" t="s">
        <v>3280</v>
      </c>
      <c r="F223" s="2">
        <v>1999</v>
      </c>
      <c r="G223" s="2" t="s">
        <v>580</v>
      </c>
      <c r="H223" s="3" t="s">
        <v>53</v>
      </c>
      <c r="I223" s="2"/>
      <c r="J223" s="16"/>
      <c r="K223" s="2"/>
      <c r="L223" s="2"/>
      <c r="M223" s="2"/>
      <c r="N223" s="2"/>
      <c r="O223" s="2"/>
      <c r="Q223" s="2"/>
    </row>
    <row r="224" spans="1:17" ht="15.75" customHeight="1">
      <c r="A224" s="2">
        <v>21538037</v>
      </c>
      <c r="B224" s="11" t="s">
        <v>3281</v>
      </c>
      <c r="C224" s="2" t="s">
        <v>219</v>
      </c>
      <c r="D224" s="2" t="s">
        <v>3282</v>
      </c>
      <c r="E224" s="2" t="s">
        <v>3283</v>
      </c>
      <c r="F224" s="2">
        <v>2011</v>
      </c>
      <c r="G224" s="2" t="s">
        <v>580</v>
      </c>
      <c r="H224" s="3" t="s">
        <v>53</v>
      </c>
      <c r="I224" s="2"/>
      <c r="J224" s="16"/>
      <c r="K224" s="2"/>
      <c r="L224" s="2"/>
      <c r="M224" s="2"/>
      <c r="N224" s="2"/>
      <c r="O224" s="2"/>
      <c r="Q224" s="2"/>
    </row>
    <row r="225" spans="1:17" ht="15.75" customHeight="1">
      <c r="A225" s="2">
        <v>24923536</v>
      </c>
      <c r="B225" s="11" t="s">
        <v>3284</v>
      </c>
      <c r="C225" s="2" t="s">
        <v>522</v>
      </c>
      <c r="D225" s="2" t="s">
        <v>3285</v>
      </c>
      <c r="E225" s="2" t="s">
        <v>3286</v>
      </c>
      <c r="F225" s="2">
        <v>2014</v>
      </c>
      <c r="G225" s="2" t="s">
        <v>580</v>
      </c>
      <c r="H225" s="3" t="s">
        <v>53</v>
      </c>
      <c r="I225" s="2"/>
      <c r="J225" s="16"/>
      <c r="K225" s="2"/>
      <c r="L225" s="2"/>
      <c r="M225" s="2"/>
      <c r="N225" s="2"/>
      <c r="O225" s="2"/>
      <c r="Q225" s="2"/>
    </row>
    <row r="226" spans="1:17" ht="15.75" customHeight="1">
      <c r="A226" s="2">
        <v>22018204</v>
      </c>
      <c r="B226" s="11" t="s">
        <v>3287</v>
      </c>
      <c r="C226" s="2" t="s">
        <v>510</v>
      </c>
      <c r="D226" s="2" t="s">
        <v>3288</v>
      </c>
      <c r="E226" s="2" t="s">
        <v>3289</v>
      </c>
      <c r="F226" s="2">
        <v>2011</v>
      </c>
      <c r="G226" s="2" t="s">
        <v>580</v>
      </c>
      <c r="H226" s="3" t="s">
        <v>2711</v>
      </c>
      <c r="I226" s="2"/>
      <c r="J226" s="16"/>
      <c r="K226" s="2"/>
      <c r="L226" s="2"/>
      <c r="M226" s="2"/>
      <c r="N226" s="2"/>
      <c r="O226" s="2"/>
      <c r="Q226" s="2"/>
    </row>
    <row r="227" spans="1:17" ht="15.75" customHeight="1">
      <c r="A227" s="2">
        <v>29698478</v>
      </c>
      <c r="B227" s="11" t="s">
        <v>3290</v>
      </c>
      <c r="C227" s="2" t="s">
        <v>300</v>
      </c>
      <c r="D227" s="2" t="s">
        <v>3291</v>
      </c>
      <c r="E227" s="2" t="s">
        <v>3292</v>
      </c>
      <c r="F227" s="2">
        <v>2018</v>
      </c>
      <c r="G227" s="2" t="s">
        <v>580</v>
      </c>
      <c r="H227" s="3" t="s">
        <v>53</v>
      </c>
      <c r="I227" s="2"/>
      <c r="J227" s="16"/>
      <c r="K227" s="2"/>
      <c r="L227" s="2"/>
      <c r="M227" s="2"/>
      <c r="N227" s="2"/>
      <c r="O227" s="2"/>
      <c r="Q227" s="2"/>
    </row>
    <row r="228" spans="1:17" ht="15.75" customHeight="1">
      <c r="A228" s="2">
        <v>18679368</v>
      </c>
      <c r="B228" s="11" t="s">
        <v>3293</v>
      </c>
      <c r="C228" s="2" t="s">
        <v>396</v>
      </c>
      <c r="D228" s="2" t="s">
        <v>3294</v>
      </c>
      <c r="E228" s="2" t="s">
        <v>3295</v>
      </c>
      <c r="F228" s="2">
        <v>2008</v>
      </c>
      <c r="G228" s="2" t="s">
        <v>580</v>
      </c>
      <c r="H228" s="3" t="s">
        <v>53</v>
      </c>
      <c r="I228" s="2"/>
      <c r="J228" s="16"/>
      <c r="K228" s="2"/>
      <c r="L228" s="2"/>
      <c r="M228" s="2"/>
      <c r="N228" s="2"/>
      <c r="O228" s="2"/>
      <c r="Q228" s="2"/>
    </row>
    <row r="229" spans="1:17" ht="15.75" customHeight="1">
      <c r="A229" s="2">
        <v>10505318</v>
      </c>
      <c r="B229" s="11" t="s">
        <v>3296</v>
      </c>
      <c r="C229" s="2" t="s">
        <v>183</v>
      </c>
      <c r="D229" s="2" t="s">
        <v>3297</v>
      </c>
      <c r="E229" s="2" t="s">
        <v>3298</v>
      </c>
      <c r="F229" s="2">
        <v>1999</v>
      </c>
      <c r="G229" s="2" t="s">
        <v>580</v>
      </c>
      <c r="H229" s="3" t="s">
        <v>53</v>
      </c>
      <c r="I229" s="2"/>
      <c r="J229" s="16"/>
      <c r="K229" s="2"/>
      <c r="L229" s="2"/>
      <c r="M229" s="2"/>
      <c r="N229" s="2"/>
      <c r="O229" s="2"/>
      <c r="Q229" s="2"/>
    </row>
    <row r="230" spans="1:17" ht="15.75" customHeight="1">
      <c r="A230" s="2">
        <v>32036434</v>
      </c>
      <c r="B230" s="11" t="s">
        <v>3299</v>
      </c>
      <c r="C230" s="2" t="s">
        <v>480</v>
      </c>
      <c r="D230" s="2" t="s">
        <v>3300</v>
      </c>
      <c r="E230" s="2" t="s">
        <v>3301</v>
      </c>
      <c r="F230" s="2">
        <v>2020</v>
      </c>
      <c r="G230" s="2" t="s">
        <v>580</v>
      </c>
      <c r="H230" s="3" t="s">
        <v>53</v>
      </c>
      <c r="I230" s="2"/>
      <c r="J230" s="16"/>
      <c r="K230" s="2"/>
      <c r="L230" s="2"/>
      <c r="M230" s="2"/>
      <c r="N230" s="2"/>
      <c r="O230" s="2"/>
      <c r="Q230" s="2"/>
    </row>
    <row r="231" spans="1:17" ht="15.75" customHeight="1">
      <c r="A231" s="2">
        <v>31650671</v>
      </c>
      <c r="B231" s="11" t="s">
        <v>3302</v>
      </c>
      <c r="C231" s="2" t="s">
        <v>43</v>
      </c>
      <c r="D231" s="2" t="s">
        <v>3303</v>
      </c>
      <c r="E231" s="2" t="s">
        <v>2789</v>
      </c>
      <c r="F231" s="2">
        <v>2020</v>
      </c>
      <c r="G231" s="2" t="s">
        <v>580</v>
      </c>
      <c r="H231" s="3" t="s">
        <v>53</v>
      </c>
      <c r="I231" s="2"/>
      <c r="J231" s="16"/>
      <c r="K231" s="2"/>
      <c r="L231" s="2"/>
      <c r="M231" s="2"/>
      <c r="N231" s="2"/>
      <c r="O231" s="2"/>
      <c r="Q231" s="2"/>
    </row>
    <row r="232" spans="1:17" ht="15.75" customHeight="1">
      <c r="A232" s="2">
        <v>28207973</v>
      </c>
      <c r="B232" s="11" t="s">
        <v>3304</v>
      </c>
      <c r="C232" s="2" t="s">
        <v>370</v>
      </c>
      <c r="D232" s="2" t="s">
        <v>3305</v>
      </c>
      <c r="E232" s="2" t="s">
        <v>3306</v>
      </c>
      <c r="F232" s="2">
        <v>2017</v>
      </c>
      <c r="G232" s="2" t="s">
        <v>580</v>
      </c>
      <c r="H232" s="3" t="s">
        <v>53</v>
      </c>
      <c r="I232" s="2"/>
      <c r="J232" s="16"/>
      <c r="K232" s="2"/>
      <c r="L232" s="2"/>
      <c r="M232" s="2"/>
      <c r="N232" s="2"/>
      <c r="O232" s="2"/>
      <c r="Q232" s="2"/>
    </row>
    <row r="233" spans="1:17" ht="15.75" customHeight="1">
      <c r="A233" s="2">
        <v>11438822</v>
      </c>
      <c r="B233" s="11" t="s">
        <v>3307</v>
      </c>
      <c r="C233" s="2" t="s">
        <v>181</v>
      </c>
      <c r="D233" s="2" t="s">
        <v>3308</v>
      </c>
      <c r="E233" s="2" t="s">
        <v>3309</v>
      </c>
      <c r="F233" s="2">
        <v>2001</v>
      </c>
      <c r="G233" s="2" t="s">
        <v>580</v>
      </c>
      <c r="H233" s="3" t="s">
        <v>53</v>
      </c>
      <c r="I233" s="2"/>
      <c r="J233" s="16"/>
      <c r="K233" s="2"/>
      <c r="L233" s="2"/>
      <c r="M233" s="2"/>
      <c r="N233" s="2"/>
      <c r="O233" s="2"/>
      <c r="Q233" s="2"/>
    </row>
    <row r="234" spans="1:17" ht="15.75" customHeight="1">
      <c r="A234" s="2">
        <v>20685258</v>
      </c>
      <c r="B234" s="11" t="s">
        <v>3310</v>
      </c>
      <c r="C234" s="2" t="s">
        <v>420</v>
      </c>
      <c r="D234" s="2" t="s">
        <v>3311</v>
      </c>
      <c r="E234" s="2" t="s">
        <v>3312</v>
      </c>
      <c r="F234" s="2">
        <v>2010</v>
      </c>
      <c r="G234" s="2" t="s">
        <v>580</v>
      </c>
      <c r="H234" s="3" t="s">
        <v>53</v>
      </c>
      <c r="I234" s="2"/>
      <c r="J234" s="16"/>
      <c r="K234" s="2"/>
      <c r="L234" s="2"/>
      <c r="M234" s="2"/>
      <c r="N234" s="2"/>
      <c r="O234" s="2"/>
      <c r="Q234" s="2"/>
    </row>
    <row r="235" spans="1:17" ht="15.75" customHeight="1">
      <c r="A235" s="2">
        <v>10568761</v>
      </c>
      <c r="B235" s="11" t="s">
        <v>3313</v>
      </c>
      <c r="C235" s="2" t="s">
        <v>138</v>
      </c>
      <c r="D235" s="2" t="s">
        <v>3314</v>
      </c>
      <c r="E235" s="2" t="s">
        <v>3315</v>
      </c>
      <c r="F235" s="2">
        <v>2000</v>
      </c>
      <c r="G235" s="2" t="s">
        <v>580</v>
      </c>
      <c r="H235" s="3" t="s">
        <v>53</v>
      </c>
      <c r="I235" s="2"/>
      <c r="J235" s="16"/>
      <c r="K235" s="2"/>
      <c r="L235" s="2"/>
      <c r="M235" s="2"/>
      <c r="N235" s="2"/>
      <c r="O235" s="2"/>
      <c r="Q235" s="2"/>
    </row>
    <row r="236" spans="1:17" ht="15.75" customHeight="1">
      <c r="A236" s="2">
        <v>28501929</v>
      </c>
      <c r="B236" s="11" t="s">
        <v>3316</v>
      </c>
      <c r="C236" s="2" t="s">
        <v>422</v>
      </c>
      <c r="D236" s="2" t="s">
        <v>3317</v>
      </c>
      <c r="E236" s="2" t="s">
        <v>3318</v>
      </c>
      <c r="F236" s="2">
        <v>2017</v>
      </c>
      <c r="G236" s="2" t="s">
        <v>580</v>
      </c>
      <c r="H236" s="3" t="s">
        <v>53</v>
      </c>
      <c r="I236" s="2"/>
      <c r="J236" s="16"/>
      <c r="K236" s="2"/>
      <c r="L236" s="2"/>
      <c r="M236" s="2"/>
      <c r="N236" s="2"/>
      <c r="O236" s="2"/>
      <c r="Q236" s="2"/>
    </row>
    <row r="237" spans="1:17" ht="15.75" customHeight="1">
      <c r="A237" s="2">
        <v>32386102</v>
      </c>
      <c r="B237" s="11" t="s">
        <v>3319</v>
      </c>
      <c r="C237" s="2" t="s">
        <v>498</v>
      </c>
      <c r="D237" s="2" t="s">
        <v>3320</v>
      </c>
      <c r="E237" s="2" t="s">
        <v>3321</v>
      </c>
      <c r="F237" s="2">
        <v>2020</v>
      </c>
      <c r="G237" s="2" t="s">
        <v>580</v>
      </c>
      <c r="H237" s="3" t="s">
        <v>53</v>
      </c>
      <c r="I237" s="2"/>
      <c r="J237" s="16"/>
      <c r="K237" s="2"/>
      <c r="L237" s="2"/>
      <c r="M237" s="2"/>
      <c r="N237" s="2"/>
      <c r="O237" s="2"/>
      <c r="Q237" s="2"/>
    </row>
    <row r="238" spans="1:17" ht="15.75" customHeight="1">
      <c r="A238" s="2">
        <v>29494951</v>
      </c>
      <c r="B238" s="11" t="s">
        <v>3322</v>
      </c>
      <c r="C238" s="2" t="s">
        <v>273</v>
      </c>
      <c r="D238" s="2" t="s">
        <v>3323</v>
      </c>
      <c r="E238" s="2" t="s">
        <v>3324</v>
      </c>
      <c r="F238" s="2">
        <v>2018</v>
      </c>
      <c r="G238" s="2" t="s">
        <v>580</v>
      </c>
      <c r="H238" s="3" t="s">
        <v>53</v>
      </c>
      <c r="I238" s="2"/>
      <c r="J238" s="16"/>
      <c r="K238" s="2"/>
      <c r="L238" s="2"/>
      <c r="M238" s="2"/>
      <c r="N238" s="2"/>
      <c r="O238" s="2"/>
      <c r="Q238" s="2"/>
    </row>
    <row r="239" spans="1:17" ht="15.75" customHeight="1">
      <c r="A239" s="2">
        <v>31063196</v>
      </c>
      <c r="B239" s="11" t="s">
        <v>3325</v>
      </c>
      <c r="C239" s="2" t="s">
        <v>83</v>
      </c>
      <c r="D239" s="2" t="s">
        <v>3326</v>
      </c>
      <c r="E239" s="2" t="s">
        <v>3327</v>
      </c>
      <c r="F239" s="2">
        <v>2019</v>
      </c>
      <c r="G239" s="2" t="s">
        <v>580</v>
      </c>
      <c r="H239" s="3" t="s">
        <v>53</v>
      </c>
      <c r="I239" s="2"/>
      <c r="J239" s="16"/>
      <c r="K239" s="2"/>
      <c r="L239" s="2"/>
      <c r="M239" s="2"/>
      <c r="N239" s="2"/>
      <c r="O239" s="2"/>
      <c r="Q239" s="2"/>
    </row>
    <row r="240" spans="1:17" ht="15.75" customHeight="1">
      <c r="A240" s="2">
        <v>29178248</v>
      </c>
      <c r="B240" s="11" t="s">
        <v>3328</v>
      </c>
      <c r="C240" s="2" t="s">
        <v>514</v>
      </c>
      <c r="D240" s="2" t="s">
        <v>3329</v>
      </c>
      <c r="E240" s="2" t="s">
        <v>3330</v>
      </c>
      <c r="F240" s="2">
        <v>2018</v>
      </c>
      <c r="G240" s="2" t="s">
        <v>580</v>
      </c>
      <c r="H240" s="3" t="s">
        <v>53</v>
      </c>
      <c r="I240" s="2"/>
      <c r="J240" s="16"/>
      <c r="K240" s="2"/>
      <c r="L240" s="2"/>
      <c r="M240" s="2"/>
      <c r="N240" s="2"/>
      <c r="O240" s="2"/>
      <c r="Q240" s="2"/>
    </row>
    <row r="241" spans="1:17" ht="15.75" customHeight="1">
      <c r="A241" s="2">
        <v>17110691</v>
      </c>
      <c r="B241" s="11" t="s">
        <v>3331</v>
      </c>
      <c r="C241" s="2" t="s">
        <v>358</v>
      </c>
      <c r="D241" s="2" t="s">
        <v>3332</v>
      </c>
      <c r="E241" s="2" t="s">
        <v>3333</v>
      </c>
      <c r="F241" s="2">
        <v>2006</v>
      </c>
      <c r="G241" s="2" t="s">
        <v>580</v>
      </c>
      <c r="H241" s="3" t="s">
        <v>53</v>
      </c>
      <c r="I241" s="2"/>
      <c r="J241" s="16"/>
      <c r="K241" s="2"/>
      <c r="L241" s="2"/>
      <c r="M241" s="2"/>
      <c r="N241" s="2"/>
      <c r="O241" s="2"/>
      <c r="Q241" s="2"/>
    </row>
    <row r="242" spans="1:17" ht="15.75" customHeight="1">
      <c r="A242" s="2">
        <v>33217174</v>
      </c>
      <c r="B242" s="11" t="s">
        <v>3334</v>
      </c>
      <c r="C242" s="2" t="s">
        <v>112</v>
      </c>
      <c r="D242" s="2" t="s">
        <v>3335</v>
      </c>
      <c r="E242" s="2" t="s">
        <v>3336</v>
      </c>
      <c r="F242" s="2">
        <v>2020</v>
      </c>
      <c r="G242" s="2" t="s">
        <v>580</v>
      </c>
      <c r="H242" s="3" t="s">
        <v>53</v>
      </c>
      <c r="I242" s="2"/>
      <c r="J242" s="16"/>
      <c r="K242" s="2"/>
      <c r="L242" s="2"/>
      <c r="M242" s="2"/>
      <c r="N242" s="2"/>
      <c r="O242" s="2"/>
      <c r="Q242" s="2"/>
    </row>
    <row r="243" spans="1:17" ht="15.75" customHeight="1">
      <c r="A243" s="2">
        <v>16323134</v>
      </c>
      <c r="B243" s="11" t="s">
        <v>3337</v>
      </c>
      <c r="C243" s="2" t="s">
        <v>144</v>
      </c>
      <c r="D243" s="2" t="s">
        <v>3338</v>
      </c>
      <c r="E243" s="2" t="s">
        <v>3336</v>
      </c>
      <c r="F243" s="2">
        <v>2006</v>
      </c>
      <c r="G243" s="2" t="s">
        <v>580</v>
      </c>
      <c r="H243" s="3" t="s">
        <v>53</v>
      </c>
      <c r="I243" s="2"/>
      <c r="J243" s="16"/>
      <c r="K243" s="2"/>
      <c r="L243" s="2"/>
      <c r="M243" s="2"/>
      <c r="N243" s="2"/>
      <c r="O243" s="2"/>
      <c r="Q243" s="2"/>
    </row>
    <row r="244" spans="1:17" ht="15.75" customHeight="1">
      <c r="A244" s="2">
        <v>28783148</v>
      </c>
      <c r="B244" s="11" t="s">
        <v>3339</v>
      </c>
      <c r="C244" s="2" t="s">
        <v>328</v>
      </c>
      <c r="D244" s="2" t="s">
        <v>3340</v>
      </c>
      <c r="E244" s="2" t="s">
        <v>3336</v>
      </c>
      <c r="F244" s="2">
        <v>2017</v>
      </c>
      <c r="G244" s="2" t="s">
        <v>580</v>
      </c>
      <c r="H244" s="3" t="s">
        <v>53</v>
      </c>
      <c r="I244" s="2"/>
      <c r="J244" s="16"/>
      <c r="K244" s="2"/>
      <c r="L244" s="2"/>
      <c r="M244" s="2"/>
      <c r="N244" s="2"/>
      <c r="O244" s="2"/>
      <c r="Q244" s="2"/>
    </row>
    <row r="245" spans="1:17" ht="15.75" customHeight="1">
      <c r="A245" s="2">
        <v>22750998</v>
      </c>
      <c r="B245" s="11" t="s">
        <v>3341</v>
      </c>
      <c r="C245" s="2" t="s">
        <v>388</v>
      </c>
      <c r="D245" s="2" t="s">
        <v>3342</v>
      </c>
      <c r="E245" s="2" t="s">
        <v>3336</v>
      </c>
      <c r="F245" s="2">
        <v>2013</v>
      </c>
      <c r="G245" s="2" t="s">
        <v>580</v>
      </c>
      <c r="H245" s="3" t="s">
        <v>53</v>
      </c>
      <c r="I245" s="2"/>
      <c r="J245" s="16"/>
      <c r="K245" s="2"/>
      <c r="L245" s="2"/>
      <c r="M245" s="2"/>
      <c r="N245" s="2"/>
      <c r="O245" s="2"/>
      <c r="Q245" s="2"/>
    </row>
    <row r="246" spans="1:17" ht="15.75" customHeight="1">
      <c r="A246" s="2">
        <v>23723198</v>
      </c>
      <c r="B246" s="11" t="s">
        <v>3343</v>
      </c>
      <c r="C246" s="2" t="s">
        <v>286</v>
      </c>
      <c r="D246" s="2" t="s">
        <v>3344</v>
      </c>
      <c r="E246" s="2" t="s">
        <v>3336</v>
      </c>
      <c r="F246" s="2">
        <v>2013</v>
      </c>
      <c r="G246" s="2" t="s">
        <v>580</v>
      </c>
      <c r="H246" s="3" t="s">
        <v>53</v>
      </c>
      <c r="I246" s="2"/>
      <c r="J246" s="16"/>
      <c r="K246" s="2"/>
      <c r="L246" s="2"/>
      <c r="M246" s="2"/>
      <c r="N246" s="2"/>
      <c r="O246" s="2"/>
      <c r="Q246" s="2"/>
    </row>
    <row r="247" spans="1:17" ht="15.75" customHeight="1">
      <c r="A247" s="2">
        <v>18037945</v>
      </c>
      <c r="B247" s="11" t="s">
        <v>3345</v>
      </c>
      <c r="C247" s="2" t="s">
        <v>209</v>
      </c>
      <c r="D247" s="2" t="s">
        <v>3346</v>
      </c>
      <c r="E247" s="2" t="s">
        <v>3336</v>
      </c>
      <c r="F247" s="2">
        <v>2008</v>
      </c>
      <c r="G247" s="2" t="s">
        <v>580</v>
      </c>
      <c r="H247" s="3" t="s">
        <v>53</v>
      </c>
      <c r="I247" s="2"/>
      <c r="J247" s="16"/>
      <c r="K247" s="2"/>
      <c r="L247" s="2"/>
      <c r="M247" s="2"/>
      <c r="N247" s="2"/>
      <c r="O247" s="2"/>
      <c r="Q247" s="2"/>
    </row>
    <row r="248" spans="1:17" ht="15.75" customHeight="1">
      <c r="A248" s="2">
        <v>19465942</v>
      </c>
      <c r="B248" s="11" t="s">
        <v>3347</v>
      </c>
      <c r="C248" s="2" t="s">
        <v>394</v>
      </c>
      <c r="D248" s="2" t="s">
        <v>3348</v>
      </c>
      <c r="E248" s="2" t="s">
        <v>3336</v>
      </c>
      <c r="F248" s="2">
        <v>2010</v>
      </c>
      <c r="G248" s="2" t="s">
        <v>580</v>
      </c>
      <c r="H248" s="3" t="s">
        <v>53</v>
      </c>
      <c r="I248" s="2"/>
      <c r="J248" s="16"/>
      <c r="K248" s="2"/>
      <c r="L248" s="2"/>
      <c r="M248" s="2"/>
      <c r="N248" s="2"/>
      <c r="O248" s="2"/>
      <c r="Q248" s="2"/>
    </row>
    <row r="249" spans="1:17" ht="15.75" customHeight="1">
      <c r="A249" s="2">
        <v>29454651</v>
      </c>
      <c r="B249" s="11" t="s">
        <v>3349</v>
      </c>
      <c r="C249" s="2" t="s">
        <v>288</v>
      </c>
      <c r="D249" s="2" t="s">
        <v>3350</v>
      </c>
      <c r="E249" s="2" t="s">
        <v>3336</v>
      </c>
      <c r="F249" s="2">
        <v>2018</v>
      </c>
      <c r="G249" s="2" t="s">
        <v>580</v>
      </c>
      <c r="H249" s="3" t="s">
        <v>53</v>
      </c>
      <c r="I249" s="2"/>
      <c r="J249" s="7"/>
    </row>
    <row r="250" spans="1:17" ht="15.75" customHeight="1">
      <c r="A250" s="2">
        <v>24548875</v>
      </c>
      <c r="B250" s="11" t="s">
        <v>3351</v>
      </c>
      <c r="C250" s="2" t="s">
        <v>330</v>
      </c>
      <c r="D250" s="2" t="s">
        <v>3352</v>
      </c>
      <c r="E250" s="2" t="s">
        <v>3353</v>
      </c>
      <c r="F250" s="2">
        <v>2014</v>
      </c>
      <c r="G250" s="2" t="s">
        <v>580</v>
      </c>
      <c r="H250" s="3" t="s">
        <v>53</v>
      </c>
      <c r="I250" s="2"/>
      <c r="J250" s="7"/>
    </row>
    <row r="251" spans="1:17" ht="15.75" customHeight="1">
      <c r="A251" s="2">
        <v>32004700</v>
      </c>
      <c r="B251" s="11" t="s">
        <v>3354</v>
      </c>
      <c r="C251" s="2" t="s">
        <v>558</v>
      </c>
      <c r="D251" s="2" t="s">
        <v>3355</v>
      </c>
      <c r="E251" s="2" t="s">
        <v>3356</v>
      </c>
      <c r="F251" s="2">
        <v>2020</v>
      </c>
      <c r="G251" s="2" t="s">
        <v>580</v>
      </c>
      <c r="H251" s="3" t="s">
        <v>53</v>
      </c>
      <c r="I251" s="2"/>
      <c r="J251" s="7"/>
    </row>
    <row r="252" spans="1:17" ht="15.75" customHeight="1">
      <c r="A252" s="2">
        <v>31782875</v>
      </c>
      <c r="B252" s="11" t="s">
        <v>3357</v>
      </c>
      <c r="C252" s="2" t="s">
        <v>568</v>
      </c>
      <c r="D252" s="2" t="s">
        <v>3358</v>
      </c>
      <c r="E252" s="2" t="s">
        <v>3359</v>
      </c>
      <c r="F252" s="2">
        <v>2020</v>
      </c>
      <c r="G252" s="2" t="s">
        <v>580</v>
      </c>
      <c r="H252" s="3" t="s">
        <v>53</v>
      </c>
      <c r="I252" s="2"/>
      <c r="J252" s="7"/>
    </row>
    <row r="253" spans="1:17" ht="15.75" customHeight="1">
      <c r="A253" s="2">
        <v>28939451</v>
      </c>
      <c r="B253" s="11" t="s">
        <v>3360</v>
      </c>
      <c r="C253" s="2" t="s">
        <v>526</v>
      </c>
      <c r="D253" s="2" t="s">
        <v>3361</v>
      </c>
      <c r="E253" s="2" t="s">
        <v>3362</v>
      </c>
      <c r="F253" s="2">
        <v>2018</v>
      </c>
      <c r="G253" s="2" t="s">
        <v>580</v>
      </c>
      <c r="H253" s="3" t="s">
        <v>53</v>
      </c>
      <c r="I253" s="2"/>
      <c r="J253" s="7"/>
    </row>
    <row r="254" spans="1:17" ht="15.75" customHeight="1">
      <c r="A254" s="2">
        <v>32860467</v>
      </c>
      <c r="B254" s="11" t="s">
        <v>3363</v>
      </c>
      <c r="C254" s="2" t="s">
        <v>40</v>
      </c>
      <c r="D254" s="2" t="s">
        <v>3364</v>
      </c>
      <c r="E254" s="2" t="s">
        <v>3362</v>
      </c>
      <c r="F254" s="2">
        <v>2020</v>
      </c>
      <c r="G254" s="2" t="s">
        <v>580</v>
      </c>
      <c r="H254" s="3" t="s">
        <v>53</v>
      </c>
      <c r="I254" s="2"/>
      <c r="J254" s="7"/>
    </row>
    <row r="255" spans="1:17" ht="15.75" customHeight="1">
      <c r="A255" s="2">
        <v>17448218</v>
      </c>
      <c r="B255" s="11" t="s">
        <v>3365</v>
      </c>
      <c r="C255" s="2" t="s">
        <v>356</v>
      </c>
      <c r="D255" s="2" t="s">
        <v>3366</v>
      </c>
      <c r="E255" s="2" t="s">
        <v>3367</v>
      </c>
      <c r="F255" s="2">
        <v>2007</v>
      </c>
      <c r="G255" s="2" t="s">
        <v>580</v>
      </c>
      <c r="H255" s="3" t="s">
        <v>53</v>
      </c>
      <c r="I255" s="2"/>
      <c r="J255" s="7"/>
    </row>
    <row r="256" spans="1:17" ht="15.75" customHeight="1">
      <c r="A256" s="2">
        <v>24407957</v>
      </c>
      <c r="B256" s="11" t="s">
        <v>3368</v>
      </c>
      <c r="C256" s="2" t="s">
        <v>284</v>
      </c>
      <c r="D256" s="2" t="s">
        <v>3369</v>
      </c>
      <c r="E256" s="2" t="s">
        <v>3370</v>
      </c>
      <c r="F256" s="2">
        <v>2015</v>
      </c>
      <c r="G256" s="2" t="s">
        <v>580</v>
      </c>
      <c r="H256" s="3" t="s">
        <v>2730</v>
      </c>
      <c r="J256" s="7"/>
    </row>
    <row r="257" spans="1:10" ht="15.75" customHeight="1">
      <c r="A257" s="4">
        <v>38243840</v>
      </c>
      <c r="B257" s="53" t="s">
        <v>3625</v>
      </c>
      <c r="E257" s="1" t="s">
        <v>3616</v>
      </c>
      <c r="F257" s="4">
        <v>2024</v>
      </c>
      <c r="G257" s="2" t="s">
        <v>580</v>
      </c>
      <c r="H257" s="3" t="s">
        <v>53</v>
      </c>
      <c r="J257" s="7"/>
    </row>
    <row r="258" spans="1:10" ht="15.75" customHeight="1">
      <c r="J258" s="7"/>
    </row>
    <row r="259" spans="1:10" ht="15.75" customHeight="1">
      <c r="J259" s="7"/>
    </row>
    <row r="260" spans="1:10" ht="15.75" customHeight="1">
      <c r="J260" s="7"/>
    </row>
    <row r="261" spans="1:10" ht="15.75" customHeight="1">
      <c r="J261" s="7"/>
    </row>
    <row r="262" spans="1:10" ht="15.75" customHeight="1">
      <c r="J262" s="7"/>
    </row>
    <row r="263" spans="1:10" ht="15.75" customHeight="1">
      <c r="J263" s="7"/>
    </row>
    <row r="264" spans="1:10" ht="15.75" customHeight="1">
      <c r="J264" s="7"/>
    </row>
    <row r="265" spans="1:10" ht="15.75" customHeight="1">
      <c r="J265" s="7"/>
    </row>
    <row r="266" spans="1:10" ht="15.75" customHeight="1">
      <c r="J266" s="7"/>
    </row>
    <row r="267" spans="1:10" ht="15.75" customHeight="1">
      <c r="J267" s="7"/>
    </row>
    <row r="268" spans="1:10" ht="15.75" customHeight="1">
      <c r="J268" s="7"/>
    </row>
    <row r="269" spans="1:10" ht="15.75" customHeight="1">
      <c r="J269" s="7"/>
    </row>
    <row r="270" spans="1:10" ht="15.75" customHeight="1">
      <c r="J270" s="7"/>
    </row>
    <row r="271" spans="1:10" ht="15.75" customHeight="1">
      <c r="J271" s="7"/>
    </row>
    <row r="272" spans="1: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sheetData>
  <sortState xmlns:xlrd2="http://schemas.microsoft.com/office/spreadsheetml/2017/richdata2" ref="V69:V82">
    <sortCondition descending="1" ref="V69:V82"/>
  </sortState>
  <mergeCells count="10">
    <mergeCell ref="U68:U71"/>
    <mergeCell ref="U57:U67"/>
    <mergeCell ref="U6:U8"/>
    <mergeCell ref="U41:U45"/>
    <mergeCell ref="U9:U10"/>
    <mergeCell ref="U11:U22"/>
    <mergeCell ref="U48:U52"/>
    <mergeCell ref="U53:U56"/>
    <mergeCell ref="U23:U38"/>
    <mergeCell ref="U39:U40"/>
  </mergeCells>
  <hyperlinks>
    <hyperlink ref="B257" r:id="rId1" display="https://pubmed.ncbi.nlm.nih.gov/37532126" xr:uid="{C2E89409-82CC-694E-BC89-F79E695BE70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021"/>
  <sheetViews>
    <sheetView tabSelected="1" zoomScale="120" zoomScaleNormal="120" workbookViewId="0">
      <pane xSplit="4" ySplit="1" topLeftCell="AZ6" activePane="bottomRight" state="frozen"/>
      <selection pane="topRight" activeCell="E1" sqref="E1"/>
      <selection pane="bottomLeft" activeCell="A2" sqref="A2"/>
      <selection pane="bottomRight" activeCell="BM42" sqref="BM42"/>
    </sheetView>
  </sheetViews>
  <sheetFormatPr baseColWidth="10" defaultColWidth="11.1640625" defaultRowHeight="15" customHeight="1"/>
  <cols>
    <col min="1" max="1" width="9.5" customWidth="1"/>
    <col min="2" max="2" width="7.83203125" customWidth="1"/>
    <col min="3" max="3" width="8.6640625" customWidth="1"/>
    <col min="4" max="4" width="16.6640625" customWidth="1"/>
    <col min="5" max="6" width="9.33203125" customWidth="1"/>
    <col min="7" max="7" width="15" customWidth="1"/>
    <col min="8" max="8" width="9.5" customWidth="1"/>
    <col min="9" max="9" width="11.5" customWidth="1"/>
    <col min="10" max="10" width="6.6640625" customWidth="1"/>
    <col min="11" max="12" width="8.1640625" customWidth="1"/>
    <col min="13" max="13" width="8.6640625" customWidth="1"/>
    <col min="14" max="15" width="9.33203125" customWidth="1"/>
    <col min="16" max="16" width="6" customWidth="1"/>
    <col min="17" max="17" width="7.5" customWidth="1"/>
    <col min="18" max="18" width="4.83203125" customWidth="1"/>
    <col min="19" max="19" width="5.5" customWidth="1"/>
    <col min="20" max="20" width="7.5" customWidth="1"/>
    <col min="21" max="21" width="11.5" customWidth="1"/>
    <col min="22" max="22" width="7" customWidth="1"/>
    <col min="23" max="23" width="12.6640625" customWidth="1"/>
    <col min="24" max="24" width="8.83203125" customWidth="1"/>
    <col min="25" max="25" width="15" customWidth="1"/>
    <col min="26" max="26" width="12.5" customWidth="1"/>
    <col min="27" max="27" width="11" customWidth="1"/>
    <col min="28" max="29" width="10.33203125" customWidth="1"/>
    <col min="30" max="30" width="10.83203125" customWidth="1"/>
    <col min="31" max="32" width="11.6640625" customWidth="1"/>
    <col min="33" max="33" width="18.83203125" customWidth="1"/>
    <col min="34" max="34" width="17.83203125" customWidth="1"/>
    <col min="35" max="35" width="14.1640625" customWidth="1"/>
    <col min="36" max="36" width="18.1640625" customWidth="1"/>
    <col min="37" max="37" width="13" customWidth="1"/>
    <col min="38" max="38" width="10.6640625" customWidth="1"/>
    <col min="39" max="39" width="9.1640625" style="74" customWidth="1"/>
    <col min="40" max="40" width="18.1640625" style="25" customWidth="1"/>
    <col min="41" max="41" width="11.6640625" style="25" customWidth="1"/>
    <col min="42" max="42" width="12.5" style="25" customWidth="1"/>
    <col min="43" max="43" width="11.6640625" style="25" customWidth="1"/>
    <col min="44" max="45" width="17.1640625" style="25" customWidth="1"/>
    <col min="47" max="47" width="18" customWidth="1"/>
    <col min="49" max="50" width="13.1640625" customWidth="1"/>
    <col min="58" max="58" width="7.1640625" customWidth="1"/>
    <col min="59" max="59" width="6.33203125" customWidth="1"/>
  </cols>
  <sheetData>
    <row r="1" spans="1:65" s="76" customFormat="1" ht="50" customHeight="1">
      <c r="A1" s="75" t="s">
        <v>0</v>
      </c>
      <c r="B1" s="75" t="s">
        <v>3371</v>
      </c>
      <c r="C1" s="75" t="s">
        <v>3372</v>
      </c>
      <c r="D1" s="75" t="s">
        <v>3373</v>
      </c>
      <c r="E1" s="75" t="s">
        <v>3374</v>
      </c>
      <c r="F1" s="75" t="s">
        <v>5</v>
      </c>
      <c r="G1" s="75" t="s">
        <v>3375</v>
      </c>
      <c r="H1" s="75" t="s">
        <v>3376</v>
      </c>
      <c r="I1" s="75" t="s">
        <v>3377</v>
      </c>
      <c r="J1" s="75" t="s">
        <v>3642</v>
      </c>
      <c r="K1" s="75" t="s">
        <v>3378</v>
      </c>
      <c r="L1" s="75" t="s">
        <v>3379</v>
      </c>
      <c r="M1" s="75" t="s">
        <v>3380</v>
      </c>
      <c r="N1" s="75" t="s">
        <v>3381</v>
      </c>
      <c r="O1" s="75" t="s">
        <v>3651</v>
      </c>
      <c r="P1" s="75" t="s">
        <v>6</v>
      </c>
      <c r="Q1" s="75" t="s">
        <v>3382</v>
      </c>
      <c r="R1" s="75" t="s">
        <v>3383</v>
      </c>
      <c r="S1" s="75" t="s">
        <v>3384</v>
      </c>
      <c r="T1" s="75" t="s">
        <v>3385</v>
      </c>
      <c r="U1" s="75" t="s">
        <v>3645</v>
      </c>
      <c r="V1" s="75" t="s">
        <v>3386</v>
      </c>
      <c r="W1" s="75" t="s">
        <v>3387</v>
      </c>
      <c r="X1" s="75" t="s">
        <v>3388</v>
      </c>
      <c r="Y1" s="75" t="s">
        <v>3389</v>
      </c>
      <c r="Z1" s="71" t="s">
        <v>3657</v>
      </c>
      <c r="AA1" s="71" t="s">
        <v>3665</v>
      </c>
      <c r="AB1" s="71" t="s">
        <v>3666</v>
      </c>
      <c r="AC1" s="77" t="s">
        <v>3667</v>
      </c>
      <c r="AD1" s="77" t="s">
        <v>3668</v>
      </c>
      <c r="AE1" s="77" t="s">
        <v>3669</v>
      </c>
      <c r="AF1" s="77" t="s">
        <v>3675</v>
      </c>
      <c r="AG1" s="77" t="s">
        <v>3677</v>
      </c>
      <c r="AH1" s="77" t="s">
        <v>3676</v>
      </c>
      <c r="AI1" s="77" t="s">
        <v>3670</v>
      </c>
      <c r="AJ1" s="77" t="s">
        <v>3672</v>
      </c>
      <c r="AK1" s="77" t="s">
        <v>3671</v>
      </c>
      <c r="AL1" s="77" t="s">
        <v>3673</v>
      </c>
      <c r="AM1" s="71" t="s">
        <v>3660</v>
      </c>
      <c r="AN1" s="71" t="s">
        <v>3702</v>
      </c>
      <c r="AO1" s="71" t="s">
        <v>3658</v>
      </c>
      <c r="AP1" s="124" t="s">
        <v>3708</v>
      </c>
      <c r="AQ1" s="124" t="s">
        <v>3709</v>
      </c>
      <c r="AR1" s="124" t="s">
        <v>3710</v>
      </c>
      <c r="AS1" s="124" t="s">
        <v>3711</v>
      </c>
      <c r="AT1" s="124" t="s">
        <v>3712</v>
      </c>
      <c r="AU1" s="124" t="s">
        <v>3713</v>
      </c>
      <c r="AV1" s="124" t="s">
        <v>3714</v>
      </c>
      <c r="AW1" s="124" t="s">
        <v>3715</v>
      </c>
      <c r="AX1" s="124" t="s">
        <v>3716</v>
      </c>
      <c r="AY1" s="124" t="s">
        <v>3717</v>
      </c>
      <c r="AZ1" s="124" t="s">
        <v>3718</v>
      </c>
      <c r="BA1" s="124" t="s">
        <v>3719</v>
      </c>
      <c r="BB1" s="124" t="s">
        <v>3720</v>
      </c>
      <c r="BC1" s="124" t="s">
        <v>3721</v>
      </c>
      <c r="BD1" s="124" t="s">
        <v>3722</v>
      </c>
      <c r="BE1" s="124" t="s">
        <v>3723</v>
      </c>
      <c r="BF1" s="124" t="s">
        <v>3724</v>
      </c>
      <c r="BG1" s="124" t="s">
        <v>3725</v>
      </c>
      <c r="BH1" s="75" t="s">
        <v>3748</v>
      </c>
      <c r="BI1" s="75" t="s">
        <v>3749</v>
      </c>
      <c r="BJ1" s="75" t="s">
        <v>3750</v>
      </c>
      <c r="BK1" s="75" t="s">
        <v>3751</v>
      </c>
      <c r="BL1" s="75" t="s">
        <v>3756</v>
      </c>
      <c r="BM1" s="75" t="s">
        <v>3763</v>
      </c>
    </row>
    <row r="2" spans="1:65" ht="15.75" customHeight="1">
      <c r="A2" s="29">
        <v>28392330</v>
      </c>
      <c r="B2" s="29" t="s">
        <v>3390</v>
      </c>
      <c r="C2" s="31" t="s">
        <v>2636</v>
      </c>
      <c r="D2" s="29" t="s">
        <v>3391</v>
      </c>
      <c r="E2" s="29" t="s">
        <v>10</v>
      </c>
      <c r="F2" s="29"/>
      <c r="G2" s="29" t="s">
        <v>3392</v>
      </c>
      <c r="H2" s="29" t="s">
        <v>3393</v>
      </c>
      <c r="I2" s="92" t="s">
        <v>3394</v>
      </c>
      <c r="J2" s="29">
        <v>273</v>
      </c>
      <c r="K2" s="29">
        <v>74</v>
      </c>
      <c r="L2" s="29">
        <v>199</v>
      </c>
      <c r="M2" s="29">
        <v>31</v>
      </c>
      <c r="N2" s="29">
        <v>55</v>
      </c>
      <c r="O2" s="60">
        <f>SUM(M2:N2)/SUM(K2:L2)</f>
        <v>0.31501831501831501</v>
      </c>
      <c r="P2" s="29" t="s">
        <v>3397</v>
      </c>
      <c r="Q2" s="29">
        <v>8.4</v>
      </c>
      <c r="R2" s="29">
        <v>0.1</v>
      </c>
      <c r="S2" s="29">
        <v>22.7</v>
      </c>
      <c r="T2" s="57" t="s">
        <v>3395</v>
      </c>
      <c r="U2" s="57" t="s">
        <v>3646</v>
      </c>
      <c r="V2" s="29" t="s">
        <v>3596</v>
      </c>
      <c r="W2" s="29" t="s">
        <v>3396</v>
      </c>
      <c r="X2" s="92" t="s">
        <v>3408</v>
      </c>
      <c r="Y2" s="29">
        <v>1000</v>
      </c>
      <c r="Z2" s="70" t="s">
        <v>3659</v>
      </c>
      <c r="AA2" s="70">
        <v>0</v>
      </c>
      <c r="AB2" s="70">
        <v>0</v>
      </c>
      <c r="AC2" s="70">
        <v>0</v>
      </c>
      <c r="AD2" s="70">
        <v>0</v>
      </c>
      <c r="AE2" s="70">
        <v>0</v>
      </c>
      <c r="AF2" s="70">
        <v>0</v>
      </c>
      <c r="AG2" s="70">
        <v>0</v>
      </c>
      <c r="AH2" s="65">
        <v>0</v>
      </c>
      <c r="AI2" s="70">
        <v>0</v>
      </c>
      <c r="AJ2" s="72">
        <v>145</v>
      </c>
      <c r="AK2" s="72">
        <v>126</v>
      </c>
      <c r="AL2" s="72">
        <v>0</v>
      </c>
      <c r="AM2" s="23">
        <f>6*30</f>
        <v>180</v>
      </c>
      <c r="AN2" s="63" t="s">
        <v>3650</v>
      </c>
      <c r="AO2" s="24" t="s">
        <v>3400</v>
      </c>
      <c r="AP2" s="126">
        <v>0</v>
      </c>
      <c r="AQ2" s="126">
        <v>0</v>
      </c>
      <c r="AR2" s="126">
        <v>0</v>
      </c>
      <c r="AS2" s="126">
        <v>0</v>
      </c>
      <c r="AT2" s="126">
        <v>0</v>
      </c>
      <c r="AU2" s="126">
        <v>0</v>
      </c>
      <c r="AV2" s="126">
        <v>0</v>
      </c>
      <c r="AW2" s="126">
        <v>0</v>
      </c>
      <c r="AX2" s="126">
        <v>142</v>
      </c>
      <c r="AY2" s="126">
        <v>0</v>
      </c>
      <c r="AZ2" s="126">
        <v>131</v>
      </c>
      <c r="BA2" s="126">
        <v>0</v>
      </c>
      <c r="BB2" s="126">
        <v>0</v>
      </c>
      <c r="BC2" s="126">
        <v>0</v>
      </c>
      <c r="BD2" s="126">
        <v>0</v>
      </c>
      <c r="BE2" s="126">
        <v>0</v>
      </c>
      <c r="BF2" s="126">
        <v>46</v>
      </c>
      <c r="BG2" s="126">
        <v>227</v>
      </c>
      <c r="BH2" s="126">
        <v>45</v>
      </c>
      <c r="BI2" s="126">
        <v>52</v>
      </c>
      <c r="BJ2" s="126">
        <v>3</v>
      </c>
      <c r="BK2" s="126">
        <v>0</v>
      </c>
      <c r="BL2" t="str">
        <f>IF(AND(BI2&gt;0,BH2=0,BJ2=0),"CBT",IF(AND(BI2=0,SUM(BH2,BJ2)&gt;0),"Non-CBT",IF(AND(BH2&gt;0,SUM(BH2,BJ2)&gt;0),"CBT and Non-CBT","Source Unclear")))</f>
        <v>CBT and Non-CBT</v>
      </c>
      <c r="BM2" t="str">
        <f>IF(AM2&gt;=MEDIAN($AM$2:$AM$42),"Greater than or equal to "&amp;MEDIAN($AM$2:$AM$42)&amp;" days","Less than "&amp;MEDIAN($AM$2:$AM$42)&amp;" days")</f>
        <v>Greater than or equal to 100 days</v>
      </c>
    </row>
    <row r="3" spans="1:65" ht="15.75" customHeight="1">
      <c r="A3" s="29">
        <v>31380705</v>
      </c>
      <c r="B3" s="29" t="s">
        <v>3398</v>
      </c>
      <c r="C3" s="30" t="s">
        <v>2639</v>
      </c>
      <c r="D3" s="36" t="s">
        <v>3605</v>
      </c>
      <c r="E3" s="29" t="s">
        <v>10</v>
      </c>
      <c r="F3" s="29"/>
      <c r="G3" s="29" t="s">
        <v>3392</v>
      </c>
      <c r="H3" s="29" t="s">
        <v>3393</v>
      </c>
      <c r="I3" s="92" t="s">
        <v>3394</v>
      </c>
      <c r="J3" s="29">
        <v>30</v>
      </c>
      <c r="K3" s="29">
        <v>11</v>
      </c>
      <c r="L3" s="29">
        <v>19</v>
      </c>
      <c r="M3" s="29">
        <v>0</v>
      </c>
      <c r="N3" s="29">
        <v>4</v>
      </c>
      <c r="O3" s="60">
        <f t="shared" ref="O3:O66" si="0">SUM(M3:N3)/SUM(K3:L3)</f>
        <v>0.13333333333333333</v>
      </c>
      <c r="P3" s="29" t="s">
        <v>3399</v>
      </c>
      <c r="Q3" s="29" t="s">
        <v>3400</v>
      </c>
      <c r="R3" s="29">
        <v>3</v>
      </c>
      <c r="S3" s="29">
        <v>18</v>
      </c>
      <c r="T3" s="29" t="s">
        <v>3400</v>
      </c>
      <c r="U3" s="63" t="s">
        <v>3650</v>
      </c>
      <c r="V3" s="29" t="s">
        <v>3400</v>
      </c>
      <c r="W3" s="29" t="s">
        <v>3400</v>
      </c>
      <c r="X3" s="29" t="s">
        <v>3401</v>
      </c>
      <c r="Y3" s="29">
        <v>120</v>
      </c>
      <c r="Z3" s="23" t="s">
        <v>3661</v>
      </c>
      <c r="AA3" s="23">
        <v>19</v>
      </c>
      <c r="AB3" s="23">
        <v>0</v>
      </c>
      <c r="AC3" s="23">
        <v>1</v>
      </c>
      <c r="AD3" s="23">
        <v>2</v>
      </c>
      <c r="AE3" s="23">
        <v>8</v>
      </c>
      <c r="AF3" s="23">
        <v>0</v>
      </c>
      <c r="AG3" s="23">
        <v>0</v>
      </c>
      <c r="AH3" s="65">
        <v>0</v>
      </c>
      <c r="AI3" s="23">
        <v>0</v>
      </c>
      <c r="AJ3" s="23">
        <v>0</v>
      </c>
      <c r="AK3" s="23">
        <v>0</v>
      </c>
      <c r="AL3" s="23">
        <v>0</v>
      </c>
      <c r="AM3" s="23">
        <f>24*6</f>
        <v>144</v>
      </c>
      <c r="AN3" s="24" t="s">
        <v>3698</v>
      </c>
      <c r="AO3" s="24" t="s">
        <v>3663</v>
      </c>
      <c r="AP3" s="126">
        <v>8</v>
      </c>
      <c r="AQ3" s="126">
        <v>0</v>
      </c>
      <c r="AR3" s="126">
        <v>0</v>
      </c>
      <c r="AS3" s="126">
        <v>0</v>
      </c>
      <c r="AT3" s="126">
        <v>0</v>
      </c>
      <c r="AU3" s="126">
        <v>0</v>
      </c>
      <c r="AV3" s="126">
        <v>0</v>
      </c>
      <c r="AW3" s="126">
        <v>0</v>
      </c>
      <c r="AX3" s="126">
        <v>0</v>
      </c>
      <c r="AY3" s="126">
        <v>0</v>
      </c>
      <c r="AZ3" s="126">
        <v>18</v>
      </c>
      <c r="BA3" s="126">
        <v>0</v>
      </c>
      <c r="BB3" s="126">
        <v>0</v>
      </c>
      <c r="BC3" s="126">
        <v>3</v>
      </c>
      <c r="BD3" s="126">
        <v>0</v>
      </c>
      <c r="BE3" s="126">
        <v>0</v>
      </c>
      <c r="BF3" s="126">
        <v>0</v>
      </c>
      <c r="BG3" s="126">
        <v>30</v>
      </c>
      <c r="BH3" s="126">
        <v>29</v>
      </c>
      <c r="BI3" s="126">
        <v>1</v>
      </c>
      <c r="BJ3" s="126">
        <v>0</v>
      </c>
      <c r="BK3" s="126">
        <v>0</v>
      </c>
      <c r="BL3" t="str">
        <f t="shared" ref="BL3:BL42" si="1">IF(AND(BI3&gt;0,BH3=0,BJ3=0),"CBT",IF(AND(BI3=0,SUM(BH3,BJ3)&gt;0),"Non-CBT",IF(AND(BH3&gt;0,SUM(BH3,BJ3)&gt;0),"CBT and Non-CBT","Source Unclear")))</f>
        <v>CBT and Non-CBT</v>
      </c>
      <c r="BM3" t="str">
        <f t="shared" ref="BM3:BM42" si="2">IF(AM3&gt;=MEDIAN($AM$2:$AM$42),"Greater than or equal to "&amp;MEDIAN($AM$2:$AM$42)&amp;" days","Less than "&amp;MEDIAN($AM$2:$AM$42)&amp;" days")</f>
        <v>Greater than or equal to 100 days</v>
      </c>
    </row>
    <row r="4" spans="1:65" ht="15.75" customHeight="1">
      <c r="A4" s="29">
        <v>11593320</v>
      </c>
      <c r="B4" s="29" t="s">
        <v>3402</v>
      </c>
      <c r="C4" s="31" t="s">
        <v>2643</v>
      </c>
      <c r="D4" s="29" t="s">
        <v>3403</v>
      </c>
      <c r="E4" s="29" t="s">
        <v>10</v>
      </c>
      <c r="F4" s="29"/>
      <c r="G4" s="29" t="s">
        <v>3392</v>
      </c>
      <c r="H4" s="29" t="s">
        <v>3393</v>
      </c>
      <c r="I4" s="92" t="s">
        <v>3394</v>
      </c>
      <c r="J4" s="29">
        <v>30</v>
      </c>
      <c r="K4" s="29">
        <v>14</v>
      </c>
      <c r="L4" s="29">
        <v>16</v>
      </c>
      <c r="M4" s="29">
        <v>2</v>
      </c>
      <c r="N4" s="29">
        <v>0</v>
      </c>
      <c r="O4" s="60">
        <f t="shared" si="0"/>
        <v>6.6666666666666666E-2</v>
      </c>
      <c r="P4" s="29" t="s">
        <v>3397</v>
      </c>
      <c r="Q4" s="29">
        <v>6.2</v>
      </c>
      <c r="R4" s="29">
        <v>0.5</v>
      </c>
      <c r="S4" s="29">
        <v>17.5</v>
      </c>
      <c r="T4" s="29" t="s">
        <v>3404</v>
      </c>
      <c r="U4" s="57" t="s">
        <v>3647</v>
      </c>
      <c r="V4" s="29" t="s">
        <v>3400</v>
      </c>
      <c r="W4" s="29" t="s">
        <v>3400</v>
      </c>
      <c r="X4" s="92" t="s">
        <v>3408</v>
      </c>
      <c r="Y4" s="29">
        <v>10</v>
      </c>
      <c r="Z4" s="70" t="s">
        <v>3661</v>
      </c>
      <c r="AA4" s="70">
        <v>9</v>
      </c>
      <c r="AB4" s="70">
        <v>4</v>
      </c>
      <c r="AC4" s="70">
        <v>0</v>
      </c>
      <c r="AD4" s="70">
        <v>0</v>
      </c>
      <c r="AE4" s="70">
        <v>0</v>
      </c>
      <c r="AF4" s="70">
        <v>0</v>
      </c>
      <c r="AG4" s="70">
        <v>0</v>
      </c>
      <c r="AH4" s="65">
        <v>0</v>
      </c>
      <c r="AI4" s="70">
        <v>7</v>
      </c>
      <c r="AJ4" s="70">
        <v>0</v>
      </c>
      <c r="AK4" s="70">
        <v>0</v>
      </c>
      <c r="AL4" s="70">
        <v>10</v>
      </c>
      <c r="AM4" s="23">
        <f>12*7</f>
        <v>84</v>
      </c>
      <c r="AN4" s="24" t="s">
        <v>3664</v>
      </c>
      <c r="AO4" s="24" t="s">
        <v>3664</v>
      </c>
      <c r="AP4" s="126" t="s">
        <v>3650</v>
      </c>
      <c r="AQ4" s="126" t="s">
        <v>3650</v>
      </c>
      <c r="AR4" s="126" t="s">
        <v>3650</v>
      </c>
      <c r="AS4" s="126" t="s">
        <v>3650</v>
      </c>
      <c r="AT4" s="126" t="s">
        <v>3650</v>
      </c>
      <c r="AU4" s="126" t="s">
        <v>3650</v>
      </c>
      <c r="AV4" s="126" t="s">
        <v>3650</v>
      </c>
      <c r="AW4" s="126" t="s">
        <v>3650</v>
      </c>
      <c r="AX4" s="126" t="s">
        <v>3650</v>
      </c>
      <c r="AY4" s="126" t="s">
        <v>3650</v>
      </c>
      <c r="AZ4" s="126" t="s">
        <v>3650</v>
      </c>
      <c r="BA4" s="126" t="s">
        <v>3650</v>
      </c>
      <c r="BB4" s="126">
        <v>0</v>
      </c>
      <c r="BC4" s="126" t="s">
        <v>3650</v>
      </c>
      <c r="BD4" s="126" t="s">
        <v>3650</v>
      </c>
      <c r="BE4" s="126">
        <v>0</v>
      </c>
      <c r="BF4" s="126" t="s">
        <v>3650</v>
      </c>
      <c r="BG4" s="126" t="s">
        <v>3650</v>
      </c>
      <c r="BH4">
        <v>30</v>
      </c>
      <c r="BI4">
        <v>0</v>
      </c>
      <c r="BJ4" s="126">
        <v>0</v>
      </c>
      <c r="BK4" s="126">
        <v>0</v>
      </c>
      <c r="BL4" t="str">
        <f t="shared" si="1"/>
        <v>Non-CBT</v>
      </c>
      <c r="BM4" t="str">
        <f t="shared" si="2"/>
        <v>Less than 100 days</v>
      </c>
    </row>
    <row r="5" spans="1:65" ht="15.75" customHeight="1">
      <c r="A5" s="29">
        <v>26226409</v>
      </c>
      <c r="B5" s="29" t="s">
        <v>3405</v>
      </c>
      <c r="C5" s="30" t="s">
        <v>2646</v>
      </c>
      <c r="D5" s="29" t="s">
        <v>3406</v>
      </c>
      <c r="E5" s="29" t="s">
        <v>10</v>
      </c>
      <c r="F5" s="29"/>
      <c r="G5" s="29" t="s">
        <v>3392</v>
      </c>
      <c r="H5" s="29" t="s">
        <v>3409</v>
      </c>
      <c r="I5" s="92" t="s">
        <v>3407</v>
      </c>
      <c r="J5" s="29">
        <v>236</v>
      </c>
      <c r="K5" s="29">
        <v>138</v>
      </c>
      <c r="L5" s="29">
        <v>98</v>
      </c>
      <c r="M5" s="29">
        <v>40</v>
      </c>
      <c r="N5" s="29">
        <v>11</v>
      </c>
      <c r="O5" s="60">
        <f t="shared" si="0"/>
        <v>0.21610169491525424</v>
      </c>
      <c r="P5" s="29"/>
      <c r="Q5" s="29">
        <v>48</v>
      </c>
      <c r="R5" s="29">
        <v>17</v>
      </c>
      <c r="S5" s="29">
        <v>67</v>
      </c>
      <c r="T5" s="29" t="s">
        <v>3400</v>
      </c>
      <c r="U5" s="63" t="s">
        <v>3650</v>
      </c>
      <c r="V5" s="29" t="s">
        <v>3400</v>
      </c>
      <c r="W5" s="29" t="s">
        <v>3590</v>
      </c>
      <c r="X5" s="29" t="s">
        <v>3408</v>
      </c>
      <c r="Y5" s="29">
        <v>125</v>
      </c>
      <c r="Z5" s="70" t="s">
        <v>3659</v>
      </c>
      <c r="AA5">
        <f>57+34</f>
        <v>91</v>
      </c>
      <c r="AB5" s="65">
        <f>59+83</f>
        <v>142</v>
      </c>
      <c r="AC5" s="70">
        <v>0</v>
      </c>
      <c r="AD5" s="70">
        <v>0</v>
      </c>
      <c r="AE5" s="70">
        <v>0</v>
      </c>
      <c r="AF5" s="70">
        <v>0</v>
      </c>
      <c r="AG5" s="70">
        <v>0</v>
      </c>
      <c r="AH5" s="65">
        <v>0</v>
      </c>
      <c r="AI5" s="70">
        <v>0</v>
      </c>
      <c r="AJ5" s="65">
        <v>0</v>
      </c>
      <c r="AK5" s="65">
        <v>0</v>
      </c>
      <c r="AL5" s="65">
        <f>51+21</f>
        <v>72</v>
      </c>
      <c r="AM5" s="23">
        <f>4*7</f>
        <v>28</v>
      </c>
      <c r="AN5" s="24" t="s">
        <v>3698</v>
      </c>
      <c r="AO5" s="24" t="s">
        <v>3674</v>
      </c>
      <c r="AP5" s="126" t="s">
        <v>3650</v>
      </c>
      <c r="AQ5" s="126" t="s">
        <v>3650</v>
      </c>
      <c r="AR5" s="126" t="s">
        <v>3650</v>
      </c>
      <c r="AS5" s="126" t="s">
        <v>3650</v>
      </c>
      <c r="AT5" s="126" t="s">
        <v>3650</v>
      </c>
      <c r="AU5" s="126" t="s">
        <v>3650</v>
      </c>
      <c r="AV5" s="126" t="s">
        <v>3650</v>
      </c>
      <c r="AW5" s="126" t="s">
        <v>3650</v>
      </c>
      <c r="AX5" s="126" t="s">
        <v>3650</v>
      </c>
      <c r="AY5" s="126" t="s">
        <v>3650</v>
      </c>
      <c r="AZ5" s="126" t="s">
        <v>3650</v>
      </c>
      <c r="BA5" s="126" t="s">
        <v>3650</v>
      </c>
      <c r="BB5" s="126">
        <v>0</v>
      </c>
      <c r="BC5" s="126" t="s">
        <v>3650</v>
      </c>
      <c r="BD5" s="126" t="s">
        <v>3650</v>
      </c>
      <c r="BE5" s="126">
        <v>0</v>
      </c>
      <c r="BF5" s="126">
        <v>97</v>
      </c>
      <c r="BG5" s="126">
        <v>139</v>
      </c>
      <c r="BH5" s="126">
        <v>0</v>
      </c>
      <c r="BI5" s="126">
        <f>12+52</f>
        <v>64</v>
      </c>
      <c r="BJ5" s="126">
        <v>0</v>
      </c>
      <c r="BK5">
        <f>50+17+3+10+26+35+7+24</f>
        <v>172</v>
      </c>
      <c r="BL5" t="str">
        <f t="shared" si="1"/>
        <v>CBT</v>
      </c>
      <c r="BM5" t="str">
        <f t="shared" si="2"/>
        <v>Less than 100 days</v>
      </c>
    </row>
    <row r="6" spans="1:65" ht="15.75" customHeight="1">
      <c r="A6" s="29">
        <v>26226409</v>
      </c>
      <c r="B6" s="29" t="s">
        <v>3405</v>
      </c>
      <c r="C6" s="30" t="s">
        <v>2646</v>
      </c>
      <c r="D6" s="29" t="s">
        <v>3406</v>
      </c>
      <c r="E6" s="29" t="s">
        <v>10</v>
      </c>
      <c r="F6" s="29"/>
      <c r="G6" s="29" t="s">
        <v>3392</v>
      </c>
      <c r="H6" s="29" t="s">
        <v>3393</v>
      </c>
      <c r="I6" s="92" t="s">
        <v>3407</v>
      </c>
      <c r="J6" s="29">
        <v>236</v>
      </c>
      <c r="K6" s="29">
        <v>138</v>
      </c>
      <c r="L6" s="29">
        <v>98</v>
      </c>
      <c r="M6" s="29">
        <v>75</v>
      </c>
      <c r="N6" s="29">
        <v>39</v>
      </c>
      <c r="O6" s="60">
        <f t="shared" si="0"/>
        <v>0.48305084745762711</v>
      </c>
      <c r="P6" s="29"/>
      <c r="Q6" s="29">
        <v>48</v>
      </c>
      <c r="R6" s="29">
        <v>17</v>
      </c>
      <c r="S6" s="29">
        <v>67</v>
      </c>
      <c r="T6" s="29" t="s">
        <v>3400</v>
      </c>
      <c r="U6" s="63" t="s">
        <v>3650</v>
      </c>
      <c r="V6" s="29" t="s">
        <v>3400</v>
      </c>
      <c r="W6" s="29" t="s">
        <v>3590</v>
      </c>
      <c r="X6" s="29" t="s">
        <v>3408</v>
      </c>
      <c r="Y6" s="29">
        <v>125</v>
      </c>
      <c r="Z6" s="70" t="s">
        <v>3659</v>
      </c>
      <c r="AA6">
        <f t="shared" ref="AA6:AA7" si="3">57+34</f>
        <v>91</v>
      </c>
      <c r="AB6" s="65">
        <f t="shared" ref="AB6:AB7" si="4">59+83</f>
        <v>142</v>
      </c>
      <c r="AC6" s="70">
        <v>0</v>
      </c>
      <c r="AD6" s="70">
        <v>0</v>
      </c>
      <c r="AE6" s="70">
        <v>0</v>
      </c>
      <c r="AF6" s="70">
        <v>0</v>
      </c>
      <c r="AG6" s="70">
        <v>0</v>
      </c>
      <c r="AH6" s="65">
        <v>0</v>
      </c>
      <c r="AI6" s="70">
        <v>0</v>
      </c>
      <c r="AJ6" s="65">
        <v>0</v>
      </c>
      <c r="AK6" s="65">
        <v>0</v>
      </c>
      <c r="AL6" s="65">
        <f t="shared" ref="AL6:AL7" si="5">51+21</f>
        <v>72</v>
      </c>
      <c r="AM6" s="23">
        <f t="shared" ref="AM6:AM7" si="6">4*7</f>
        <v>28</v>
      </c>
      <c r="AN6" s="24" t="s">
        <v>3698</v>
      </c>
      <c r="AO6" s="24" t="s">
        <v>3674</v>
      </c>
      <c r="AP6" s="126" t="s">
        <v>3650</v>
      </c>
      <c r="AQ6" s="126" t="s">
        <v>3650</v>
      </c>
      <c r="AR6" s="126" t="s">
        <v>3650</v>
      </c>
      <c r="AS6" s="126" t="s">
        <v>3650</v>
      </c>
      <c r="AT6" s="126" t="s">
        <v>3650</v>
      </c>
      <c r="AU6" s="126" t="s">
        <v>3650</v>
      </c>
      <c r="AV6" s="126" t="s">
        <v>3650</v>
      </c>
      <c r="AW6" s="126" t="s">
        <v>3650</v>
      </c>
      <c r="AX6" s="126" t="s">
        <v>3650</v>
      </c>
      <c r="AY6" s="126" t="s">
        <v>3650</v>
      </c>
      <c r="AZ6" s="126" t="s">
        <v>3650</v>
      </c>
      <c r="BA6" s="126" t="s">
        <v>3650</v>
      </c>
      <c r="BB6" s="126">
        <v>0</v>
      </c>
      <c r="BC6" s="126" t="s">
        <v>3650</v>
      </c>
      <c r="BD6" s="126" t="s">
        <v>3650</v>
      </c>
      <c r="BE6" s="126">
        <v>0</v>
      </c>
      <c r="BF6" s="126">
        <v>97</v>
      </c>
      <c r="BG6" s="126">
        <v>139</v>
      </c>
      <c r="BH6" s="126">
        <v>0</v>
      </c>
      <c r="BI6" s="126">
        <f>12+52</f>
        <v>64</v>
      </c>
      <c r="BJ6" s="126">
        <v>0</v>
      </c>
      <c r="BK6">
        <f>50+17+3+10+26+35+7+24</f>
        <v>172</v>
      </c>
      <c r="BL6" t="str">
        <f t="shared" si="1"/>
        <v>CBT</v>
      </c>
      <c r="BM6" t="str">
        <f t="shared" si="2"/>
        <v>Less than 100 days</v>
      </c>
    </row>
    <row r="7" spans="1:65" ht="15.75" customHeight="1">
      <c r="A7" s="29">
        <v>26226409</v>
      </c>
      <c r="B7" s="29" t="s">
        <v>3405</v>
      </c>
      <c r="C7" s="30" t="s">
        <v>2646</v>
      </c>
      <c r="D7" s="29" t="s">
        <v>3406</v>
      </c>
      <c r="E7" s="29" t="s">
        <v>10</v>
      </c>
      <c r="F7" s="29"/>
      <c r="G7" s="29" t="s">
        <v>3392</v>
      </c>
      <c r="H7" s="29" t="s">
        <v>3410</v>
      </c>
      <c r="I7" s="92" t="s">
        <v>3407</v>
      </c>
      <c r="J7" s="29">
        <v>236</v>
      </c>
      <c r="K7" s="29">
        <v>138</v>
      </c>
      <c r="L7" s="29">
        <v>98</v>
      </c>
      <c r="M7" s="29">
        <v>35</v>
      </c>
      <c r="N7" s="29">
        <v>28</v>
      </c>
      <c r="O7" s="60">
        <f t="shared" si="0"/>
        <v>0.26694915254237289</v>
      </c>
      <c r="P7" s="29" t="s">
        <v>3411</v>
      </c>
      <c r="Q7" s="29">
        <v>48</v>
      </c>
      <c r="R7" s="29">
        <v>17</v>
      </c>
      <c r="S7" s="29">
        <v>67</v>
      </c>
      <c r="T7" s="29" t="s">
        <v>3400</v>
      </c>
      <c r="U7" s="63" t="s">
        <v>3650</v>
      </c>
      <c r="V7" s="29" t="s">
        <v>3400</v>
      </c>
      <c r="W7" s="29" t="s">
        <v>3590</v>
      </c>
      <c r="X7" s="29" t="s">
        <v>3408</v>
      </c>
      <c r="Y7" s="29">
        <v>125</v>
      </c>
      <c r="Z7" s="70" t="s">
        <v>3659</v>
      </c>
      <c r="AA7">
        <f t="shared" si="3"/>
        <v>91</v>
      </c>
      <c r="AB7" s="65">
        <f t="shared" si="4"/>
        <v>142</v>
      </c>
      <c r="AC7" s="70">
        <v>0</v>
      </c>
      <c r="AD7" s="70">
        <v>0</v>
      </c>
      <c r="AE7" s="70">
        <v>0</v>
      </c>
      <c r="AF7" s="70">
        <v>0</v>
      </c>
      <c r="AG7" s="70">
        <v>0</v>
      </c>
      <c r="AH7" s="65">
        <v>0</v>
      </c>
      <c r="AI7" s="70">
        <v>0</v>
      </c>
      <c r="AJ7" s="65">
        <v>0</v>
      </c>
      <c r="AK7" s="65">
        <v>0</v>
      </c>
      <c r="AL7" s="65">
        <f t="shared" si="5"/>
        <v>72</v>
      </c>
      <c r="AM7" s="23">
        <f t="shared" si="6"/>
        <v>28</v>
      </c>
      <c r="AN7" s="24" t="s">
        <v>3698</v>
      </c>
      <c r="AO7" s="24" t="s">
        <v>3674</v>
      </c>
      <c r="AP7" s="126" t="s">
        <v>3650</v>
      </c>
      <c r="AQ7" s="126" t="s">
        <v>3650</v>
      </c>
      <c r="AR7" s="126" t="s">
        <v>3650</v>
      </c>
      <c r="AS7" s="126" t="s">
        <v>3650</v>
      </c>
      <c r="AT7" s="126" t="s">
        <v>3650</v>
      </c>
      <c r="AU7" s="126" t="s">
        <v>3650</v>
      </c>
      <c r="AV7" s="126" t="s">
        <v>3650</v>
      </c>
      <c r="AW7" s="126" t="s">
        <v>3650</v>
      </c>
      <c r="AX7" s="126" t="s">
        <v>3650</v>
      </c>
      <c r="AY7" s="126" t="s">
        <v>3650</v>
      </c>
      <c r="AZ7" s="126" t="s">
        <v>3650</v>
      </c>
      <c r="BA7" s="126" t="s">
        <v>3650</v>
      </c>
      <c r="BB7" s="126">
        <v>0</v>
      </c>
      <c r="BC7" s="126" t="s">
        <v>3650</v>
      </c>
      <c r="BD7" s="126" t="s">
        <v>3650</v>
      </c>
      <c r="BE7" s="126">
        <v>0</v>
      </c>
      <c r="BF7" s="126">
        <v>97</v>
      </c>
      <c r="BG7" s="126">
        <v>139</v>
      </c>
      <c r="BH7" s="126">
        <v>0</v>
      </c>
      <c r="BI7" s="126">
        <f>12+52</f>
        <v>64</v>
      </c>
      <c r="BJ7" s="126">
        <v>0</v>
      </c>
      <c r="BK7">
        <f>50+17+3+10+26+35+7+24</f>
        <v>172</v>
      </c>
      <c r="BL7" t="str">
        <f t="shared" si="1"/>
        <v>CBT</v>
      </c>
      <c r="BM7" t="str">
        <f t="shared" si="2"/>
        <v>Less than 100 days</v>
      </c>
    </row>
    <row r="8" spans="1:65" ht="15.75" customHeight="1">
      <c r="A8" s="29">
        <v>27522040</v>
      </c>
      <c r="B8" s="29" t="s">
        <v>3416</v>
      </c>
      <c r="C8" s="31" t="s">
        <v>2654</v>
      </c>
      <c r="D8" s="29" t="s">
        <v>3417</v>
      </c>
      <c r="E8" s="29" t="s">
        <v>10</v>
      </c>
      <c r="F8" s="29"/>
      <c r="G8" s="29" t="s">
        <v>3392</v>
      </c>
      <c r="H8" s="29" t="s">
        <v>3410</v>
      </c>
      <c r="I8" s="92" t="s">
        <v>3407</v>
      </c>
      <c r="J8" s="29">
        <v>130</v>
      </c>
      <c r="K8" s="29">
        <v>25</v>
      </c>
      <c r="L8" s="29">
        <v>105</v>
      </c>
      <c r="M8" s="29">
        <v>0</v>
      </c>
      <c r="N8" s="29">
        <v>35</v>
      </c>
      <c r="O8" s="60">
        <f t="shared" si="0"/>
        <v>0.26923076923076922</v>
      </c>
      <c r="P8" s="29" t="s">
        <v>3419</v>
      </c>
      <c r="Q8" s="29" t="s">
        <v>3420</v>
      </c>
      <c r="R8" s="29">
        <v>23</v>
      </c>
      <c r="S8" s="29">
        <v>73</v>
      </c>
      <c r="T8" s="29" t="s">
        <v>3421</v>
      </c>
      <c r="U8" s="57" t="s">
        <v>3646</v>
      </c>
      <c r="V8" s="29" t="s">
        <v>3422</v>
      </c>
      <c r="W8" s="29" t="s">
        <v>3423</v>
      </c>
      <c r="X8" s="63" t="s">
        <v>3650</v>
      </c>
      <c r="Y8" s="59" t="s">
        <v>3650</v>
      </c>
      <c r="Z8" s="70" t="s">
        <v>3659</v>
      </c>
      <c r="AA8" s="65">
        <f>28+38</f>
        <v>66</v>
      </c>
      <c r="AB8" s="65">
        <v>0</v>
      </c>
      <c r="AC8" s="65">
        <f>3+2</f>
        <v>5</v>
      </c>
      <c r="AD8" s="70">
        <v>0</v>
      </c>
      <c r="AE8" s="65">
        <f>3+4</f>
        <v>7</v>
      </c>
      <c r="AF8" s="65">
        <f>9+7</f>
        <v>16</v>
      </c>
      <c r="AG8" s="70">
        <v>11</v>
      </c>
      <c r="AH8" s="65">
        <v>0</v>
      </c>
      <c r="AI8" s="70">
        <v>0</v>
      </c>
      <c r="AJ8" s="70">
        <v>0</v>
      </c>
      <c r="AK8" s="70">
        <v>0</v>
      </c>
      <c r="AL8" s="70">
        <v>0</v>
      </c>
      <c r="AM8" s="23">
        <v>100</v>
      </c>
      <c r="AN8" s="24" t="s">
        <v>3662</v>
      </c>
      <c r="AO8" s="24" t="s">
        <v>3662</v>
      </c>
      <c r="AP8" s="126">
        <v>0</v>
      </c>
      <c r="AQ8" s="126">
        <v>0</v>
      </c>
      <c r="AR8" s="126">
        <v>0</v>
      </c>
      <c r="AS8" s="126">
        <v>0</v>
      </c>
      <c r="AT8" s="126">
        <v>0</v>
      </c>
      <c r="AU8" s="126">
        <v>0</v>
      </c>
      <c r="AV8" s="126">
        <v>0</v>
      </c>
      <c r="AW8" s="126">
        <v>0</v>
      </c>
      <c r="AX8" s="126">
        <v>0</v>
      </c>
      <c r="AY8" s="126">
        <v>0</v>
      </c>
      <c r="AZ8" s="126">
        <v>0</v>
      </c>
      <c r="BA8" s="126">
        <v>0</v>
      </c>
      <c r="BB8" s="126">
        <v>53</v>
      </c>
      <c r="BC8" s="126">
        <v>0</v>
      </c>
      <c r="BD8" s="126">
        <v>0</v>
      </c>
      <c r="BE8" s="126">
        <v>59</v>
      </c>
      <c r="BF8" s="126" t="s">
        <v>3650</v>
      </c>
      <c r="BG8" s="126" t="s">
        <v>3650</v>
      </c>
      <c r="BH8">
        <f>24+19</f>
        <v>43</v>
      </c>
      <c r="BI8">
        <v>0</v>
      </c>
      <c r="BJ8">
        <f>30+40</f>
        <v>70</v>
      </c>
      <c r="BK8">
        <v>0</v>
      </c>
      <c r="BL8" t="str">
        <f t="shared" si="1"/>
        <v>Non-CBT</v>
      </c>
      <c r="BM8" t="str">
        <f t="shared" si="2"/>
        <v>Greater than or equal to 100 days</v>
      </c>
    </row>
    <row r="9" spans="1:65" ht="15.75" customHeight="1">
      <c r="A9" s="29">
        <v>27522040</v>
      </c>
      <c r="B9" s="29" t="s">
        <v>3416</v>
      </c>
      <c r="C9" s="31" t="s">
        <v>2654</v>
      </c>
      <c r="D9" s="29" t="s">
        <v>3417</v>
      </c>
      <c r="E9" s="29" t="s">
        <v>10</v>
      </c>
      <c r="F9" s="29"/>
      <c r="G9" s="29" t="s">
        <v>3392</v>
      </c>
      <c r="H9" s="29" t="s">
        <v>3418</v>
      </c>
      <c r="I9" s="92" t="s">
        <v>3407</v>
      </c>
      <c r="J9" s="29">
        <v>130</v>
      </c>
      <c r="K9" s="29">
        <v>25</v>
      </c>
      <c r="L9" s="29">
        <v>105</v>
      </c>
      <c r="M9" s="29">
        <v>0</v>
      </c>
      <c r="N9" s="29">
        <v>55</v>
      </c>
      <c r="O9" s="60">
        <f t="shared" si="0"/>
        <v>0.42307692307692307</v>
      </c>
      <c r="P9" s="29" t="s">
        <v>3419</v>
      </c>
      <c r="Q9" s="29" t="s">
        <v>3420</v>
      </c>
      <c r="R9" s="29">
        <v>23</v>
      </c>
      <c r="S9" s="29">
        <v>73</v>
      </c>
      <c r="T9" s="29" t="s">
        <v>3421</v>
      </c>
      <c r="U9" s="57" t="s">
        <v>3646</v>
      </c>
      <c r="V9" s="29" t="s">
        <v>3422</v>
      </c>
      <c r="W9" s="29" t="s">
        <v>3423</v>
      </c>
      <c r="X9" s="63" t="s">
        <v>3650</v>
      </c>
      <c r="Y9" s="59" t="s">
        <v>3650</v>
      </c>
      <c r="Z9" s="70" t="s">
        <v>3659</v>
      </c>
      <c r="AA9" s="65">
        <f>28+38</f>
        <v>66</v>
      </c>
      <c r="AB9" s="65">
        <v>0</v>
      </c>
      <c r="AC9" s="65">
        <f>3+2</f>
        <v>5</v>
      </c>
      <c r="AD9" s="70">
        <v>0</v>
      </c>
      <c r="AE9" s="65">
        <f>3+4</f>
        <v>7</v>
      </c>
      <c r="AF9" s="65">
        <f>9+7</f>
        <v>16</v>
      </c>
      <c r="AG9" s="70">
        <v>11</v>
      </c>
      <c r="AH9" s="65">
        <v>0</v>
      </c>
      <c r="AI9" s="70">
        <v>0</v>
      </c>
      <c r="AJ9" s="70">
        <v>0</v>
      </c>
      <c r="AK9" s="70">
        <v>0</v>
      </c>
      <c r="AL9" s="70">
        <v>0</v>
      </c>
      <c r="AM9" s="23">
        <v>100</v>
      </c>
      <c r="AN9" s="24" t="s">
        <v>3662</v>
      </c>
      <c r="AO9" s="24" t="s">
        <v>3662</v>
      </c>
      <c r="AP9" s="126">
        <v>0</v>
      </c>
      <c r="AQ9" s="126">
        <v>0</v>
      </c>
      <c r="AR9" s="126">
        <v>0</v>
      </c>
      <c r="AS9" s="126">
        <v>0</v>
      </c>
      <c r="AT9" s="126">
        <v>0</v>
      </c>
      <c r="AU9" s="126">
        <v>0</v>
      </c>
      <c r="AV9" s="126">
        <v>0</v>
      </c>
      <c r="AW9" s="126">
        <v>0</v>
      </c>
      <c r="AX9" s="126">
        <v>0</v>
      </c>
      <c r="AY9" s="126">
        <v>0</v>
      </c>
      <c r="AZ9" s="126">
        <v>0</v>
      </c>
      <c r="BA9" s="126">
        <v>0</v>
      </c>
      <c r="BB9" s="126">
        <v>53</v>
      </c>
      <c r="BC9" s="126">
        <v>0</v>
      </c>
      <c r="BD9" s="126">
        <v>0</v>
      </c>
      <c r="BE9" s="126">
        <v>59</v>
      </c>
      <c r="BF9" s="126" t="s">
        <v>3650</v>
      </c>
      <c r="BG9" s="126" t="s">
        <v>3650</v>
      </c>
      <c r="BH9">
        <f>24+19</f>
        <v>43</v>
      </c>
      <c r="BI9">
        <v>0</v>
      </c>
      <c r="BJ9">
        <f>30+40</f>
        <v>70</v>
      </c>
      <c r="BK9">
        <v>0</v>
      </c>
      <c r="BL9" t="str">
        <f t="shared" si="1"/>
        <v>Non-CBT</v>
      </c>
      <c r="BM9" t="str">
        <f t="shared" si="2"/>
        <v>Greater than or equal to 100 days</v>
      </c>
    </row>
    <row r="10" spans="1:65" ht="15.75" customHeight="1">
      <c r="A10" s="29">
        <v>21549850</v>
      </c>
      <c r="B10" s="29" t="s">
        <v>3416</v>
      </c>
      <c r="C10" s="31" t="s">
        <v>2670</v>
      </c>
      <c r="D10" s="29" t="s">
        <v>3424</v>
      </c>
      <c r="E10" s="29" t="s">
        <v>10</v>
      </c>
      <c r="F10" s="29"/>
      <c r="G10" s="29" t="s">
        <v>3392</v>
      </c>
      <c r="H10" s="29" t="s">
        <v>3393</v>
      </c>
      <c r="I10" s="92" t="s">
        <v>3425</v>
      </c>
      <c r="J10" s="29">
        <v>82</v>
      </c>
      <c r="K10" s="29">
        <v>46</v>
      </c>
      <c r="L10" s="29">
        <v>36</v>
      </c>
      <c r="M10" s="29">
        <v>23</v>
      </c>
      <c r="N10" s="29">
        <v>17</v>
      </c>
      <c r="O10" s="60">
        <f t="shared" si="0"/>
        <v>0.48780487804878048</v>
      </c>
      <c r="P10" s="29"/>
      <c r="Q10" s="29">
        <v>24</v>
      </c>
      <c r="R10" s="29">
        <v>1</v>
      </c>
      <c r="S10" s="29">
        <v>67</v>
      </c>
      <c r="T10" s="29" t="s">
        <v>3426</v>
      </c>
      <c r="U10" s="57" t="s">
        <v>3646</v>
      </c>
      <c r="V10" s="34" t="s">
        <v>3427</v>
      </c>
      <c r="W10" s="29" t="s">
        <v>3428</v>
      </c>
      <c r="X10" s="29" t="s">
        <v>3401</v>
      </c>
      <c r="Y10" s="29">
        <v>500</v>
      </c>
      <c r="Z10" s="70" t="s">
        <v>3661</v>
      </c>
      <c r="AA10" s="70" t="s">
        <v>3400</v>
      </c>
      <c r="AB10" s="70" t="s">
        <v>3400</v>
      </c>
      <c r="AC10" s="70" t="s">
        <v>3400</v>
      </c>
      <c r="AD10" s="70" t="s">
        <v>3400</v>
      </c>
      <c r="AE10" s="70" t="s">
        <v>3400</v>
      </c>
      <c r="AF10" s="70" t="s">
        <v>3400</v>
      </c>
      <c r="AG10" s="70" t="s">
        <v>3400</v>
      </c>
      <c r="AH10" s="70" t="s">
        <v>3400</v>
      </c>
      <c r="AI10" s="70" t="s">
        <v>3400</v>
      </c>
      <c r="AJ10" s="70" t="s">
        <v>3400</v>
      </c>
      <c r="AK10" s="70" t="s">
        <v>3400</v>
      </c>
      <c r="AL10" s="70" t="s">
        <v>3400</v>
      </c>
      <c r="AM10" s="78">
        <f>7*4</f>
        <v>28</v>
      </c>
      <c r="AN10" s="24" t="s">
        <v>3662</v>
      </c>
      <c r="AO10" s="24" t="s">
        <v>3662</v>
      </c>
      <c r="AP10" s="126" t="s">
        <v>3650</v>
      </c>
      <c r="AQ10" s="126" t="s">
        <v>3650</v>
      </c>
      <c r="AR10" s="126" t="s">
        <v>3650</v>
      </c>
      <c r="AS10" s="126" t="s">
        <v>3650</v>
      </c>
      <c r="AT10" s="126" t="s">
        <v>3650</v>
      </c>
      <c r="AU10" s="126" t="s">
        <v>3650</v>
      </c>
      <c r="AV10" s="126" t="s">
        <v>3650</v>
      </c>
      <c r="AW10" s="126" t="s">
        <v>3650</v>
      </c>
      <c r="AX10" s="126" t="s">
        <v>3650</v>
      </c>
      <c r="AY10" s="126" t="s">
        <v>3650</v>
      </c>
      <c r="AZ10" s="126" t="s">
        <v>3650</v>
      </c>
      <c r="BA10" s="126" t="s">
        <v>3650</v>
      </c>
      <c r="BB10" s="126" t="s">
        <v>3650</v>
      </c>
      <c r="BC10" s="126" t="s">
        <v>3650</v>
      </c>
      <c r="BD10" s="126" t="s">
        <v>3650</v>
      </c>
      <c r="BE10" s="126" t="s">
        <v>3650</v>
      </c>
      <c r="BF10" s="126" t="s">
        <v>3650</v>
      </c>
      <c r="BG10" s="126" t="s">
        <v>3650</v>
      </c>
      <c r="BH10" s="126">
        <v>0</v>
      </c>
      <c r="BI10">
        <v>54</v>
      </c>
      <c r="BJ10" s="126">
        <v>0</v>
      </c>
      <c r="BK10">
        <f>13+15</f>
        <v>28</v>
      </c>
      <c r="BL10" t="str">
        <f t="shared" si="1"/>
        <v>CBT</v>
      </c>
      <c r="BM10" t="str">
        <f t="shared" si="2"/>
        <v>Less than 100 days</v>
      </c>
    </row>
    <row r="11" spans="1:65" ht="15.75" customHeight="1">
      <c r="A11" s="29">
        <v>26984480</v>
      </c>
      <c r="B11" s="29" t="s">
        <v>3416</v>
      </c>
      <c r="C11" s="30" t="s">
        <v>2694</v>
      </c>
      <c r="D11" s="29" t="s">
        <v>3429</v>
      </c>
      <c r="E11" s="29" t="s">
        <v>10</v>
      </c>
      <c r="F11" s="29"/>
      <c r="G11" s="29" t="s">
        <v>3392</v>
      </c>
      <c r="H11" s="29" t="s">
        <v>3393</v>
      </c>
      <c r="I11" s="92" t="s">
        <v>3407</v>
      </c>
      <c r="J11" s="29">
        <v>92</v>
      </c>
      <c r="K11" s="29">
        <v>60</v>
      </c>
      <c r="L11" s="29">
        <v>32</v>
      </c>
      <c r="M11" s="29">
        <v>11</v>
      </c>
      <c r="N11" s="29">
        <v>9</v>
      </c>
      <c r="O11" s="60">
        <f t="shared" si="0"/>
        <v>0.21739130434782608</v>
      </c>
      <c r="P11" s="29"/>
      <c r="Q11" s="29">
        <v>55</v>
      </c>
      <c r="R11" s="29">
        <v>18</v>
      </c>
      <c r="S11" s="29">
        <v>74</v>
      </c>
      <c r="T11" s="29" t="s">
        <v>3430</v>
      </c>
      <c r="U11" s="57" t="s">
        <v>3647</v>
      </c>
      <c r="V11" s="29" t="s">
        <v>3431</v>
      </c>
      <c r="W11" s="29" t="s">
        <v>3431</v>
      </c>
      <c r="X11" s="29" t="s">
        <v>3408</v>
      </c>
      <c r="Y11" s="29">
        <v>200</v>
      </c>
      <c r="Z11" s="70" t="s">
        <v>3659</v>
      </c>
      <c r="AA11" s="65">
        <v>0</v>
      </c>
      <c r="AB11" s="65">
        <v>0</v>
      </c>
      <c r="AC11" s="70">
        <v>0</v>
      </c>
      <c r="AD11" s="70">
        <v>0</v>
      </c>
      <c r="AE11" s="70">
        <v>0</v>
      </c>
      <c r="AF11" s="70">
        <v>0</v>
      </c>
      <c r="AG11" s="70">
        <v>18</v>
      </c>
      <c r="AH11" s="70">
        <v>61</v>
      </c>
      <c r="AI11" s="70">
        <v>0</v>
      </c>
      <c r="AJ11" s="70">
        <v>0</v>
      </c>
      <c r="AK11" s="70">
        <v>0</v>
      </c>
      <c r="AL11" s="70">
        <v>13</v>
      </c>
      <c r="AM11" s="90" t="s">
        <v>3420</v>
      </c>
      <c r="AN11" s="24" t="s">
        <v>3662</v>
      </c>
      <c r="AO11" s="24" t="s">
        <v>3662</v>
      </c>
      <c r="AP11" s="126" t="s">
        <v>3650</v>
      </c>
      <c r="AQ11" s="126" t="s">
        <v>3650</v>
      </c>
      <c r="AR11" s="126" t="s">
        <v>3650</v>
      </c>
      <c r="AS11" s="126" t="s">
        <v>3650</v>
      </c>
      <c r="AT11" s="126" t="s">
        <v>3650</v>
      </c>
      <c r="AU11" s="126" t="s">
        <v>3650</v>
      </c>
      <c r="AV11" s="126" t="s">
        <v>3650</v>
      </c>
      <c r="AW11" s="126" t="s">
        <v>3650</v>
      </c>
      <c r="AX11" s="126" t="s">
        <v>3650</v>
      </c>
      <c r="AY11" s="126" t="s">
        <v>3650</v>
      </c>
      <c r="AZ11" s="126" t="s">
        <v>3650</v>
      </c>
      <c r="BA11" s="126" t="s">
        <v>3650</v>
      </c>
      <c r="BB11" s="126" t="s">
        <v>3650</v>
      </c>
      <c r="BC11" s="126" t="s">
        <v>3650</v>
      </c>
      <c r="BD11" s="126" t="s">
        <v>3650</v>
      </c>
      <c r="BE11" s="126" t="s">
        <v>3650</v>
      </c>
      <c r="BF11" s="126" t="s">
        <v>3650</v>
      </c>
      <c r="BG11" s="126" t="s">
        <v>3650</v>
      </c>
      <c r="BH11" s="126">
        <v>0</v>
      </c>
      <c r="BI11">
        <f>60+32</f>
        <v>92</v>
      </c>
      <c r="BJ11" s="126">
        <v>0</v>
      </c>
      <c r="BK11">
        <v>0</v>
      </c>
      <c r="BL11" t="str">
        <f t="shared" si="1"/>
        <v>CBT</v>
      </c>
      <c r="BM11" t="str">
        <f t="shared" si="2"/>
        <v>Greater than or equal to 100 days</v>
      </c>
    </row>
    <row r="12" spans="1:65" ht="15.75" customHeight="1">
      <c r="A12" s="29">
        <v>18541204</v>
      </c>
      <c r="B12" s="29" t="s">
        <v>3390</v>
      </c>
      <c r="C12" s="30" t="s">
        <v>2717</v>
      </c>
      <c r="D12" s="29" t="s">
        <v>3432</v>
      </c>
      <c r="E12" s="29" t="s">
        <v>10</v>
      </c>
      <c r="F12" s="29"/>
      <c r="G12" s="29" t="s">
        <v>3392</v>
      </c>
      <c r="H12" s="29" t="s">
        <v>3409</v>
      </c>
      <c r="I12" s="92" t="s">
        <v>3394</v>
      </c>
      <c r="J12" s="29">
        <v>58</v>
      </c>
      <c r="K12" s="29">
        <v>39</v>
      </c>
      <c r="L12" s="29">
        <v>19</v>
      </c>
      <c r="M12" s="29">
        <v>12</v>
      </c>
      <c r="N12" s="29">
        <v>3</v>
      </c>
      <c r="O12" s="60">
        <f t="shared" si="0"/>
        <v>0.25862068965517243</v>
      </c>
      <c r="P12" s="29" t="s">
        <v>3433</v>
      </c>
      <c r="Q12" s="29">
        <v>7.6</v>
      </c>
      <c r="R12" s="29">
        <v>0.1</v>
      </c>
      <c r="S12" s="29">
        <v>18.100000000000001</v>
      </c>
      <c r="T12" s="29" t="s">
        <v>3434</v>
      </c>
      <c r="U12" s="58" t="s">
        <v>3646</v>
      </c>
      <c r="V12" s="29" t="s">
        <v>3435</v>
      </c>
      <c r="W12" s="29" t="s">
        <v>3436</v>
      </c>
      <c r="X12" s="29" t="s">
        <v>3408</v>
      </c>
      <c r="Y12" s="29">
        <v>1000</v>
      </c>
      <c r="Z12" s="70" t="s">
        <v>3661</v>
      </c>
      <c r="AA12" s="65">
        <v>0</v>
      </c>
      <c r="AB12" s="70">
        <v>0</v>
      </c>
      <c r="AC12" s="70">
        <v>0</v>
      </c>
      <c r="AD12" s="70">
        <v>0</v>
      </c>
      <c r="AE12" s="65">
        <v>0</v>
      </c>
      <c r="AF12" s="65">
        <v>0</v>
      </c>
      <c r="AG12" s="70">
        <v>0</v>
      </c>
      <c r="AH12" s="65">
        <v>0</v>
      </c>
      <c r="AI12" s="70">
        <v>0</v>
      </c>
      <c r="AJ12" s="70">
        <v>28</v>
      </c>
      <c r="AK12" s="70">
        <v>30</v>
      </c>
      <c r="AL12" s="70">
        <v>0</v>
      </c>
      <c r="AM12" s="23">
        <f>4*30</f>
        <v>120</v>
      </c>
      <c r="AN12" s="24" t="s">
        <v>3662</v>
      </c>
      <c r="AO12" s="24" t="s">
        <v>3662</v>
      </c>
      <c r="AP12" s="126">
        <v>58</v>
      </c>
      <c r="AQ12" s="126">
        <v>0</v>
      </c>
      <c r="AR12" s="126">
        <v>0</v>
      </c>
      <c r="AS12" s="126">
        <v>0</v>
      </c>
      <c r="AT12" s="126">
        <v>0</v>
      </c>
      <c r="AU12" s="126">
        <v>0</v>
      </c>
      <c r="AV12" s="126">
        <v>0</v>
      </c>
      <c r="AW12" s="126">
        <v>0</v>
      </c>
      <c r="AX12" s="126">
        <v>0</v>
      </c>
      <c r="AY12" s="126">
        <v>0</v>
      </c>
      <c r="AZ12" s="126">
        <v>0</v>
      </c>
      <c r="BA12" s="126">
        <v>0</v>
      </c>
      <c r="BB12" s="126">
        <v>0</v>
      </c>
      <c r="BC12" s="126">
        <v>0</v>
      </c>
      <c r="BD12" s="126">
        <v>0</v>
      </c>
      <c r="BE12" s="126">
        <v>0</v>
      </c>
      <c r="BF12" s="126">
        <v>40</v>
      </c>
      <c r="BG12" s="126">
        <v>18</v>
      </c>
      <c r="BH12" s="126">
        <v>37</v>
      </c>
      <c r="BI12" s="126">
        <v>15</v>
      </c>
      <c r="BJ12" s="126">
        <v>6</v>
      </c>
      <c r="BK12" s="126">
        <v>0</v>
      </c>
      <c r="BL12" t="str">
        <f t="shared" si="1"/>
        <v>CBT and Non-CBT</v>
      </c>
      <c r="BM12" t="str">
        <f t="shared" si="2"/>
        <v>Greater than or equal to 100 days</v>
      </c>
    </row>
    <row r="13" spans="1:65" ht="15.75" customHeight="1">
      <c r="A13" s="29">
        <v>18541204</v>
      </c>
      <c r="B13" s="29" t="s">
        <v>3390</v>
      </c>
      <c r="C13" s="30" t="s">
        <v>2717</v>
      </c>
      <c r="D13" s="29" t="s">
        <v>3432</v>
      </c>
      <c r="E13" s="29" t="s">
        <v>10</v>
      </c>
      <c r="F13" s="29"/>
      <c r="G13" s="29" t="s">
        <v>3392</v>
      </c>
      <c r="H13" s="29" t="s">
        <v>3393</v>
      </c>
      <c r="I13" s="92" t="s">
        <v>3394</v>
      </c>
      <c r="J13" s="29">
        <v>58</v>
      </c>
      <c r="K13" s="29">
        <v>39</v>
      </c>
      <c r="L13" s="29">
        <v>19</v>
      </c>
      <c r="M13" s="29">
        <v>15</v>
      </c>
      <c r="N13" s="29">
        <v>4</v>
      </c>
      <c r="O13" s="60">
        <f t="shared" si="0"/>
        <v>0.32758620689655171</v>
      </c>
      <c r="P13" s="29" t="s">
        <v>3433</v>
      </c>
      <c r="Q13" s="29">
        <v>7.6</v>
      </c>
      <c r="R13" s="29">
        <v>0.1</v>
      </c>
      <c r="S13" s="29">
        <v>18.100000000000001</v>
      </c>
      <c r="T13" s="29" t="s">
        <v>3434</v>
      </c>
      <c r="U13" s="58" t="s">
        <v>3646</v>
      </c>
      <c r="V13" s="29" t="s">
        <v>3435</v>
      </c>
      <c r="W13" s="29" t="s">
        <v>3436</v>
      </c>
      <c r="X13" s="29" t="s">
        <v>3408</v>
      </c>
      <c r="Y13" s="29">
        <v>1000</v>
      </c>
      <c r="Z13" s="70" t="s">
        <v>3661</v>
      </c>
      <c r="AA13" s="65">
        <v>0</v>
      </c>
      <c r="AB13" s="70">
        <v>0</v>
      </c>
      <c r="AC13" s="70">
        <v>0</v>
      </c>
      <c r="AD13" s="70">
        <v>0</v>
      </c>
      <c r="AE13" s="65">
        <v>0</v>
      </c>
      <c r="AF13" s="65">
        <v>0</v>
      </c>
      <c r="AG13" s="70">
        <v>0</v>
      </c>
      <c r="AH13" s="65">
        <v>0</v>
      </c>
      <c r="AI13" s="70">
        <v>0</v>
      </c>
      <c r="AJ13" s="70">
        <v>28</v>
      </c>
      <c r="AK13" s="70">
        <v>30</v>
      </c>
      <c r="AL13" s="70">
        <v>0</v>
      </c>
      <c r="AM13" s="23">
        <f t="shared" ref="AM13:AM14" si="7">4*30</f>
        <v>120</v>
      </c>
      <c r="AN13" s="24" t="s">
        <v>3662</v>
      </c>
      <c r="AO13" s="24" t="s">
        <v>3662</v>
      </c>
      <c r="AP13" s="126">
        <v>58</v>
      </c>
      <c r="AQ13" s="126">
        <v>0</v>
      </c>
      <c r="AR13" s="126">
        <v>0</v>
      </c>
      <c r="AS13" s="126">
        <v>0</v>
      </c>
      <c r="AT13" s="126">
        <v>0</v>
      </c>
      <c r="AU13" s="126">
        <v>0</v>
      </c>
      <c r="AV13" s="126">
        <v>0</v>
      </c>
      <c r="AW13" s="126">
        <v>0</v>
      </c>
      <c r="AX13" s="126">
        <v>0</v>
      </c>
      <c r="AY13" s="126">
        <v>0</v>
      </c>
      <c r="AZ13" s="126">
        <v>0</v>
      </c>
      <c r="BA13" s="126">
        <v>0</v>
      </c>
      <c r="BB13" s="126">
        <v>0</v>
      </c>
      <c r="BC13" s="126">
        <v>0</v>
      </c>
      <c r="BD13" s="126">
        <v>0</v>
      </c>
      <c r="BE13" s="126">
        <v>0</v>
      </c>
      <c r="BF13" s="126">
        <v>40</v>
      </c>
      <c r="BG13" s="126">
        <v>18</v>
      </c>
      <c r="BH13" s="126">
        <v>37</v>
      </c>
      <c r="BI13" s="126">
        <v>15</v>
      </c>
      <c r="BJ13" s="126">
        <v>6</v>
      </c>
      <c r="BK13" s="126">
        <v>0</v>
      </c>
      <c r="BL13" t="str">
        <f t="shared" si="1"/>
        <v>CBT and Non-CBT</v>
      </c>
      <c r="BM13" t="str">
        <f t="shared" si="2"/>
        <v>Greater than or equal to 100 days</v>
      </c>
    </row>
    <row r="14" spans="1:65" ht="15.75" customHeight="1">
      <c r="A14" s="29">
        <v>18541204</v>
      </c>
      <c r="B14" s="29" t="s">
        <v>3390</v>
      </c>
      <c r="C14" s="30" t="s">
        <v>2717</v>
      </c>
      <c r="D14" s="29" t="s">
        <v>3432</v>
      </c>
      <c r="E14" s="29" t="s">
        <v>10</v>
      </c>
      <c r="F14" s="29"/>
      <c r="G14" s="29" t="s">
        <v>3392</v>
      </c>
      <c r="H14" s="29" t="s">
        <v>3410</v>
      </c>
      <c r="I14" s="92" t="s">
        <v>3394</v>
      </c>
      <c r="J14" s="29">
        <v>58</v>
      </c>
      <c r="K14" s="29">
        <v>39</v>
      </c>
      <c r="L14" s="29">
        <v>19</v>
      </c>
      <c r="M14" s="29">
        <v>3</v>
      </c>
      <c r="N14" s="29">
        <v>1</v>
      </c>
      <c r="O14" s="60">
        <f t="shared" si="0"/>
        <v>6.8965517241379309E-2</v>
      </c>
      <c r="P14" s="29" t="s">
        <v>3411</v>
      </c>
      <c r="Q14" s="29">
        <v>7.6</v>
      </c>
      <c r="R14" s="29">
        <v>0.1</v>
      </c>
      <c r="S14" s="29">
        <v>18.100000000000001</v>
      </c>
      <c r="T14" s="29" t="s">
        <v>3434</v>
      </c>
      <c r="U14" s="58" t="s">
        <v>3646</v>
      </c>
      <c r="V14" s="29" t="s">
        <v>3435</v>
      </c>
      <c r="W14" s="29" t="s">
        <v>3436</v>
      </c>
      <c r="X14" s="29" t="s">
        <v>3408</v>
      </c>
      <c r="Y14" s="29">
        <v>1000</v>
      </c>
      <c r="Z14" s="70" t="s">
        <v>3661</v>
      </c>
      <c r="AA14" s="65">
        <v>0</v>
      </c>
      <c r="AB14" s="70">
        <v>0</v>
      </c>
      <c r="AC14" s="70">
        <v>0</v>
      </c>
      <c r="AD14" s="70">
        <v>0</v>
      </c>
      <c r="AE14" s="65">
        <v>0</v>
      </c>
      <c r="AF14" s="65">
        <v>0</v>
      </c>
      <c r="AG14" s="70">
        <v>0</v>
      </c>
      <c r="AH14" s="65">
        <v>0</v>
      </c>
      <c r="AI14" s="70">
        <v>0</v>
      </c>
      <c r="AJ14" s="70">
        <v>28</v>
      </c>
      <c r="AK14" s="70">
        <v>30</v>
      </c>
      <c r="AL14" s="70">
        <v>0</v>
      </c>
      <c r="AM14" s="23">
        <f t="shared" si="7"/>
        <v>120</v>
      </c>
      <c r="AN14" s="24" t="s">
        <v>3662</v>
      </c>
      <c r="AO14" s="24" t="s">
        <v>3662</v>
      </c>
      <c r="AP14" s="126">
        <v>58</v>
      </c>
      <c r="AQ14" s="126">
        <v>0</v>
      </c>
      <c r="AR14" s="126">
        <v>0</v>
      </c>
      <c r="AS14" s="126">
        <v>0</v>
      </c>
      <c r="AT14" s="126">
        <v>0</v>
      </c>
      <c r="AU14" s="126">
        <v>0</v>
      </c>
      <c r="AV14" s="126">
        <v>0</v>
      </c>
      <c r="AW14" s="126">
        <v>0</v>
      </c>
      <c r="AX14" s="126">
        <v>0</v>
      </c>
      <c r="AY14" s="126">
        <v>0</v>
      </c>
      <c r="AZ14" s="126">
        <v>0</v>
      </c>
      <c r="BA14" s="126">
        <v>0</v>
      </c>
      <c r="BB14" s="126">
        <v>0</v>
      </c>
      <c r="BC14" s="126">
        <v>0</v>
      </c>
      <c r="BD14" s="126">
        <v>0</v>
      </c>
      <c r="BE14" s="126">
        <v>0</v>
      </c>
      <c r="BF14" s="126">
        <v>40</v>
      </c>
      <c r="BG14" s="126">
        <v>18</v>
      </c>
      <c r="BH14" s="126">
        <v>37</v>
      </c>
      <c r="BI14" s="126">
        <v>15</v>
      </c>
      <c r="BJ14" s="126">
        <v>6</v>
      </c>
      <c r="BK14" s="126">
        <v>0</v>
      </c>
      <c r="BL14" t="str">
        <f t="shared" si="1"/>
        <v>CBT and Non-CBT</v>
      </c>
      <c r="BM14" t="str">
        <f t="shared" si="2"/>
        <v>Greater than or equal to 100 days</v>
      </c>
    </row>
    <row r="15" spans="1:65" ht="15.75" customHeight="1">
      <c r="A15" s="29">
        <v>22820131</v>
      </c>
      <c r="B15" s="29" t="s">
        <v>3390</v>
      </c>
      <c r="C15" s="30" t="s">
        <v>2706</v>
      </c>
      <c r="D15" s="29" t="s">
        <v>3437</v>
      </c>
      <c r="E15" s="29" t="s">
        <v>10</v>
      </c>
      <c r="F15" s="29"/>
      <c r="G15" s="29" t="s">
        <v>3392</v>
      </c>
      <c r="H15" s="29" t="s">
        <v>3393</v>
      </c>
      <c r="I15" s="92" t="s">
        <v>3394</v>
      </c>
      <c r="J15" s="29">
        <v>56</v>
      </c>
      <c r="K15" s="29">
        <v>29</v>
      </c>
      <c r="L15" s="29">
        <v>27</v>
      </c>
      <c r="M15" s="29">
        <v>8</v>
      </c>
      <c r="N15" s="29">
        <v>6</v>
      </c>
      <c r="O15" s="60">
        <f t="shared" si="0"/>
        <v>0.25</v>
      </c>
      <c r="P15" s="29"/>
      <c r="Q15" s="29">
        <v>4.5999999999999996</v>
      </c>
      <c r="R15" s="29">
        <v>0.2</v>
      </c>
      <c r="S15" s="29">
        <v>21.2</v>
      </c>
      <c r="T15" s="29" t="s">
        <v>3438</v>
      </c>
      <c r="U15" s="63" t="s">
        <v>3650</v>
      </c>
      <c r="V15" s="29" t="s">
        <v>3439</v>
      </c>
      <c r="W15" s="29" t="s">
        <v>3440</v>
      </c>
      <c r="X15" s="29" t="s">
        <v>3408</v>
      </c>
      <c r="Y15" s="29">
        <v>1000</v>
      </c>
      <c r="Z15" s="70" t="s">
        <v>3661</v>
      </c>
      <c r="AA15" s="70" t="s">
        <v>3400</v>
      </c>
      <c r="AB15" s="70" t="s">
        <v>3400</v>
      </c>
      <c r="AC15" s="70" t="s">
        <v>3400</v>
      </c>
      <c r="AD15" s="70" t="s">
        <v>3400</v>
      </c>
      <c r="AE15" s="70" t="s">
        <v>3400</v>
      </c>
      <c r="AF15" s="70" t="s">
        <v>3400</v>
      </c>
      <c r="AG15" s="70" t="s">
        <v>3400</v>
      </c>
      <c r="AH15" s="70" t="s">
        <v>3400</v>
      </c>
      <c r="AI15" s="70" t="s">
        <v>3400</v>
      </c>
      <c r="AJ15" s="70" t="s">
        <v>3400</v>
      </c>
      <c r="AK15" s="70" t="s">
        <v>3400</v>
      </c>
      <c r="AL15" s="70" t="s">
        <v>3400</v>
      </c>
      <c r="AM15" s="23">
        <f>4*30</f>
        <v>120</v>
      </c>
      <c r="AN15" s="24" t="s">
        <v>3662</v>
      </c>
      <c r="AO15" s="24" t="s">
        <v>3662</v>
      </c>
      <c r="AP15" s="126">
        <v>56</v>
      </c>
      <c r="AQ15" s="126">
        <v>0</v>
      </c>
      <c r="AR15" s="126">
        <v>0</v>
      </c>
      <c r="AS15" s="126">
        <v>0</v>
      </c>
      <c r="AT15" s="126">
        <v>0</v>
      </c>
      <c r="AU15" s="126">
        <v>0</v>
      </c>
      <c r="AV15" s="126">
        <v>0</v>
      </c>
      <c r="AW15" s="126">
        <v>0</v>
      </c>
      <c r="AX15" s="126">
        <v>0</v>
      </c>
      <c r="AY15" s="126">
        <v>0</v>
      </c>
      <c r="AZ15" s="126">
        <v>0</v>
      </c>
      <c r="BA15" s="126">
        <v>0</v>
      </c>
      <c r="BB15" s="126">
        <v>0</v>
      </c>
      <c r="BC15" s="126">
        <v>0</v>
      </c>
      <c r="BD15" s="126">
        <v>0</v>
      </c>
      <c r="BE15" s="126">
        <v>0</v>
      </c>
      <c r="BF15" s="126">
        <v>45</v>
      </c>
      <c r="BG15" s="126">
        <v>11</v>
      </c>
      <c r="BH15" s="126">
        <v>33</v>
      </c>
      <c r="BI15" s="126">
        <v>23</v>
      </c>
      <c r="BJ15" s="126">
        <v>0</v>
      </c>
      <c r="BK15" s="126">
        <v>0</v>
      </c>
      <c r="BL15" t="str">
        <f t="shared" si="1"/>
        <v>CBT and Non-CBT</v>
      </c>
      <c r="BM15" t="str">
        <f t="shared" si="2"/>
        <v>Greater than or equal to 100 days</v>
      </c>
    </row>
    <row r="16" spans="1:65" ht="15.75" customHeight="1">
      <c r="A16" s="29">
        <v>22212513</v>
      </c>
      <c r="B16" s="29" t="s">
        <v>3446</v>
      </c>
      <c r="C16" s="31" t="s">
        <v>2726</v>
      </c>
      <c r="D16" s="29" t="s">
        <v>3447</v>
      </c>
      <c r="E16" s="29" t="s">
        <v>10</v>
      </c>
      <c r="F16" s="29"/>
      <c r="G16" s="29" t="s">
        <v>3392</v>
      </c>
      <c r="H16" s="29" t="s">
        <v>3393</v>
      </c>
      <c r="I16" s="92" t="s">
        <v>3425</v>
      </c>
      <c r="J16" s="29">
        <v>235</v>
      </c>
      <c r="K16" s="29">
        <v>123</v>
      </c>
      <c r="L16" s="29">
        <v>112</v>
      </c>
      <c r="M16" s="29">
        <v>26</v>
      </c>
      <c r="N16" s="29">
        <v>12</v>
      </c>
      <c r="O16" s="60">
        <f t="shared" si="0"/>
        <v>0.16170212765957448</v>
      </c>
      <c r="P16" s="92" t="s">
        <v>3706</v>
      </c>
      <c r="Q16" s="29">
        <v>42.2</v>
      </c>
      <c r="R16" s="29">
        <v>2.6</v>
      </c>
      <c r="S16" s="29">
        <v>62.6</v>
      </c>
      <c r="T16" s="29" t="s">
        <v>3448</v>
      </c>
      <c r="U16" s="58" t="s">
        <v>3646</v>
      </c>
      <c r="V16" s="29" t="s">
        <v>3449</v>
      </c>
      <c r="W16" s="29" t="s">
        <v>3450</v>
      </c>
      <c r="X16" s="63" t="s">
        <v>3650</v>
      </c>
      <c r="Y16" s="59" t="s">
        <v>3650</v>
      </c>
      <c r="Z16" s="70" t="s">
        <v>3659</v>
      </c>
      <c r="AA16" s="70">
        <v>0</v>
      </c>
      <c r="AB16" s="70">
        <v>0</v>
      </c>
      <c r="AC16" s="70">
        <v>16</v>
      </c>
      <c r="AD16" s="70">
        <v>0</v>
      </c>
      <c r="AE16" s="70">
        <v>23</v>
      </c>
      <c r="AF16" s="70">
        <v>11</v>
      </c>
      <c r="AG16" s="70">
        <v>19</v>
      </c>
      <c r="AH16" s="70">
        <f>131+8</f>
        <v>139</v>
      </c>
      <c r="AI16" s="70">
        <v>0</v>
      </c>
      <c r="AJ16" s="70">
        <v>14</v>
      </c>
      <c r="AK16" s="70">
        <v>7</v>
      </c>
      <c r="AL16" s="70">
        <v>6</v>
      </c>
      <c r="AM16" s="23">
        <f>7*4</f>
        <v>28</v>
      </c>
      <c r="AN16" s="24" t="s">
        <v>3662</v>
      </c>
      <c r="AO16" s="24" t="s">
        <v>3662</v>
      </c>
      <c r="AP16" s="126">
        <v>0</v>
      </c>
      <c r="AQ16" s="126">
        <v>0</v>
      </c>
      <c r="AR16" s="126">
        <v>0</v>
      </c>
      <c r="AS16" s="126">
        <v>0</v>
      </c>
      <c r="AT16" s="126">
        <v>0</v>
      </c>
      <c r="AU16" s="126">
        <v>0</v>
      </c>
      <c r="AV16" s="126">
        <v>0</v>
      </c>
      <c r="AW16" s="126">
        <v>0</v>
      </c>
      <c r="AX16" s="126">
        <v>0</v>
      </c>
      <c r="AY16" s="126">
        <v>0</v>
      </c>
      <c r="AZ16" s="126">
        <v>153</v>
      </c>
      <c r="BA16" s="126">
        <v>82</v>
      </c>
      <c r="BB16" s="126">
        <v>0</v>
      </c>
      <c r="BC16" s="126">
        <v>0</v>
      </c>
      <c r="BD16" s="126">
        <v>0</v>
      </c>
      <c r="BE16" s="126">
        <v>0</v>
      </c>
      <c r="BF16" s="126">
        <v>82</v>
      </c>
      <c r="BG16" s="126">
        <v>153</v>
      </c>
      <c r="BH16" s="126">
        <v>127</v>
      </c>
      <c r="BI16" s="126">
        <v>34</v>
      </c>
      <c r="BJ16" s="126">
        <v>74</v>
      </c>
      <c r="BK16" s="126">
        <v>0</v>
      </c>
      <c r="BL16" t="str">
        <f t="shared" si="1"/>
        <v>CBT and Non-CBT</v>
      </c>
      <c r="BM16" t="str">
        <f t="shared" si="2"/>
        <v>Less than 100 days</v>
      </c>
    </row>
    <row r="17" spans="1:65" ht="15.75" customHeight="1">
      <c r="A17" s="29">
        <v>18512026</v>
      </c>
      <c r="B17" s="29" t="s">
        <v>3451</v>
      </c>
      <c r="C17" s="31" t="s">
        <v>2738</v>
      </c>
      <c r="D17" s="29" t="s">
        <v>3452</v>
      </c>
      <c r="E17" s="29" t="s">
        <v>10</v>
      </c>
      <c r="F17" s="29"/>
      <c r="G17" s="29" t="s">
        <v>3392</v>
      </c>
      <c r="H17" s="29" t="s">
        <v>3409</v>
      </c>
      <c r="I17" s="92" t="s">
        <v>3407</v>
      </c>
      <c r="J17" s="29">
        <v>26</v>
      </c>
      <c r="K17" s="29">
        <v>10</v>
      </c>
      <c r="L17" s="29">
        <v>16</v>
      </c>
      <c r="M17" s="29">
        <v>6</v>
      </c>
      <c r="N17" s="29">
        <v>4</v>
      </c>
      <c r="O17" s="60">
        <f t="shared" si="0"/>
        <v>0.38461538461538464</v>
      </c>
      <c r="P17" s="29" t="s">
        <v>3592</v>
      </c>
      <c r="Q17" s="29">
        <v>32</v>
      </c>
      <c r="R17" s="29">
        <v>18</v>
      </c>
      <c r="S17" s="29">
        <v>56</v>
      </c>
      <c r="T17" s="29" t="s">
        <v>3453</v>
      </c>
      <c r="U17" s="58" t="s">
        <v>3646</v>
      </c>
      <c r="V17" s="29" t="s">
        <v>3400</v>
      </c>
      <c r="W17" s="29" t="s">
        <v>3400</v>
      </c>
      <c r="X17" s="29" t="s">
        <v>3408</v>
      </c>
      <c r="Y17" s="59" t="s">
        <v>3650</v>
      </c>
      <c r="Z17" s="70" t="s">
        <v>3659</v>
      </c>
      <c r="AA17" s="70">
        <v>9</v>
      </c>
      <c r="AB17" s="70">
        <v>13</v>
      </c>
      <c r="AC17" s="70">
        <v>1</v>
      </c>
      <c r="AD17" s="70">
        <v>0</v>
      </c>
      <c r="AE17" s="70">
        <v>2</v>
      </c>
      <c r="AF17" s="70">
        <v>0</v>
      </c>
      <c r="AG17" s="70">
        <v>0</v>
      </c>
      <c r="AH17" s="70">
        <v>0</v>
      </c>
      <c r="AI17" s="70">
        <v>0</v>
      </c>
      <c r="AJ17" s="70">
        <v>0</v>
      </c>
      <c r="AK17" s="70">
        <v>1</v>
      </c>
      <c r="AL17" s="70">
        <v>0</v>
      </c>
      <c r="AM17" s="23">
        <v>100</v>
      </c>
      <c r="AN17" s="24" t="s">
        <v>3662</v>
      </c>
      <c r="AO17" s="24" t="s">
        <v>3662</v>
      </c>
      <c r="AP17" s="126" t="s">
        <v>3650</v>
      </c>
      <c r="AQ17" s="126" t="s">
        <v>3650</v>
      </c>
      <c r="AR17" s="126" t="s">
        <v>3650</v>
      </c>
      <c r="AS17" s="126" t="s">
        <v>3650</v>
      </c>
      <c r="AT17" s="126" t="s">
        <v>3650</v>
      </c>
      <c r="AU17" s="126" t="s">
        <v>3650</v>
      </c>
      <c r="AV17" s="126" t="s">
        <v>3650</v>
      </c>
      <c r="AW17" s="126" t="s">
        <v>3650</v>
      </c>
      <c r="AX17" s="126" t="s">
        <v>3650</v>
      </c>
      <c r="AY17" s="126" t="s">
        <v>3650</v>
      </c>
      <c r="AZ17" s="126" t="s">
        <v>3650</v>
      </c>
      <c r="BA17" s="126" t="s">
        <v>3650</v>
      </c>
      <c r="BB17" s="126" t="s">
        <v>3650</v>
      </c>
      <c r="BC17" s="126" t="s">
        <v>3650</v>
      </c>
      <c r="BD17" s="126" t="s">
        <v>3650</v>
      </c>
      <c r="BE17" s="126" t="s">
        <v>3650</v>
      </c>
      <c r="BF17" s="126" t="s">
        <v>3650</v>
      </c>
      <c r="BG17" s="126" t="s">
        <v>3650</v>
      </c>
      <c r="BH17" s="126">
        <v>3</v>
      </c>
      <c r="BI17" s="126">
        <v>3</v>
      </c>
      <c r="BJ17" s="126">
        <v>20</v>
      </c>
      <c r="BK17" s="126">
        <v>0</v>
      </c>
      <c r="BL17" t="str">
        <f t="shared" si="1"/>
        <v>CBT and Non-CBT</v>
      </c>
      <c r="BM17" t="str">
        <f t="shared" si="2"/>
        <v>Greater than or equal to 100 days</v>
      </c>
    </row>
    <row r="18" spans="1:65" ht="15.75" customHeight="1">
      <c r="A18" s="29">
        <v>24810656</v>
      </c>
      <c r="B18" s="29" t="s">
        <v>3405</v>
      </c>
      <c r="C18" s="31" t="s">
        <v>2750</v>
      </c>
      <c r="D18" s="29" t="s">
        <v>3456</v>
      </c>
      <c r="E18" s="29" t="s">
        <v>10</v>
      </c>
      <c r="F18" s="29"/>
      <c r="G18" s="29" t="s">
        <v>3392</v>
      </c>
      <c r="H18" s="29" t="s">
        <v>3393</v>
      </c>
      <c r="I18" s="92" t="s">
        <v>3407</v>
      </c>
      <c r="J18" s="29">
        <v>49</v>
      </c>
      <c r="K18" s="29">
        <v>17</v>
      </c>
      <c r="L18" s="29">
        <v>32</v>
      </c>
      <c r="M18" s="29">
        <v>13</v>
      </c>
      <c r="N18" s="29">
        <v>8</v>
      </c>
      <c r="O18" s="60">
        <f t="shared" si="0"/>
        <v>0.42857142857142855</v>
      </c>
      <c r="P18" s="29"/>
      <c r="Q18" s="29">
        <v>45</v>
      </c>
      <c r="R18" s="29">
        <v>17</v>
      </c>
      <c r="S18" s="29">
        <v>69</v>
      </c>
      <c r="T18" s="29" t="s">
        <v>3457</v>
      </c>
      <c r="U18" s="58" t="s">
        <v>3646</v>
      </c>
      <c r="V18" s="29" t="s">
        <v>3458</v>
      </c>
      <c r="W18" s="29" t="s">
        <v>3597</v>
      </c>
      <c r="X18" s="29" t="s">
        <v>3459</v>
      </c>
      <c r="Y18" s="29">
        <v>20</v>
      </c>
      <c r="Z18" s="70" t="s">
        <v>3659</v>
      </c>
      <c r="AA18" s="70">
        <v>15</v>
      </c>
      <c r="AB18" s="70">
        <v>23</v>
      </c>
      <c r="AC18" s="70">
        <v>1</v>
      </c>
      <c r="AD18" s="70">
        <v>0</v>
      </c>
      <c r="AE18" s="70">
        <v>1</v>
      </c>
      <c r="AF18" s="70">
        <v>0</v>
      </c>
      <c r="AG18" s="70">
        <v>6</v>
      </c>
      <c r="AH18" s="70">
        <v>2</v>
      </c>
      <c r="AI18" s="70">
        <v>0</v>
      </c>
      <c r="AJ18" s="70">
        <v>0</v>
      </c>
      <c r="AK18" s="70">
        <v>0</v>
      </c>
      <c r="AL18" s="70">
        <v>0</v>
      </c>
      <c r="AM18" s="23" t="s">
        <v>3420</v>
      </c>
      <c r="AN18" s="63" t="s">
        <v>3650</v>
      </c>
      <c r="AO18" s="24" t="s">
        <v>3420</v>
      </c>
      <c r="AP18" s="126">
        <v>27</v>
      </c>
      <c r="AQ18" s="126">
        <v>22</v>
      </c>
      <c r="AR18" s="126">
        <v>0</v>
      </c>
      <c r="AS18" s="126">
        <v>0</v>
      </c>
      <c r="AT18" s="126">
        <v>0</v>
      </c>
      <c r="AU18" s="126">
        <v>0</v>
      </c>
      <c r="AV18" s="126">
        <v>0</v>
      </c>
      <c r="AW18" s="126">
        <v>0</v>
      </c>
      <c r="AX18" s="126">
        <v>0</v>
      </c>
      <c r="AY18" s="126">
        <v>0</v>
      </c>
      <c r="AZ18" s="126">
        <v>0</v>
      </c>
      <c r="BA18" s="126">
        <v>0</v>
      </c>
      <c r="BB18" s="126">
        <v>0</v>
      </c>
      <c r="BC18" s="126">
        <v>0</v>
      </c>
      <c r="BD18" s="126">
        <v>0</v>
      </c>
      <c r="BE18" s="126">
        <v>0</v>
      </c>
      <c r="BF18" s="126">
        <v>29</v>
      </c>
      <c r="BG18" s="126">
        <v>20</v>
      </c>
      <c r="BH18" s="126">
        <v>21</v>
      </c>
      <c r="BI18" s="126">
        <v>15</v>
      </c>
      <c r="BJ18" s="126">
        <v>13</v>
      </c>
      <c r="BK18" s="126">
        <v>0</v>
      </c>
      <c r="BL18" t="str">
        <f t="shared" si="1"/>
        <v>CBT and Non-CBT</v>
      </c>
      <c r="BM18" t="str">
        <f t="shared" si="2"/>
        <v>Greater than or equal to 100 days</v>
      </c>
    </row>
    <row r="19" spans="1:65" ht="15.75" customHeight="1">
      <c r="A19" s="32">
        <v>33326670</v>
      </c>
      <c r="B19" s="29" t="s">
        <v>3460</v>
      </c>
      <c r="C19" s="20" t="s">
        <v>2753</v>
      </c>
      <c r="D19" s="29" t="s">
        <v>3461</v>
      </c>
      <c r="E19" s="29" t="s">
        <v>10</v>
      </c>
      <c r="F19" s="29"/>
      <c r="G19" s="29" t="s">
        <v>3392</v>
      </c>
      <c r="H19" s="29" t="s">
        <v>3409</v>
      </c>
      <c r="I19" s="92" t="s">
        <v>3425</v>
      </c>
      <c r="J19" s="29">
        <v>102</v>
      </c>
      <c r="K19" s="29">
        <v>77</v>
      </c>
      <c r="L19" s="29">
        <v>25</v>
      </c>
      <c r="M19" s="29">
        <v>22</v>
      </c>
      <c r="N19" s="29">
        <v>5</v>
      </c>
      <c r="O19" s="60">
        <f t="shared" si="0"/>
        <v>0.26470588235294118</v>
      </c>
      <c r="P19" s="29" t="s">
        <v>3397</v>
      </c>
      <c r="Q19" s="29">
        <v>25</v>
      </c>
      <c r="R19" s="29">
        <v>2</v>
      </c>
      <c r="S19" s="29">
        <v>58</v>
      </c>
      <c r="T19" s="29" t="s">
        <v>3462</v>
      </c>
      <c r="U19" s="58" t="s">
        <v>3648</v>
      </c>
      <c r="V19" s="29" t="s">
        <v>3463</v>
      </c>
      <c r="W19" s="29" t="s">
        <v>3464</v>
      </c>
      <c r="X19" s="92" t="s">
        <v>3408</v>
      </c>
      <c r="Y19" s="29">
        <v>500</v>
      </c>
      <c r="Z19" s="70" t="s">
        <v>3661</v>
      </c>
      <c r="AA19" s="70">
        <v>47</v>
      </c>
      <c r="AB19" s="70">
        <v>45</v>
      </c>
      <c r="AC19" s="70">
        <v>0</v>
      </c>
      <c r="AD19" s="70">
        <v>0</v>
      </c>
      <c r="AE19" s="70">
        <v>10</v>
      </c>
      <c r="AF19" s="70">
        <v>0</v>
      </c>
      <c r="AG19" s="70">
        <v>0</v>
      </c>
      <c r="AH19" s="70">
        <v>0</v>
      </c>
      <c r="AI19" s="70">
        <v>0</v>
      </c>
      <c r="AJ19" s="70">
        <v>0</v>
      </c>
      <c r="AK19" s="70">
        <v>0</v>
      </c>
      <c r="AL19" s="70">
        <v>0</v>
      </c>
      <c r="AM19" s="23">
        <v>100</v>
      </c>
      <c r="AN19" s="24" t="s">
        <v>3662</v>
      </c>
      <c r="AO19" s="24" t="s">
        <v>3662</v>
      </c>
      <c r="AP19" s="126">
        <v>0</v>
      </c>
      <c r="AQ19" s="126">
        <v>0</v>
      </c>
      <c r="AR19" s="126">
        <v>0</v>
      </c>
      <c r="AS19" s="126">
        <v>0</v>
      </c>
      <c r="AT19" s="126">
        <v>0</v>
      </c>
      <c r="AU19" s="126">
        <v>0</v>
      </c>
      <c r="AV19" s="126">
        <v>0</v>
      </c>
      <c r="AW19" s="126">
        <v>0</v>
      </c>
      <c r="AX19" s="126">
        <v>0</v>
      </c>
      <c r="AY19" s="126">
        <v>0</v>
      </c>
      <c r="AZ19" s="126">
        <v>0</v>
      </c>
      <c r="BA19" s="126">
        <v>0</v>
      </c>
      <c r="BB19" s="126">
        <v>0</v>
      </c>
      <c r="BC19" s="126">
        <v>0</v>
      </c>
      <c r="BD19" s="126">
        <v>102</v>
      </c>
      <c r="BE19" s="126">
        <v>0</v>
      </c>
      <c r="BF19" s="126">
        <v>0</v>
      </c>
      <c r="BG19" s="126">
        <v>102</v>
      </c>
      <c r="BH19" s="126">
        <v>0</v>
      </c>
      <c r="BI19" s="126">
        <v>0</v>
      </c>
      <c r="BJ19" s="126">
        <v>0</v>
      </c>
      <c r="BK19" s="126">
        <v>102</v>
      </c>
      <c r="BL19" t="str">
        <f t="shared" si="1"/>
        <v>Source Unclear</v>
      </c>
      <c r="BM19" t="str">
        <f t="shared" si="2"/>
        <v>Greater than or equal to 100 days</v>
      </c>
    </row>
    <row r="20" spans="1:65" ht="15.75" customHeight="1">
      <c r="A20" s="32">
        <v>33326670</v>
      </c>
      <c r="B20" s="29" t="s">
        <v>3460</v>
      </c>
      <c r="C20" s="20" t="s">
        <v>2753</v>
      </c>
      <c r="D20" s="29" t="s">
        <v>3461</v>
      </c>
      <c r="E20" s="29" t="s">
        <v>10</v>
      </c>
      <c r="F20" s="29"/>
      <c r="G20" s="29" t="s">
        <v>3392</v>
      </c>
      <c r="H20" s="29" t="s">
        <v>3393</v>
      </c>
      <c r="I20" s="92" t="s">
        <v>3425</v>
      </c>
      <c r="J20" s="29">
        <v>102</v>
      </c>
      <c r="K20" s="29">
        <v>77</v>
      </c>
      <c r="L20" s="29">
        <v>25</v>
      </c>
      <c r="M20" s="29">
        <v>32</v>
      </c>
      <c r="N20" s="29">
        <v>7</v>
      </c>
      <c r="O20" s="60">
        <f t="shared" si="0"/>
        <v>0.38235294117647056</v>
      </c>
      <c r="P20" s="29" t="s">
        <v>3397</v>
      </c>
      <c r="Q20" s="29">
        <v>25</v>
      </c>
      <c r="R20" s="29">
        <v>2</v>
      </c>
      <c r="S20" s="29">
        <v>58</v>
      </c>
      <c r="T20" s="29" t="s">
        <v>3462</v>
      </c>
      <c r="U20" s="58" t="s">
        <v>3648</v>
      </c>
      <c r="V20" s="29" t="s">
        <v>3463</v>
      </c>
      <c r="W20" s="29" t="s">
        <v>3464</v>
      </c>
      <c r="X20" s="92" t="s">
        <v>3408</v>
      </c>
      <c r="Y20" s="29">
        <v>500</v>
      </c>
      <c r="Z20" s="70" t="s">
        <v>3661</v>
      </c>
      <c r="AA20" s="70">
        <v>47</v>
      </c>
      <c r="AB20" s="70">
        <v>45</v>
      </c>
      <c r="AC20" s="70">
        <v>0</v>
      </c>
      <c r="AD20" s="70">
        <v>0</v>
      </c>
      <c r="AE20" s="70">
        <v>10</v>
      </c>
      <c r="AF20" s="70">
        <v>0</v>
      </c>
      <c r="AG20" s="70">
        <v>0</v>
      </c>
      <c r="AH20" s="70">
        <v>0</v>
      </c>
      <c r="AI20" s="70">
        <v>0</v>
      </c>
      <c r="AJ20" s="70">
        <v>0</v>
      </c>
      <c r="AK20" s="70">
        <v>0</v>
      </c>
      <c r="AL20" s="70">
        <v>0</v>
      </c>
      <c r="AM20" s="23">
        <v>100</v>
      </c>
      <c r="AN20" s="24" t="s">
        <v>3662</v>
      </c>
      <c r="AO20" s="24" t="s">
        <v>3662</v>
      </c>
      <c r="AP20" s="126">
        <v>0</v>
      </c>
      <c r="AQ20" s="126">
        <v>0</v>
      </c>
      <c r="AR20" s="126">
        <v>0</v>
      </c>
      <c r="AS20" s="126">
        <v>0</v>
      </c>
      <c r="AT20" s="126">
        <v>0</v>
      </c>
      <c r="AU20" s="126">
        <v>0</v>
      </c>
      <c r="AV20" s="126">
        <v>0</v>
      </c>
      <c r="AW20" s="126">
        <v>0</v>
      </c>
      <c r="AX20" s="126">
        <v>0</v>
      </c>
      <c r="AY20" s="126">
        <v>0</v>
      </c>
      <c r="AZ20" s="126">
        <v>0</v>
      </c>
      <c r="BA20" s="126">
        <v>0</v>
      </c>
      <c r="BB20" s="126">
        <v>0</v>
      </c>
      <c r="BC20" s="126">
        <v>0</v>
      </c>
      <c r="BD20" s="126">
        <v>102</v>
      </c>
      <c r="BE20" s="126">
        <v>0</v>
      </c>
      <c r="BF20" s="126">
        <v>0</v>
      </c>
      <c r="BG20" s="126">
        <v>102</v>
      </c>
      <c r="BH20" s="126">
        <v>0</v>
      </c>
      <c r="BI20" s="126">
        <v>0</v>
      </c>
      <c r="BJ20" s="126">
        <v>0</v>
      </c>
      <c r="BK20" s="126">
        <v>102</v>
      </c>
      <c r="BL20" t="str">
        <f t="shared" si="1"/>
        <v>Source Unclear</v>
      </c>
      <c r="BM20" t="str">
        <f t="shared" si="2"/>
        <v>Greater than or equal to 100 days</v>
      </c>
    </row>
    <row r="21" spans="1:65" ht="15.75" customHeight="1">
      <c r="A21" s="32">
        <v>33326670</v>
      </c>
      <c r="B21" s="29" t="s">
        <v>3460</v>
      </c>
      <c r="C21" s="20" t="s">
        <v>2753</v>
      </c>
      <c r="D21" s="29" t="s">
        <v>3461</v>
      </c>
      <c r="E21" s="29" t="s">
        <v>10</v>
      </c>
      <c r="F21" s="29"/>
      <c r="G21" s="29" t="s">
        <v>3392</v>
      </c>
      <c r="H21" s="29" t="s">
        <v>3410</v>
      </c>
      <c r="I21" s="92" t="s">
        <v>3425</v>
      </c>
      <c r="J21" s="29">
        <v>102</v>
      </c>
      <c r="K21" s="29">
        <v>77</v>
      </c>
      <c r="L21" s="29">
        <v>25</v>
      </c>
      <c r="M21" s="29">
        <v>10</v>
      </c>
      <c r="N21" s="29">
        <v>2</v>
      </c>
      <c r="O21" s="60">
        <f t="shared" si="0"/>
        <v>0.11764705882352941</v>
      </c>
      <c r="P21" s="29" t="s">
        <v>3397</v>
      </c>
      <c r="Q21" s="29">
        <v>25</v>
      </c>
      <c r="R21" s="29">
        <v>2</v>
      </c>
      <c r="S21" s="29">
        <v>58</v>
      </c>
      <c r="T21" s="29" t="s">
        <v>3462</v>
      </c>
      <c r="U21" s="58" t="s">
        <v>3648</v>
      </c>
      <c r="V21" s="29" t="s">
        <v>3463</v>
      </c>
      <c r="W21" s="29" t="s">
        <v>3464</v>
      </c>
      <c r="X21" s="92" t="s">
        <v>3408</v>
      </c>
      <c r="Y21" s="29">
        <v>500</v>
      </c>
      <c r="Z21" s="70" t="s">
        <v>3661</v>
      </c>
      <c r="AA21" s="70">
        <v>47</v>
      </c>
      <c r="AB21" s="70">
        <v>45</v>
      </c>
      <c r="AC21" s="70">
        <v>0</v>
      </c>
      <c r="AD21" s="70">
        <v>0</v>
      </c>
      <c r="AE21" s="70">
        <v>10</v>
      </c>
      <c r="AF21" s="70">
        <v>0</v>
      </c>
      <c r="AG21" s="70">
        <v>0</v>
      </c>
      <c r="AH21" s="70">
        <v>0</v>
      </c>
      <c r="AI21" s="70">
        <v>0</v>
      </c>
      <c r="AJ21" s="70">
        <v>0</v>
      </c>
      <c r="AK21" s="70">
        <v>0</v>
      </c>
      <c r="AL21" s="70">
        <v>0</v>
      </c>
      <c r="AM21" s="23">
        <v>100</v>
      </c>
      <c r="AN21" s="24" t="s">
        <v>3662</v>
      </c>
      <c r="AO21" s="24" t="s">
        <v>3662</v>
      </c>
      <c r="AP21" s="126">
        <v>0</v>
      </c>
      <c r="AQ21" s="126">
        <v>0</v>
      </c>
      <c r="AR21" s="126">
        <v>0</v>
      </c>
      <c r="AS21" s="126">
        <v>0</v>
      </c>
      <c r="AT21" s="126">
        <v>0</v>
      </c>
      <c r="AU21" s="126">
        <v>0</v>
      </c>
      <c r="AV21" s="126">
        <v>0</v>
      </c>
      <c r="AW21" s="126">
        <v>0</v>
      </c>
      <c r="AX21" s="126">
        <v>0</v>
      </c>
      <c r="AY21" s="126">
        <v>0</v>
      </c>
      <c r="AZ21" s="126">
        <v>0</v>
      </c>
      <c r="BA21" s="126">
        <v>0</v>
      </c>
      <c r="BB21" s="126">
        <v>0</v>
      </c>
      <c r="BC21" s="126">
        <v>0</v>
      </c>
      <c r="BD21" s="126">
        <v>102</v>
      </c>
      <c r="BE21" s="126">
        <v>0</v>
      </c>
      <c r="BF21" s="126">
        <v>0</v>
      </c>
      <c r="BG21" s="126">
        <v>102</v>
      </c>
      <c r="BH21" s="126">
        <v>0</v>
      </c>
      <c r="BI21" s="126">
        <v>0</v>
      </c>
      <c r="BJ21" s="126">
        <v>0</v>
      </c>
      <c r="BK21" s="126">
        <v>102</v>
      </c>
      <c r="BL21" t="str">
        <f t="shared" si="1"/>
        <v>Source Unclear</v>
      </c>
      <c r="BM21" t="str">
        <f t="shared" si="2"/>
        <v>Greater than or equal to 100 days</v>
      </c>
    </row>
    <row r="22" spans="1:65" ht="15.75" customHeight="1">
      <c r="A22" s="29">
        <v>29020348</v>
      </c>
      <c r="B22" s="29" t="s">
        <v>3416</v>
      </c>
      <c r="C22" s="30" t="s">
        <v>2759</v>
      </c>
      <c r="D22" s="36" t="s">
        <v>3607</v>
      </c>
      <c r="E22" s="29" t="s">
        <v>10</v>
      </c>
      <c r="F22" s="29"/>
      <c r="G22" s="29" t="s">
        <v>3392</v>
      </c>
      <c r="H22" s="29" t="s">
        <v>3393</v>
      </c>
      <c r="I22" s="92" t="s">
        <v>3407</v>
      </c>
      <c r="J22" s="29">
        <v>404</v>
      </c>
      <c r="K22" s="29">
        <v>188</v>
      </c>
      <c r="L22" s="29">
        <v>216</v>
      </c>
      <c r="M22" s="29">
        <v>71</v>
      </c>
      <c r="N22" s="29">
        <v>61</v>
      </c>
      <c r="O22" s="60">
        <f t="shared" si="0"/>
        <v>0.32673267326732675</v>
      </c>
      <c r="P22" s="29" t="s">
        <v>3558</v>
      </c>
      <c r="Q22" s="29" t="s">
        <v>3420</v>
      </c>
      <c r="R22" s="29" t="s">
        <v>3420</v>
      </c>
      <c r="S22" s="29" t="s">
        <v>3420</v>
      </c>
      <c r="T22" s="29" t="s">
        <v>3598</v>
      </c>
      <c r="U22" s="58" t="s">
        <v>3646</v>
      </c>
      <c r="V22" s="29" t="s">
        <v>3400</v>
      </c>
      <c r="W22" s="29" t="s">
        <v>3400</v>
      </c>
      <c r="X22" s="29" t="s">
        <v>3408</v>
      </c>
      <c r="Y22" s="29">
        <v>50</v>
      </c>
      <c r="Z22" s="70" t="s">
        <v>3659</v>
      </c>
      <c r="AA22" s="70">
        <v>0</v>
      </c>
      <c r="AB22" s="70">
        <v>0</v>
      </c>
      <c r="AC22" s="70">
        <v>0</v>
      </c>
      <c r="AD22" s="70">
        <v>0</v>
      </c>
      <c r="AE22" s="70">
        <v>0</v>
      </c>
      <c r="AF22" s="70">
        <v>0</v>
      </c>
      <c r="AG22" s="70">
        <v>232</v>
      </c>
      <c r="AH22" s="65">
        <f>928+186</f>
        <v>1114</v>
      </c>
      <c r="AI22" s="70">
        <v>0</v>
      </c>
      <c r="AJ22" s="70">
        <v>0</v>
      </c>
      <c r="AK22" s="70">
        <v>158</v>
      </c>
      <c r="AL22" s="70">
        <v>422</v>
      </c>
      <c r="AM22" s="23">
        <v>365</v>
      </c>
      <c r="AN22" s="63" t="s">
        <v>3650</v>
      </c>
      <c r="AO22" s="24" t="s">
        <v>3420</v>
      </c>
      <c r="AP22" s="126" t="s">
        <v>3650</v>
      </c>
      <c r="AQ22" s="126" t="s">
        <v>3650</v>
      </c>
      <c r="AR22" s="126" t="s">
        <v>3650</v>
      </c>
      <c r="AS22" s="126" t="s">
        <v>3650</v>
      </c>
      <c r="AT22" s="126" t="s">
        <v>3650</v>
      </c>
      <c r="AU22" s="126" t="s">
        <v>3650</v>
      </c>
      <c r="AV22" s="126" t="s">
        <v>3650</v>
      </c>
      <c r="AW22" s="126" t="s">
        <v>3650</v>
      </c>
      <c r="AX22" s="126" t="s">
        <v>3650</v>
      </c>
      <c r="AY22" s="126" t="s">
        <v>3650</v>
      </c>
      <c r="AZ22" s="126" t="s">
        <v>3650</v>
      </c>
      <c r="BA22" s="126" t="s">
        <v>3650</v>
      </c>
      <c r="BB22" s="126" t="s">
        <v>3650</v>
      </c>
      <c r="BC22" s="126" t="s">
        <v>3650</v>
      </c>
      <c r="BD22" s="126" t="s">
        <v>3650</v>
      </c>
      <c r="BE22" s="126" t="s">
        <v>3650</v>
      </c>
      <c r="BF22" s="126">
        <v>250</v>
      </c>
      <c r="BG22" s="126">
        <v>154</v>
      </c>
      <c r="BH22" s="126">
        <v>0</v>
      </c>
      <c r="BI22" s="126">
        <v>232</v>
      </c>
      <c r="BJ22" s="126">
        <v>0</v>
      </c>
      <c r="BK22">
        <f>1392+302</f>
        <v>1694</v>
      </c>
      <c r="BL22" t="str">
        <f t="shared" si="1"/>
        <v>CBT</v>
      </c>
      <c r="BM22" t="str">
        <f t="shared" si="2"/>
        <v>Greater than or equal to 100 days</v>
      </c>
    </row>
    <row r="23" spans="1:65" ht="15.75" customHeight="1">
      <c r="A23" s="29">
        <v>29542206</v>
      </c>
      <c r="B23" s="29" t="s">
        <v>3405</v>
      </c>
      <c r="C23" s="31" t="s">
        <v>2769</v>
      </c>
      <c r="D23" s="29" t="s">
        <v>3465</v>
      </c>
      <c r="E23" s="29" t="s">
        <v>10</v>
      </c>
      <c r="F23" s="29"/>
      <c r="G23" s="29" t="s">
        <v>3392</v>
      </c>
      <c r="H23" s="29" t="s">
        <v>3393</v>
      </c>
      <c r="I23" s="92" t="s">
        <v>3425</v>
      </c>
      <c r="J23" s="29">
        <v>72</v>
      </c>
      <c r="K23" s="29">
        <v>48</v>
      </c>
      <c r="L23" s="29">
        <v>24</v>
      </c>
      <c r="M23" s="29">
        <v>23</v>
      </c>
      <c r="N23" s="29">
        <v>13</v>
      </c>
      <c r="O23" s="60">
        <f t="shared" si="0"/>
        <v>0.5</v>
      </c>
      <c r="P23" s="29" t="s">
        <v>3419</v>
      </c>
      <c r="Q23" s="29" t="s">
        <v>3420</v>
      </c>
      <c r="R23" s="29">
        <v>0.3</v>
      </c>
      <c r="S23" s="29">
        <v>67</v>
      </c>
      <c r="T23" s="29" t="s">
        <v>3466</v>
      </c>
      <c r="U23" s="58" t="s">
        <v>3648</v>
      </c>
      <c r="V23" s="29" t="s">
        <v>3467</v>
      </c>
      <c r="W23" s="29" t="s">
        <v>3468</v>
      </c>
      <c r="X23" s="29" t="s">
        <v>3401</v>
      </c>
      <c r="Y23" s="29">
        <v>50</v>
      </c>
      <c r="Z23" s="70" t="s">
        <v>3661</v>
      </c>
      <c r="AA23" s="70" t="s">
        <v>3400</v>
      </c>
      <c r="AB23" s="70" t="s">
        <v>3400</v>
      </c>
      <c r="AC23" s="70" t="s">
        <v>3400</v>
      </c>
      <c r="AD23" s="70" t="s">
        <v>3400</v>
      </c>
      <c r="AE23" s="70" t="s">
        <v>3400</v>
      </c>
      <c r="AF23" s="70" t="s">
        <v>3400</v>
      </c>
      <c r="AG23" s="70" t="s">
        <v>3400</v>
      </c>
      <c r="AH23" s="70" t="s">
        <v>3400</v>
      </c>
      <c r="AI23" s="70" t="s">
        <v>3400</v>
      </c>
      <c r="AJ23" s="70" t="s">
        <v>3400</v>
      </c>
      <c r="AK23" s="70" t="s">
        <v>3400</v>
      </c>
      <c r="AL23" s="70" t="s">
        <v>3400</v>
      </c>
      <c r="AM23" s="23">
        <f>6*7</f>
        <v>42</v>
      </c>
      <c r="AN23" s="24" t="s">
        <v>3662</v>
      </c>
      <c r="AO23" s="24" t="s">
        <v>3662</v>
      </c>
      <c r="AP23" s="126" t="s">
        <v>3650</v>
      </c>
      <c r="AQ23" s="126" t="s">
        <v>3650</v>
      </c>
      <c r="AR23" s="126" t="s">
        <v>3650</v>
      </c>
      <c r="AS23" s="126" t="s">
        <v>3650</v>
      </c>
      <c r="AT23" s="126" t="s">
        <v>3650</v>
      </c>
      <c r="AU23" s="126" t="s">
        <v>3650</v>
      </c>
      <c r="AV23" s="126" t="s">
        <v>3650</v>
      </c>
      <c r="AW23" s="126" t="s">
        <v>3650</v>
      </c>
      <c r="AX23" s="126" t="s">
        <v>3650</v>
      </c>
      <c r="AY23" s="126" t="s">
        <v>3650</v>
      </c>
      <c r="AZ23" s="126" t="s">
        <v>3650</v>
      </c>
      <c r="BA23" s="126" t="s">
        <v>3650</v>
      </c>
      <c r="BB23" s="126" t="s">
        <v>3650</v>
      </c>
      <c r="BC23" s="126" t="s">
        <v>3650</v>
      </c>
      <c r="BD23" s="126" t="s">
        <v>3650</v>
      </c>
      <c r="BE23" s="126" t="s">
        <v>3650</v>
      </c>
      <c r="BF23" s="126">
        <v>53</v>
      </c>
      <c r="BG23" s="126">
        <v>53</v>
      </c>
      <c r="BH23" s="126" t="s">
        <v>3752</v>
      </c>
      <c r="BI23" s="126" t="s">
        <v>3752</v>
      </c>
      <c r="BJ23" s="126" t="s">
        <v>3752</v>
      </c>
      <c r="BK23" s="126">
        <f>J23</f>
        <v>72</v>
      </c>
      <c r="BL23" t="str">
        <f t="shared" si="1"/>
        <v>Source Unclear</v>
      </c>
      <c r="BM23" t="str">
        <f t="shared" si="2"/>
        <v>Less than 100 days</v>
      </c>
    </row>
    <row r="24" spans="1:65" ht="15.75" customHeight="1">
      <c r="A24" s="29">
        <v>23514960</v>
      </c>
      <c r="B24" s="29" t="s">
        <v>3446</v>
      </c>
      <c r="C24" s="31" t="s">
        <v>2772</v>
      </c>
      <c r="D24" s="29" t="s">
        <v>3469</v>
      </c>
      <c r="E24" s="29" t="s">
        <v>10</v>
      </c>
      <c r="F24" s="29"/>
      <c r="G24" s="29" t="s">
        <v>3392</v>
      </c>
      <c r="H24" s="29" t="s">
        <v>3393</v>
      </c>
      <c r="I24" s="92" t="s">
        <v>3425</v>
      </c>
      <c r="J24" s="29">
        <v>213</v>
      </c>
      <c r="K24" s="29">
        <v>40</v>
      </c>
      <c r="L24" s="29">
        <v>173</v>
      </c>
      <c r="M24" s="29">
        <v>20</v>
      </c>
      <c r="N24" s="29">
        <v>108</v>
      </c>
      <c r="O24" s="60">
        <f t="shared" si="0"/>
        <v>0.60093896713615025</v>
      </c>
      <c r="P24" s="29"/>
      <c r="Q24" s="29">
        <v>25</v>
      </c>
      <c r="R24" s="29">
        <v>11</v>
      </c>
      <c r="S24" s="29">
        <v>44</v>
      </c>
      <c r="T24" s="29" t="s">
        <v>3400</v>
      </c>
      <c r="U24" s="63" t="s">
        <v>3650</v>
      </c>
      <c r="V24" s="29" t="s">
        <v>3470</v>
      </c>
      <c r="W24" s="29" t="s">
        <v>3471</v>
      </c>
      <c r="X24" s="29" t="s">
        <v>3401</v>
      </c>
      <c r="Y24" s="59" t="s">
        <v>3650</v>
      </c>
      <c r="Z24" s="70" t="s">
        <v>3659</v>
      </c>
      <c r="AA24" s="70">
        <v>0</v>
      </c>
      <c r="AB24" s="70">
        <v>0</v>
      </c>
      <c r="AC24" s="70">
        <v>0</v>
      </c>
      <c r="AD24" s="70">
        <v>0</v>
      </c>
      <c r="AE24" s="70">
        <v>0</v>
      </c>
      <c r="AF24" s="70">
        <v>0</v>
      </c>
      <c r="AG24" s="70">
        <v>0</v>
      </c>
      <c r="AH24" s="70">
        <v>0</v>
      </c>
      <c r="AI24" s="70">
        <v>0</v>
      </c>
      <c r="AJ24" s="70">
        <f>191+13</f>
        <v>204</v>
      </c>
      <c r="AK24" s="70">
        <v>14</v>
      </c>
      <c r="AL24" s="70">
        <v>2</v>
      </c>
      <c r="AM24" s="23">
        <v>100</v>
      </c>
      <c r="AN24" s="24" t="s">
        <v>3678</v>
      </c>
      <c r="AO24" s="24" t="s">
        <v>3678</v>
      </c>
      <c r="AP24" s="126" t="s">
        <v>3650</v>
      </c>
      <c r="AQ24" s="126" t="s">
        <v>3650</v>
      </c>
      <c r="AR24" s="126" t="s">
        <v>3650</v>
      </c>
      <c r="AS24" s="126" t="s">
        <v>3650</v>
      </c>
      <c r="AT24" s="126" t="s">
        <v>3650</v>
      </c>
      <c r="AU24" s="126" t="s">
        <v>3650</v>
      </c>
      <c r="AV24" s="126" t="s">
        <v>3650</v>
      </c>
      <c r="AW24" s="126" t="s">
        <v>3650</v>
      </c>
      <c r="AX24" s="126" t="s">
        <v>3650</v>
      </c>
      <c r="AY24" s="126" t="s">
        <v>3650</v>
      </c>
      <c r="AZ24" s="126" t="s">
        <v>3650</v>
      </c>
      <c r="BA24" s="126" t="s">
        <v>3650</v>
      </c>
      <c r="BB24" s="126" t="s">
        <v>3650</v>
      </c>
      <c r="BC24" s="126" t="s">
        <v>3650</v>
      </c>
      <c r="BD24" s="126" t="s">
        <v>3650</v>
      </c>
      <c r="BE24" s="126" t="s">
        <v>3650</v>
      </c>
      <c r="BF24" s="126">
        <v>119</v>
      </c>
      <c r="BG24" s="126">
        <v>101</v>
      </c>
      <c r="BH24" s="126">
        <v>103</v>
      </c>
      <c r="BI24" s="126">
        <v>43</v>
      </c>
      <c r="BJ24" s="126">
        <v>72</v>
      </c>
      <c r="BK24" s="126">
        <v>2</v>
      </c>
      <c r="BL24" t="str">
        <f t="shared" si="1"/>
        <v>CBT and Non-CBT</v>
      </c>
      <c r="BM24" t="str">
        <f t="shared" si="2"/>
        <v>Greater than or equal to 100 days</v>
      </c>
    </row>
    <row r="25" spans="1:65" ht="15.75" customHeight="1">
      <c r="A25" s="29">
        <v>8652850</v>
      </c>
      <c r="B25" s="29" t="s">
        <v>3416</v>
      </c>
      <c r="C25" s="31" t="s">
        <v>2775</v>
      </c>
      <c r="D25" s="29" t="s">
        <v>3472</v>
      </c>
      <c r="E25" s="29" t="s">
        <v>10</v>
      </c>
      <c r="F25" s="29"/>
      <c r="G25" s="29" t="s">
        <v>3392</v>
      </c>
      <c r="H25" s="29" t="s">
        <v>3409</v>
      </c>
      <c r="I25" s="92" t="s">
        <v>3407</v>
      </c>
      <c r="J25" s="29">
        <v>26</v>
      </c>
      <c r="K25" s="29">
        <v>12</v>
      </c>
      <c r="L25" s="29">
        <v>14</v>
      </c>
      <c r="M25" s="29">
        <v>6</v>
      </c>
      <c r="N25" s="29">
        <v>5</v>
      </c>
      <c r="O25" s="60">
        <f t="shared" si="0"/>
        <v>0.42307692307692307</v>
      </c>
      <c r="P25" s="29"/>
      <c r="Q25" s="29">
        <v>38</v>
      </c>
      <c r="R25" s="29">
        <v>22</v>
      </c>
      <c r="S25" s="29">
        <v>60</v>
      </c>
      <c r="T25" s="29" t="s">
        <v>3400</v>
      </c>
      <c r="U25" s="63" t="s">
        <v>3650</v>
      </c>
      <c r="V25" s="29" t="s">
        <v>3473</v>
      </c>
      <c r="W25" s="29" t="s">
        <v>3593</v>
      </c>
      <c r="X25" s="29" t="s">
        <v>3408</v>
      </c>
      <c r="Y25" s="59" t="s">
        <v>3650</v>
      </c>
      <c r="Z25" s="70" t="s">
        <v>3661</v>
      </c>
      <c r="AA25" s="70">
        <v>3</v>
      </c>
      <c r="AB25" s="70">
        <v>6</v>
      </c>
      <c r="AC25" s="70">
        <v>7</v>
      </c>
      <c r="AD25" s="70">
        <v>4</v>
      </c>
      <c r="AE25" s="70">
        <v>0</v>
      </c>
      <c r="AF25" s="70">
        <v>0</v>
      </c>
      <c r="AG25" s="70">
        <v>0</v>
      </c>
      <c r="AH25" s="70">
        <v>0</v>
      </c>
      <c r="AI25" s="70">
        <v>0</v>
      </c>
      <c r="AJ25" s="70">
        <v>6</v>
      </c>
      <c r="AK25" s="70">
        <v>0</v>
      </c>
      <c r="AL25" s="70">
        <v>0</v>
      </c>
      <c r="AM25" s="23">
        <f>3*30</f>
        <v>90</v>
      </c>
      <c r="AN25" s="24" t="s">
        <v>3698</v>
      </c>
      <c r="AO25" s="24" t="s">
        <v>3679</v>
      </c>
      <c r="AP25" s="126">
        <v>0</v>
      </c>
      <c r="AQ25" s="126">
        <v>0</v>
      </c>
      <c r="AR25" s="126">
        <v>0</v>
      </c>
      <c r="AS25" s="126">
        <v>0</v>
      </c>
      <c r="AT25" s="126">
        <v>0</v>
      </c>
      <c r="AU25" s="126">
        <v>0</v>
      </c>
      <c r="AV25" s="126">
        <v>0</v>
      </c>
      <c r="AW25" s="126">
        <v>0</v>
      </c>
      <c r="AX25" s="126">
        <v>0</v>
      </c>
      <c r="AY25" s="126">
        <v>26</v>
      </c>
      <c r="AZ25" s="126">
        <v>0</v>
      </c>
      <c r="BA25" s="126">
        <v>0</v>
      </c>
      <c r="BB25" s="126">
        <v>0</v>
      </c>
      <c r="BC25" s="126">
        <v>0</v>
      </c>
      <c r="BD25" s="126">
        <v>0</v>
      </c>
      <c r="BE25" s="126">
        <v>0</v>
      </c>
      <c r="BF25" s="126" t="s">
        <v>3650</v>
      </c>
      <c r="BG25" s="126" t="s">
        <v>3650</v>
      </c>
      <c r="BH25" s="126">
        <v>6</v>
      </c>
      <c r="BI25" s="126">
        <v>0</v>
      </c>
      <c r="BJ25" s="126">
        <v>5</v>
      </c>
      <c r="BK25" s="126">
        <v>15</v>
      </c>
      <c r="BL25" t="str">
        <f t="shared" si="1"/>
        <v>Non-CBT</v>
      </c>
      <c r="BM25" t="str">
        <f t="shared" si="2"/>
        <v>Less than 100 days</v>
      </c>
    </row>
    <row r="26" spans="1:65" ht="15.75" customHeight="1">
      <c r="A26" s="29">
        <v>8652850</v>
      </c>
      <c r="B26" s="29" t="s">
        <v>3416</v>
      </c>
      <c r="C26" s="31" t="s">
        <v>2775</v>
      </c>
      <c r="D26" s="29" t="s">
        <v>3472</v>
      </c>
      <c r="E26" s="29" t="s">
        <v>10</v>
      </c>
      <c r="F26" s="29"/>
      <c r="G26" s="29" t="s">
        <v>3392</v>
      </c>
      <c r="H26" s="29" t="s">
        <v>3393</v>
      </c>
      <c r="I26" s="92" t="s">
        <v>3407</v>
      </c>
      <c r="J26" s="29">
        <v>26</v>
      </c>
      <c r="K26" s="29">
        <v>12</v>
      </c>
      <c r="L26" s="29">
        <v>14</v>
      </c>
      <c r="M26" s="29">
        <v>7</v>
      </c>
      <c r="N26" s="29">
        <v>10</v>
      </c>
      <c r="O26" s="60">
        <f t="shared" si="0"/>
        <v>0.65384615384615385</v>
      </c>
      <c r="P26" s="29"/>
      <c r="Q26" s="29">
        <v>38</v>
      </c>
      <c r="R26" s="29">
        <v>22</v>
      </c>
      <c r="S26" s="29">
        <v>60</v>
      </c>
      <c r="T26" s="29" t="s">
        <v>3400</v>
      </c>
      <c r="U26" s="63" t="s">
        <v>3650</v>
      </c>
      <c r="V26" s="29" t="s">
        <v>3473</v>
      </c>
      <c r="W26" s="29" t="s">
        <v>3593</v>
      </c>
      <c r="X26" s="29" t="s">
        <v>3408</v>
      </c>
      <c r="Y26" s="59" t="s">
        <v>3650</v>
      </c>
      <c r="Z26" s="70" t="s">
        <v>3661</v>
      </c>
      <c r="AA26" s="70">
        <v>3</v>
      </c>
      <c r="AB26" s="70">
        <v>6</v>
      </c>
      <c r="AC26" s="70">
        <v>7</v>
      </c>
      <c r="AD26" s="70">
        <v>4</v>
      </c>
      <c r="AE26" s="70">
        <v>0</v>
      </c>
      <c r="AF26" s="70">
        <v>0</v>
      </c>
      <c r="AG26" s="70">
        <v>0</v>
      </c>
      <c r="AH26" s="70">
        <v>0</v>
      </c>
      <c r="AI26" s="70">
        <v>0</v>
      </c>
      <c r="AJ26" s="70">
        <v>6</v>
      </c>
      <c r="AK26" s="70">
        <v>0</v>
      </c>
      <c r="AL26" s="70">
        <v>0</v>
      </c>
      <c r="AM26" s="23">
        <f t="shared" ref="AM26:AM27" si="8">3*30</f>
        <v>90</v>
      </c>
      <c r="AN26" s="24" t="s">
        <v>3698</v>
      </c>
      <c r="AO26" s="24" t="s">
        <v>3679</v>
      </c>
      <c r="AP26" s="126">
        <v>0</v>
      </c>
      <c r="AQ26" s="126">
        <v>0</v>
      </c>
      <c r="AR26" s="126">
        <v>0</v>
      </c>
      <c r="AS26" s="126">
        <v>0</v>
      </c>
      <c r="AT26" s="126">
        <v>0</v>
      </c>
      <c r="AU26" s="126">
        <v>0</v>
      </c>
      <c r="AV26" s="126">
        <v>0</v>
      </c>
      <c r="AW26" s="126">
        <v>0</v>
      </c>
      <c r="AX26" s="126">
        <v>0</v>
      </c>
      <c r="AY26" s="126">
        <v>26</v>
      </c>
      <c r="AZ26" s="126">
        <v>0</v>
      </c>
      <c r="BA26" s="126">
        <v>0</v>
      </c>
      <c r="BB26" s="126">
        <v>0</v>
      </c>
      <c r="BC26" s="126">
        <v>0</v>
      </c>
      <c r="BD26" s="126">
        <v>0</v>
      </c>
      <c r="BE26" s="126">
        <v>0</v>
      </c>
      <c r="BF26" s="126" t="s">
        <v>3650</v>
      </c>
      <c r="BG26" s="126" t="s">
        <v>3650</v>
      </c>
      <c r="BH26" s="126">
        <v>6</v>
      </c>
      <c r="BI26" s="126">
        <v>0</v>
      </c>
      <c r="BJ26" s="126">
        <v>5</v>
      </c>
      <c r="BK26" s="126">
        <v>15</v>
      </c>
      <c r="BL26" t="str">
        <f t="shared" si="1"/>
        <v>Non-CBT</v>
      </c>
      <c r="BM26" t="str">
        <f t="shared" si="2"/>
        <v>Less than 100 days</v>
      </c>
    </row>
    <row r="27" spans="1:65" ht="15.75" customHeight="1">
      <c r="A27" s="29">
        <v>8652850</v>
      </c>
      <c r="B27" s="29" t="s">
        <v>3416</v>
      </c>
      <c r="C27" s="31" t="s">
        <v>2775</v>
      </c>
      <c r="D27" s="29" t="s">
        <v>3472</v>
      </c>
      <c r="E27" s="29" t="s">
        <v>10</v>
      </c>
      <c r="F27" s="29"/>
      <c r="G27" s="29" t="s">
        <v>3392</v>
      </c>
      <c r="H27" s="29" t="s">
        <v>3410</v>
      </c>
      <c r="I27" s="92" t="s">
        <v>3407</v>
      </c>
      <c r="J27" s="29">
        <v>26</v>
      </c>
      <c r="K27" s="29">
        <v>12</v>
      </c>
      <c r="L27" s="29">
        <v>14</v>
      </c>
      <c r="M27" s="29">
        <v>1</v>
      </c>
      <c r="N27" s="29">
        <v>5</v>
      </c>
      <c r="O27" s="60">
        <f t="shared" si="0"/>
        <v>0.23076923076923078</v>
      </c>
      <c r="P27" s="29"/>
      <c r="Q27" s="29">
        <v>38</v>
      </c>
      <c r="R27" s="29">
        <v>22</v>
      </c>
      <c r="S27" s="29">
        <v>60</v>
      </c>
      <c r="T27" s="29" t="s">
        <v>3400</v>
      </c>
      <c r="U27" s="63" t="s">
        <v>3650</v>
      </c>
      <c r="V27" s="29" t="s">
        <v>3473</v>
      </c>
      <c r="W27" s="29" t="s">
        <v>3593</v>
      </c>
      <c r="X27" s="29" t="s">
        <v>3408</v>
      </c>
      <c r="Y27" s="59" t="s">
        <v>3650</v>
      </c>
      <c r="Z27" s="70" t="s">
        <v>3661</v>
      </c>
      <c r="AA27" s="70">
        <v>3</v>
      </c>
      <c r="AB27" s="70">
        <v>6</v>
      </c>
      <c r="AC27" s="70">
        <v>7</v>
      </c>
      <c r="AD27" s="70">
        <v>4</v>
      </c>
      <c r="AE27" s="70">
        <v>0</v>
      </c>
      <c r="AF27" s="70">
        <v>0</v>
      </c>
      <c r="AG27" s="70">
        <v>0</v>
      </c>
      <c r="AH27" s="70">
        <v>0</v>
      </c>
      <c r="AI27" s="70">
        <v>0</v>
      </c>
      <c r="AJ27" s="70">
        <v>6</v>
      </c>
      <c r="AK27" s="70">
        <v>0</v>
      </c>
      <c r="AL27" s="70">
        <v>0</v>
      </c>
      <c r="AM27" s="23">
        <f t="shared" si="8"/>
        <v>90</v>
      </c>
      <c r="AN27" s="24" t="s">
        <v>3698</v>
      </c>
      <c r="AO27" s="24" t="s">
        <v>3679</v>
      </c>
      <c r="AP27" s="126">
        <v>0</v>
      </c>
      <c r="AQ27" s="126">
        <v>0</v>
      </c>
      <c r="AR27" s="126">
        <v>0</v>
      </c>
      <c r="AS27" s="126">
        <v>0</v>
      </c>
      <c r="AT27" s="126">
        <v>0</v>
      </c>
      <c r="AU27" s="126">
        <v>0</v>
      </c>
      <c r="AV27" s="126">
        <v>0</v>
      </c>
      <c r="AW27" s="126">
        <v>0</v>
      </c>
      <c r="AX27" s="126">
        <v>0</v>
      </c>
      <c r="AY27" s="126">
        <v>26</v>
      </c>
      <c r="AZ27" s="126">
        <v>0</v>
      </c>
      <c r="BA27" s="126">
        <v>0</v>
      </c>
      <c r="BB27" s="126">
        <v>0</v>
      </c>
      <c r="BC27" s="126">
        <v>0</v>
      </c>
      <c r="BD27" s="126">
        <v>0</v>
      </c>
      <c r="BE27" s="126">
        <v>0</v>
      </c>
      <c r="BF27" s="126" t="s">
        <v>3650</v>
      </c>
      <c r="BG27" s="126" t="s">
        <v>3650</v>
      </c>
      <c r="BH27" s="126">
        <v>6</v>
      </c>
      <c r="BI27" s="126">
        <v>0</v>
      </c>
      <c r="BJ27" s="126">
        <v>5</v>
      </c>
      <c r="BK27" s="126">
        <v>15</v>
      </c>
      <c r="BL27" t="str">
        <f t="shared" si="1"/>
        <v>Non-CBT</v>
      </c>
      <c r="BM27" t="str">
        <f t="shared" si="2"/>
        <v>Less than 100 days</v>
      </c>
    </row>
    <row r="28" spans="1:65" ht="15.75" customHeight="1">
      <c r="A28" s="29">
        <v>34390240</v>
      </c>
      <c r="B28" s="29"/>
      <c r="C28" s="31" t="s">
        <v>18</v>
      </c>
      <c r="D28" s="29" t="s">
        <v>3478</v>
      </c>
      <c r="E28" s="29" t="s">
        <v>10</v>
      </c>
      <c r="F28" s="29"/>
      <c r="G28" s="29" t="s">
        <v>3392</v>
      </c>
      <c r="H28" s="29" t="s">
        <v>3393</v>
      </c>
      <c r="I28" s="92" t="s">
        <v>3407</v>
      </c>
      <c r="J28" s="29">
        <v>312</v>
      </c>
      <c r="K28" s="29">
        <v>83</v>
      </c>
      <c r="L28" s="29">
        <v>229</v>
      </c>
      <c r="M28" s="29">
        <v>27</v>
      </c>
      <c r="N28" s="29">
        <v>49</v>
      </c>
      <c r="O28" s="60">
        <f t="shared" si="0"/>
        <v>0.24358974358974358</v>
      </c>
      <c r="P28" s="29" t="s">
        <v>3479</v>
      </c>
      <c r="Q28" s="29">
        <v>54.8</v>
      </c>
      <c r="R28" s="29">
        <v>44.5</v>
      </c>
      <c r="S28" s="29">
        <v>63.5</v>
      </c>
      <c r="T28" s="29" t="s">
        <v>3480</v>
      </c>
      <c r="U28" s="58" t="s">
        <v>3646</v>
      </c>
      <c r="V28" s="29" t="s">
        <v>3400</v>
      </c>
      <c r="W28" s="29" t="s">
        <v>3481</v>
      </c>
      <c r="X28" s="29" t="s">
        <v>3408</v>
      </c>
      <c r="Y28" s="29">
        <v>500</v>
      </c>
      <c r="Z28" s="70" t="s">
        <v>3661</v>
      </c>
      <c r="AA28" s="70">
        <v>0</v>
      </c>
      <c r="AB28" s="70">
        <v>0</v>
      </c>
      <c r="AC28" s="70">
        <v>0</v>
      </c>
      <c r="AD28" s="70">
        <v>0</v>
      </c>
      <c r="AE28" s="70">
        <v>60</v>
      </c>
      <c r="AF28" s="70">
        <v>75</v>
      </c>
      <c r="AG28" s="70">
        <v>0</v>
      </c>
      <c r="AH28" s="70">
        <f>150+24</f>
        <v>174</v>
      </c>
      <c r="AI28" s="70">
        <v>0</v>
      </c>
      <c r="AJ28" s="70">
        <v>3</v>
      </c>
      <c r="AK28" s="70">
        <v>0</v>
      </c>
      <c r="AL28" s="70">
        <v>0</v>
      </c>
      <c r="AM28" s="23">
        <v>100</v>
      </c>
      <c r="AN28" s="24" t="s">
        <v>3698</v>
      </c>
      <c r="AO28" s="24" t="s">
        <v>3680</v>
      </c>
      <c r="AP28" s="126" t="s">
        <v>3650</v>
      </c>
      <c r="AQ28" s="126" t="s">
        <v>3650</v>
      </c>
      <c r="AR28" s="126" t="s">
        <v>3650</v>
      </c>
      <c r="AS28" s="126" t="s">
        <v>3650</v>
      </c>
      <c r="AT28" s="126" t="s">
        <v>3650</v>
      </c>
      <c r="AU28" s="126" t="s">
        <v>3650</v>
      </c>
      <c r="AV28" s="126" t="s">
        <v>3650</v>
      </c>
      <c r="AW28" s="126" t="s">
        <v>3650</v>
      </c>
      <c r="AX28" s="126" t="s">
        <v>3650</v>
      </c>
      <c r="AY28" s="126" t="s">
        <v>3650</v>
      </c>
      <c r="AZ28" s="126" t="s">
        <v>3650</v>
      </c>
      <c r="BA28" s="126" t="s">
        <v>3650</v>
      </c>
      <c r="BB28" s="126" t="s">
        <v>3650</v>
      </c>
      <c r="BC28" s="126" t="s">
        <v>3650</v>
      </c>
      <c r="BD28" s="126" t="s">
        <v>3650</v>
      </c>
      <c r="BE28" s="126" t="s">
        <v>3650</v>
      </c>
      <c r="BF28" s="126" t="s">
        <v>3650</v>
      </c>
      <c r="BG28" s="126" t="s">
        <v>3650</v>
      </c>
      <c r="BH28" s="126">
        <v>0</v>
      </c>
      <c r="BI28" s="126">
        <v>0</v>
      </c>
      <c r="BJ28" s="126">
        <v>0</v>
      </c>
      <c r="BK28" s="126">
        <v>312</v>
      </c>
      <c r="BL28" t="str">
        <f t="shared" si="1"/>
        <v>Source Unclear</v>
      </c>
      <c r="BM28" t="str">
        <f t="shared" si="2"/>
        <v>Greater than or equal to 100 days</v>
      </c>
    </row>
    <row r="29" spans="1:65" ht="15.75" customHeight="1">
      <c r="A29" s="29">
        <v>29797616</v>
      </c>
      <c r="B29" s="29" t="s">
        <v>3405</v>
      </c>
      <c r="C29" s="31" t="s">
        <v>2787</v>
      </c>
      <c r="D29" s="29" t="s">
        <v>3484</v>
      </c>
      <c r="E29" s="29" t="s">
        <v>10</v>
      </c>
      <c r="F29" s="29"/>
      <c r="G29" s="29" t="s">
        <v>3392</v>
      </c>
      <c r="H29" s="29" t="s">
        <v>3393</v>
      </c>
      <c r="I29" s="92" t="s">
        <v>3425</v>
      </c>
      <c r="J29" s="29">
        <v>89</v>
      </c>
      <c r="K29" s="29">
        <v>12</v>
      </c>
      <c r="L29" s="29">
        <v>77</v>
      </c>
      <c r="M29" s="29">
        <v>5</v>
      </c>
      <c r="N29" s="29">
        <v>10</v>
      </c>
      <c r="O29" s="60">
        <f t="shared" si="0"/>
        <v>0.16853932584269662</v>
      </c>
      <c r="P29" s="92" t="s">
        <v>3703</v>
      </c>
      <c r="Q29" s="29" t="s">
        <v>3400</v>
      </c>
      <c r="R29" s="29" t="s">
        <v>3400</v>
      </c>
      <c r="S29" s="29" t="s">
        <v>3400</v>
      </c>
      <c r="T29" s="29" t="s">
        <v>3400</v>
      </c>
      <c r="U29" s="94" t="s">
        <v>3650</v>
      </c>
      <c r="V29" s="29" t="s">
        <v>3485</v>
      </c>
      <c r="W29" s="29" t="s">
        <v>3486</v>
      </c>
      <c r="X29" s="92" t="s">
        <v>3408</v>
      </c>
      <c r="Y29" s="29">
        <v>1000</v>
      </c>
      <c r="Z29" s="70" t="s">
        <v>3659</v>
      </c>
      <c r="AA29" s="70">
        <v>0</v>
      </c>
      <c r="AB29" s="70">
        <v>0</v>
      </c>
      <c r="AC29" s="70">
        <v>0</v>
      </c>
      <c r="AD29" s="70">
        <v>0</v>
      </c>
      <c r="AE29" s="70">
        <v>0</v>
      </c>
      <c r="AF29" s="70">
        <v>0</v>
      </c>
      <c r="AG29" s="70">
        <v>0</v>
      </c>
      <c r="AH29" s="70">
        <v>0</v>
      </c>
      <c r="AI29" s="70">
        <v>0</v>
      </c>
      <c r="AJ29" s="70">
        <v>51</v>
      </c>
      <c r="AK29" s="70">
        <v>0</v>
      </c>
      <c r="AL29" s="70">
        <v>38</v>
      </c>
      <c r="AM29" s="23">
        <v>60</v>
      </c>
      <c r="AN29" s="24" t="s">
        <v>3662</v>
      </c>
      <c r="AO29" s="24" t="s">
        <v>3662</v>
      </c>
      <c r="AP29" s="126">
        <v>22</v>
      </c>
      <c r="AQ29" s="126">
        <v>67</v>
      </c>
      <c r="AR29" s="126">
        <v>0</v>
      </c>
      <c r="AS29" s="126">
        <v>0</v>
      </c>
      <c r="AT29" s="126">
        <v>0</v>
      </c>
      <c r="AU29" s="126">
        <v>0</v>
      </c>
      <c r="AV29" s="126">
        <v>0</v>
      </c>
      <c r="AW29" s="126">
        <v>0</v>
      </c>
      <c r="AX29" s="126">
        <v>0</v>
      </c>
      <c r="AY29" s="126">
        <v>0</v>
      </c>
      <c r="AZ29" s="126">
        <v>0</v>
      </c>
      <c r="BA29" s="126">
        <v>0</v>
      </c>
      <c r="BB29" s="126">
        <v>0</v>
      </c>
      <c r="BC29" s="126">
        <v>0</v>
      </c>
      <c r="BD29" s="126">
        <v>0</v>
      </c>
      <c r="BE29" s="126">
        <v>0</v>
      </c>
      <c r="BF29" s="126">
        <v>14</v>
      </c>
      <c r="BG29" s="126">
        <v>75</v>
      </c>
      <c r="BH29" s="126">
        <v>0</v>
      </c>
      <c r="BI29" s="126">
        <v>7</v>
      </c>
      <c r="BJ29" s="126">
        <v>0</v>
      </c>
      <c r="BK29" s="126">
        <v>82</v>
      </c>
      <c r="BL29" t="str">
        <f t="shared" si="1"/>
        <v>CBT</v>
      </c>
      <c r="BM29" t="str">
        <f t="shared" si="2"/>
        <v>Less than 100 days</v>
      </c>
    </row>
    <row r="30" spans="1:65" ht="15.75" customHeight="1">
      <c r="A30" s="29">
        <v>37067947</v>
      </c>
      <c r="B30" s="29"/>
      <c r="C30" s="31" t="s">
        <v>13</v>
      </c>
      <c r="D30" s="36" t="s">
        <v>3608</v>
      </c>
      <c r="E30" s="29" t="s">
        <v>10</v>
      </c>
      <c r="F30" s="29"/>
      <c r="G30" s="29" t="s">
        <v>3392</v>
      </c>
      <c r="H30" s="29" t="s">
        <v>3393</v>
      </c>
      <c r="I30" s="92" t="s">
        <v>3407</v>
      </c>
      <c r="J30" s="29">
        <v>208</v>
      </c>
      <c r="K30" s="29">
        <v>129</v>
      </c>
      <c r="L30" s="29">
        <v>79</v>
      </c>
      <c r="M30" s="29">
        <v>71</v>
      </c>
      <c r="N30" s="29">
        <v>36</v>
      </c>
      <c r="O30" s="60">
        <f t="shared" si="0"/>
        <v>0.51442307692307687</v>
      </c>
      <c r="P30" s="29" t="s">
        <v>3487</v>
      </c>
      <c r="Q30" s="29">
        <v>53</v>
      </c>
      <c r="R30" s="29">
        <v>19</v>
      </c>
      <c r="S30" s="29">
        <v>77</v>
      </c>
      <c r="T30" s="29" t="s">
        <v>3488</v>
      </c>
      <c r="U30" s="58" t="s">
        <v>3646</v>
      </c>
      <c r="V30" s="29" t="s">
        <v>3400</v>
      </c>
      <c r="W30" s="29" t="s">
        <v>3400</v>
      </c>
      <c r="X30" s="29" t="s">
        <v>3408</v>
      </c>
      <c r="Y30" s="29">
        <v>100</v>
      </c>
      <c r="Z30" s="70" t="s">
        <v>3661</v>
      </c>
      <c r="AA30" s="70">
        <v>0</v>
      </c>
      <c r="AB30" s="70">
        <v>122</v>
      </c>
      <c r="AC30" s="70">
        <v>0</v>
      </c>
      <c r="AD30" s="70">
        <v>0</v>
      </c>
      <c r="AE30" s="70">
        <v>32</v>
      </c>
      <c r="AF30" s="70">
        <v>54</v>
      </c>
      <c r="AG30" s="70">
        <v>0</v>
      </c>
      <c r="AH30" s="70">
        <v>0</v>
      </c>
      <c r="AI30" s="70">
        <v>0</v>
      </c>
      <c r="AJ30" s="70">
        <v>0</v>
      </c>
      <c r="AK30" s="70">
        <v>0</v>
      </c>
      <c r="AL30" s="70">
        <v>0</v>
      </c>
      <c r="AM30" s="23">
        <v>100</v>
      </c>
      <c r="AN30" s="24" t="s">
        <v>3662</v>
      </c>
      <c r="AO30" s="24" t="s">
        <v>3662</v>
      </c>
      <c r="AP30" s="126">
        <v>47</v>
      </c>
      <c r="AQ30" s="126">
        <v>0</v>
      </c>
      <c r="AR30" s="126">
        <v>0</v>
      </c>
      <c r="AS30" s="126">
        <v>0</v>
      </c>
      <c r="AT30" s="126">
        <v>161</v>
      </c>
      <c r="AU30" s="126">
        <v>101</v>
      </c>
      <c r="AV30" s="126">
        <v>84</v>
      </c>
      <c r="AW30" s="126">
        <v>0</v>
      </c>
      <c r="AX30" s="126">
        <v>0</v>
      </c>
      <c r="AY30" s="126">
        <v>0</v>
      </c>
      <c r="AZ30" s="126">
        <v>0</v>
      </c>
      <c r="BA30" s="126">
        <v>0</v>
      </c>
      <c r="BB30" s="126">
        <v>0</v>
      </c>
      <c r="BC30" s="126">
        <v>0</v>
      </c>
      <c r="BD30" s="126">
        <v>0</v>
      </c>
      <c r="BE30" s="126">
        <v>0</v>
      </c>
      <c r="BF30" s="126">
        <v>39</v>
      </c>
      <c r="BG30" s="126">
        <v>169</v>
      </c>
      <c r="BH30" s="126">
        <v>20</v>
      </c>
      <c r="BI30" s="126">
        <v>7</v>
      </c>
      <c r="BJ30" s="126">
        <v>181</v>
      </c>
      <c r="BK30" s="126">
        <v>0</v>
      </c>
      <c r="BL30" t="str">
        <f t="shared" si="1"/>
        <v>CBT and Non-CBT</v>
      </c>
      <c r="BM30" t="str">
        <f t="shared" si="2"/>
        <v>Greater than or equal to 100 days</v>
      </c>
    </row>
    <row r="31" spans="1:65" ht="15.75" customHeight="1">
      <c r="A31" s="29">
        <v>23929317</v>
      </c>
      <c r="B31" s="29" t="s">
        <v>3405</v>
      </c>
      <c r="C31" s="30" t="s">
        <v>2826</v>
      </c>
      <c r="D31" s="29" t="s">
        <v>3497</v>
      </c>
      <c r="E31" s="29" t="s">
        <v>10</v>
      </c>
      <c r="F31" s="29"/>
      <c r="G31" s="29" t="s">
        <v>3392</v>
      </c>
      <c r="H31" s="29" t="s">
        <v>3393</v>
      </c>
      <c r="I31" s="92" t="s">
        <v>3394</v>
      </c>
      <c r="J31" s="29">
        <v>80</v>
      </c>
      <c r="K31" s="29">
        <v>28</v>
      </c>
      <c r="L31" s="29">
        <v>52</v>
      </c>
      <c r="M31" s="29">
        <v>8</v>
      </c>
      <c r="N31" s="29">
        <v>18</v>
      </c>
      <c r="O31" s="60">
        <f t="shared" si="0"/>
        <v>0.32500000000000001</v>
      </c>
      <c r="P31" s="29" t="s">
        <v>3500</v>
      </c>
      <c r="Q31" s="29">
        <v>6</v>
      </c>
      <c r="R31" s="29">
        <v>0</v>
      </c>
      <c r="S31" s="29">
        <v>18</v>
      </c>
      <c r="T31" s="29" t="s">
        <v>3498</v>
      </c>
      <c r="U31" s="58" t="s">
        <v>3646</v>
      </c>
      <c r="V31" s="29" t="s">
        <v>3499</v>
      </c>
      <c r="W31" s="29" t="s">
        <v>3600</v>
      </c>
      <c r="X31" s="92" t="s">
        <v>3401</v>
      </c>
      <c r="Y31" s="29">
        <v>50</v>
      </c>
      <c r="Z31" s="70" t="s">
        <v>3659</v>
      </c>
      <c r="AA31" s="70">
        <v>0</v>
      </c>
      <c r="AB31" s="70">
        <v>0</v>
      </c>
      <c r="AC31" s="70">
        <v>0</v>
      </c>
      <c r="AD31" s="70">
        <v>0</v>
      </c>
      <c r="AE31" s="70">
        <v>0</v>
      </c>
      <c r="AF31" s="70">
        <v>0</v>
      </c>
      <c r="AG31" s="70">
        <v>0</v>
      </c>
      <c r="AH31" s="70">
        <v>0</v>
      </c>
      <c r="AI31" s="70">
        <v>0</v>
      </c>
      <c r="AJ31" s="70">
        <v>68</v>
      </c>
      <c r="AK31" s="70">
        <v>12</v>
      </c>
      <c r="AL31" s="70">
        <v>0</v>
      </c>
      <c r="AM31" s="23">
        <v>40</v>
      </c>
      <c r="AN31" s="24" t="s">
        <v>3698</v>
      </c>
      <c r="AO31" s="24" t="s">
        <v>3681</v>
      </c>
      <c r="AP31" s="126">
        <v>1</v>
      </c>
      <c r="AQ31" s="126">
        <v>0</v>
      </c>
      <c r="AR31" s="126">
        <v>3</v>
      </c>
      <c r="AS31" s="126">
        <v>9</v>
      </c>
      <c r="AT31" s="126">
        <v>0</v>
      </c>
      <c r="AU31" s="126">
        <v>0</v>
      </c>
      <c r="AV31" s="126">
        <v>0</v>
      </c>
      <c r="AW31" s="126">
        <v>0</v>
      </c>
      <c r="AX31" s="126">
        <v>30</v>
      </c>
      <c r="AY31" s="126">
        <v>0</v>
      </c>
      <c r="AZ31" s="126">
        <v>30</v>
      </c>
      <c r="BA31" s="126">
        <v>0</v>
      </c>
      <c r="BB31" s="126">
        <v>0</v>
      </c>
      <c r="BC31" s="126">
        <v>0</v>
      </c>
      <c r="BD31" s="126">
        <v>0</v>
      </c>
      <c r="BE31" s="126">
        <v>0</v>
      </c>
      <c r="BF31" s="126">
        <v>5</v>
      </c>
      <c r="BG31" s="126">
        <v>75</v>
      </c>
      <c r="BH31" s="126">
        <v>43</v>
      </c>
      <c r="BI31" s="126">
        <v>32</v>
      </c>
      <c r="BJ31" s="126">
        <v>4</v>
      </c>
      <c r="BK31" s="126">
        <v>1</v>
      </c>
      <c r="BL31" t="str">
        <f t="shared" si="1"/>
        <v>CBT and Non-CBT</v>
      </c>
      <c r="BM31" t="str">
        <f t="shared" si="2"/>
        <v>Less than 100 days</v>
      </c>
    </row>
    <row r="32" spans="1:65" ht="15.75" customHeight="1">
      <c r="A32" s="29">
        <v>26132825</v>
      </c>
      <c r="B32" s="29" t="s">
        <v>3390</v>
      </c>
      <c r="C32" s="30" t="s">
        <v>2838</v>
      </c>
      <c r="D32" s="29" t="s">
        <v>3506</v>
      </c>
      <c r="E32" s="29" t="s">
        <v>10</v>
      </c>
      <c r="F32" s="29"/>
      <c r="G32" s="29" t="s">
        <v>3392</v>
      </c>
      <c r="H32" s="29" t="s">
        <v>3393</v>
      </c>
      <c r="I32" s="92" t="s">
        <v>3394</v>
      </c>
      <c r="J32" s="29">
        <v>106</v>
      </c>
      <c r="K32" s="29">
        <v>51</v>
      </c>
      <c r="L32" s="29">
        <v>55</v>
      </c>
      <c r="M32" s="29">
        <v>21</v>
      </c>
      <c r="N32" s="29">
        <v>18</v>
      </c>
      <c r="O32" s="60">
        <f t="shared" si="0"/>
        <v>0.36792452830188677</v>
      </c>
      <c r="P32" s="29" t="s">
        <v>3510</v>
      </c>
      <c r="Q32" s="29">
        <v>8.8000000000000007</v>
      </c>
      <c r="R32" s="29">
        <v>0.2</v>
      </c>
      <c r="S32" s="29">
        <v>19</v>
      </c>
      <c r="T32" s="29" t="s">
        <v>3507</v>
      </c>
      <c r="U32" s="94" t="s">
        <v>3650</v>
      </c>
      <c r="V32" s="29" t="s">
        <v>3508</v>
      </c>
      <c r="W32" s="29" t="s">
        <v>3509</v>
      </c>
      <c r="X32" s="92" t="s">
        <v>3650</v>
      </c>
      <c r="Y32" s="29">
        <v>25</v>
      </c>
      <c r="Z32" s="70" t="s">
        <v>3661</v>
      </c>
      <c r="AA32" s="70">
        <v>0</v>
      </c>
      <c r="AB32" s="70">
        <v>0</v>
      </c>
      <c r="AC32" s="70">
        <v>0</v>
      </c>
      <c r="AD32" s="70">
        <v>0</v>
      </c>
      <c r="AE32" s="70">
        <v>0</v>
      </c>
      <c r="AF32" s="70">
        <v>0</v>
      </c>
      <c r="AG32" s="70">
        <v>0</v>
      </c>
      <c r="AH32" s="70">
        <v>0</v>
      </c>
      <c r="AI32" s="70">
        <v>0</v>
      </c>
      <c r="AJ32" s="70">
        <v>62</v>
      </c>
      <c r="AK32">
        <f>20+23</f>
        <v>43</v>
      </c>
      <c r="AL32" s="70">
        <v>0</v>
      </c>
      <c r="AM32" s="23" t="s">
        <v>3420</v>
      </c>
      <c r="AN32" s="63" t="s">
        <v>3650</v>
      </c>
      <c r="AO32" s="24" t="s">
        <v>3420</v>
      </c>
      <c r="AP32" s="126">
        <v>0</v>
      </c>
      <c r="AQ32" s="126">
        <v>0</v>
      </c>
      <c r="AR32" s="126">
        <v>0</v>
      </c>
      <c r="AS32" s="126">
        <v>0</v>
      </c>
      <c r="AT32" s="126">
        <v>0</v>
      </c>
      <c r="AU32" s="126">
        <v>0</v>
      </c>
      <c r="AV32" s="126">
        <v>52</v>
      </c>
      <c r="AW32" s="126">
        <v>34</v>
      </c>
      <c r="AX32" s="126">
        <v>0</v>
      </c>
      <c r="AY32" s="126">
        <v>0</v>
      </c>
      <c r="AZ32" s="126">
        <v>0</v>
      </c>
      <c r="BA32" s="126">
        <v>0</v>
      </c>
      <c r="BB32" s="126">
        <v>0</v>
      </c>
      <c r="BC32" s="126">
        <v>0</v>
      </c>
      <c r="BD32" s="126">
        <v>0</v>
      </c>
      <c r="BE32" s="126">
        <v>0</v>
      </c>
      <c r="BF32" s="126" t="s">
        <v>3650</v>
      </c>
      <c r="BG32" s="126" t="s">
        <v>3650</v>
      </c>
      <c r="BH32" s="126">
        <v>75</v>
      </c>
      <c r="BI32" s="126">
        <v>7</v>
      </c>
      <c r="BJ32" s="126">
        <v>24</v>
      </c>
      <c r="BK32" s="126">
        <v>0</v>
      </c>
      <c r="BL32" t="str">
        <f t="shared" si="1"/>
        <v>CBT and Non-CBT</v>
      </c>
      <c r="BM32" t="str">
        <f t="shared" si="2"/>
        <v>Greater than or equal to 100 days</v>
      </c>
    </row>
    <row r="33" spans="1:65" ht="15.75" customHeight="1">
      <c r="A33" s="29">
        <v>17067909</v>
      </c>
      <c r="B33" s="29" t="s">
        <v>3460</v>
      </c>
      <c r="C33" s="30" t="s">
        <v>2844</v>
      </c>
      <c r="D33" s="29" t="s">
        <v>3511</v>
      </c>
      <c r="E33" s="29" t="s">
        <v>10</v>
      </c>
      <c r="F33" s="29"/>
      <c r="G33" s="29" t="s">
        <v>3392</v>
      </c>
      <c r="H33" s="29" t="s">
        <v>3393</v>
      </c>
      <c r="I33" s="29" t="s">
        <v>3425</v>
      </c>
      <c r="J33" s="29">
        <v>72</v>
      </c>
      <c r="K33" s="29">
        <v>34</v>
      </c>
      <c r="L33" s="29">
        <v>38</v>
      </c>
      <c r="M33" s="29">
        <v>11</v>
      </c>
      <c r="N33" s="29">
        <v>18</v>
      </c>
      <c r="O33" s="60">
        <f t="shared" si="0"/>
        <v>0.40277777777777779</v>
      </c>
      <c r="P33" s="29" t="s">
        <v>3515</v>
      </c>
      <c r="Q33" s="29">
        <v>28</v>
      </c>
      <c r="R33" s="29">
        <v>8</v>
      </c>
      <c r="S33" s="29">
        <v>58</v>
      </c>
      <c r="T33" s="29" t="s">
        <v>3512</v>
      </c>
      <c r="U33" s="58" t="s">
        <v>3648</v>
      </c>
      <c r="V33" s="29" t="s">
        <v>3513</v>
      </c>
      <c r="W33" s="29" t="s">
        <v>3514</v>
      </c>
      <c r="X33" s="29" t="s">
        <v>3490</v>
      </c>
      <c r="Y33" s="59" t="s">
        <v>3650</v>
      </c>
      <c r="Z33" s="70" t="s">
        <v>3661</v>
      </c>
      <c r="AA33" s="70" t="s">
        <v>3400</v>
      </c>
      <c r="AB33" s="70" t="s">
        <v>3400</v>
      </c>
      <c r="AC33" s="70" t="s">
        <v>3400</v>
      </c>
      <c r="AD33" s="70" t="s">
        <v>3400</v>
      </c>
      <c r="AE33" s="70" t="s">
        <v>3400</v>
      </c>
      <c r="AF33" s="70" t="s">
        <v>3400</v>
      </c>
      <c r="AG33" s="70" t="s">
        <v>3400</v>
      </c>
      <c r="AH33" s="70" t="s">
        <v>3400</v>
      </c>
      <c r="AI33" s="70" t="s">
        <v>3400</v>
      </c>
      <c r="AJ33" s="70" t="s">
        <v>3400</v>
      </c>
      <c r="AK33" s="70" t="s">
        <v>3400</v>
      </c>
      <c r="AL33" s="70" t="s">
        <v>3400</v>
      </c>
      <c r="AM33" s="23">
        <f>7*12</f>
        <v>84</v>
      </c>
      <c r="AN33" s="24" t="s">
        <v>3662</v>
      </c>
      <c r="AO33" s="24" t="s">
        <v>3662</v>
      </c>
      <c r="AP33" s="126">
        <v>0</v>
      </c>
      <c r="AQ33" s="126">
        <v>0</v>
      </c>
      <c r="AR33" s="126">
        <v>0</v>
      </c>
      <c r="AS33" s="126">
        <v>0</v>
      </c>
      <c r="AT33" s="126">
        <v>0</v>
      </c>
      <c r="AU33" s="126">
        <v>0</v>
      </c>
      <c r="AV33" s="126">
        <v>0</v>
      </c>
      <c r="AW33" s="126">
        <v>0</v>
      </c>
      <c r="AX33" s="126">
        <v>0</v>
      </c>
      <c r="AY33" s="126">
        <v>0</v>
      </c>
      <c r="AZ33" s="126">
        <v>0</v>
      </c>
      <c r="BA33" s="126">
        <v>0</v>
      </c>
      <c r="BB33" s="126">
        <v>0</v>
      </c>
      <c r="BC33" s="126">
        <v>0</v>
      </c>
      <c r="BD33" s="126">
        <v>72</v>
      </c>
      <c r="BE33" s="126">
        <v>0</v>
      </c>
      <c r="BF33" s="126" t="s">
        <v>3650</v>
      </c>
      <c r="BG33" s="126" t="s">
        <v>3650</v>
      </c>
      <c r="BH33" s="126">
        <v>0</v>
      </c>
      <c r="BI33" s="126">
        <v>0</v>
      </c>
      <c r="BJ33" s="126">
        <v>0</v>
      </c>
      <c r="BK33" s="126">
        <v>72</v>
      </c>
      <c r="BL33" t="str">
        <f t="shared" si="1"/>
        <v>Source Unclear</v>
      </c>
      <c r="BM33" t="str">
        <f t="shared" si="2"/>
        <v>Less than 100 days</v>
      </c>
    </row>
    <row r="34" spans="1:65" ht="15.75" customHeight="1">
      <c r="A34" s="29">
        <v>18695666</v>
      </c>
      <c r="B34" s="29" t="s">
        <v>3460</v>
      </c>
      <c r="C34" s="30" t="s">
        <v>2841</v>
      </c>
      <c r="D34" s="29" t="s">
        <v>3516</v>
      </c>
      <c r="E34" s="29" t="s">
        <v>10</v>
      </c>
      <c r="F34" s="29"/>
      <c r="G34" s="29" t="s">
        <v>3392</v>
      </c>
      <c r="H34" s="29" t="s">
        <v>3393</v>
      </c>
      <c r="I34" s="29" t="s">
        <v>3425</v>
      </c>
      <c r="J34" s="29">
        <v>72</v>
      </c>
      <c r="K34" s="29">
        <v>34</v>
      </c>
      <c r="L34" s="29">
        <v>38</v>
      </c>
      <c r="M34" s="29">
        <v>6</v>
      </c>
      <c r="N34" s="29">
        <v>3</v>
      </c>
      <c r="O34" s="60">
        <f t="shared" si="0"/>
        <v>0.125</v>
      </c>
      <c r="P34" s="29" t="s">
        <v>3515</v>
      </c>
      <c r="Q34" s="29">
        <v>28</v>
      </c>
      <c r="R34" s="29">
        <v>8</v>
      </c>
      <c r="S34" s="29">
        <v>58</v>
      </c>
      <c r="T34" s="29" t="s">
        <v>3517</v>
      </c>
      <c r="U34" s="58" t="s">
        <v>3648</v>
      </c>
      <c r="V34" s="29" t="s">
        <v>3518</v>
      </c>
      <c r="W34" s="29" t="s">
        <v>3519</v>
      </c>
      <c r="X34" s="29" t="s">
        <v>3490</v>
      </c>
      <c r="Y34" s="59" t="s">
        <v>3650</v>
      </c>
      <c r="Z34" s="70" t="s">
        <v>3661</v>
      </c>
      <c r="AA34" s="70">
        <v>37</v>
      </c>
      <c r="AB34" s="70">
        <v>0</v>
      </c>
      <c r="AC34" s="70">
        <v>22</v>
      </c>
      <c r="AD34" s="70">
        <v>6</v>
      </c>
      <c r="AE34" s="70">
        <v>3</v>
      </c>
      <c r="AF34" s="70">
        <v>1</v>
      </c>
      <c r="AG34" s="70">
        <v>0</v>
      </c>
      <c r="AH34" s="70">
        <v>0</v>
      </c>
      <c r="AI34" s="70">
        <v>0</v>
      </c>
      <c r="AJ34" s="70">
        <v>0</v>
      </c>
      <c r="AK34" s="70">
        <v>3</v>
      </c>
      <c r="AL34" s="70">
        <v>0</v>
      </c>
      <c r="AM34" s="23">
        <f>12*7</f>
        <v>84</v>
      </c>
      <c r="AN34" s="24" t="s">
        <v>3662</v>
      </c>
      <c r="AO34" s="24" t="s">
        <v>3662</v>
      </c>
      <c r="AP34" s="126" t="s">
        <v>3650</v>
      </c>
      <c r="AQ34" s="126" t="s">
        <v>3650</v>
      </c>
      <c r="AR34" s="126" t="s">
        <v>3650</v>
      </c>
      <c r="AS34" s="126" t="s">
        <v>3650</v>
      </c>
      <c r="AT34" s="126" t="s">
        <v>3650</v>
      </c>
      <c r="AU34" s="126" t="s">
        <v>3650</v>
      </c>
      <c r="AV34" s="126" t="s">
        <v>3650</v>
      </c>
      <c r="AW34" s="126" t="s">
        <v>3650</v>
      </c>
      <c r="AX34" s="126" t="s">
        <v>3650</v>
      </c>
      <c r="AY34" s="126" t="s">
        <v>3650</v>
      </c>
      <c r="AZ34" s="126" t="s">
        <v>3650</v>
      </c>
      <c r="BA34" s="126" t="s">
        <v>3650</v>
      </c>
      <c r="BB34" s="126" t="s">
        <v>3650</v>
      </c>
      <c r="BC34" s="126" t="s">
        <v>3650</v>
      </c>
      <c r="BD34" s="126" t="s">
        <v>3650</v>
      </c>
      <c r="BE34" s="126" t="s">
        <v>3650</v>
      </c>
      <c r="BF34" s="126">
        <v>62</v>
      </c>
      <c r="BG34" s="126">
        <v>6</v>
      </c>
      <c r="BH34" s="126">
        <v>6</v>
      </c>
      <c r="BI34" s="126">
        <v>0</v>
      </c>
      <c r="BJ34" s="126">
        <v>8</v>
      </c>
      <c r="BK34" s="126">
        <v>58</v>
      </c>
      <c r="BL34" t="str">
        <f t="shared" si="1"/>
        <v>Non-CBT</v>
      </c>
      <c r="BM34" t="str">
        <f t="shared" si="2"/>
        <v>Less than 100 days</v>
      </c>
    </row>
    <row r="35" spans="1:65" ht="15.75" customHeight="1">
      <c r="A35" s="29">
        <v>1652312</v>
      </c>
      <c r="B35" s="29" t="s">
        <v>3405</v>
      </c>
      <c r="C35" s="30" t="s">
        <v>2852</v>
      </c>
      <c r="D35" s="29" t="s">
        <v>3522</v>
      </c>
      <c r="E35" s="29" t="s">
        <v>10</v>
      </c>
      <c r="F35" s="29"/>
      <c r="G35" s="29" t="s">
        <v>3392</v>
      </c>
      <c r="H35" s="29" t="s">
        <v>3409</v>
      </c>
      <c r="I35" s="29" t="s">
        <v>3394</v>
      </c>
      <c r="J35" s="29">
        <v>25</v>
      </c>
      <c r="K35" s="29">
        <v>12</v>
      </c>
      <c r="L35" s="29">
        <v>13</v>
      </c>
      <c r="M35" s="29">
        <v>0</v>
      </c>
      <c r="N35" s="29">
        <v>1</v>
      </c>
      <c r="O35" s="60">
        <f t="shared" si="0"/>
        <v>0.04</v>
      </c>
      <c r="P35" s="29"/>
      <c r="Q35" s="29">
        <v>6</v>
      </c>
      <c r="R35" s="29">
        <v>1</v>
      </c>
      <c r="S35" s="29">
        <v>16</v>
      </c>
      <c r="T35" s="29" t="s">
        <v>3523</v>
      </c>
      <c r="U35" s="58" t="s">
        <v>3649</v>
      </c>
      <c r="V35" s="29" t="s">
        <v>3524</v>
      </c>
      <c r="W35" s="29" t="s">
        <v>3595</v>
      </c>
      <c r="X35" s="29" t="s">
        <v>3490</v>
      </c>
      <c r="Y35" s="59" t="s">
        <v>3650</v>
      </c>
      <c r="Z35" s="70" t="s">
        <v>3661</v>
      </c>
      <c r="AA35" s="70">
        <v>10</v>
      </c>
      <c r="AB35" s="70">
        <v>0</v>
      </c>
      <c r="AC35" s="70">
        <v>1</v>
      </c>
      <c r="AD35" s="70">
        <v>3</v>
      </c>
      <c r="AE35" s="70">
        <v>0</v>
      </c>
      <c r="AF35" s="70">
        <v>0</v>
      </c>
      <c r="AG35" s="70">
        <v>0</v>
      </c>
      <c r="AH35" s="70">
        <v>0</v>
      </c>
      <c r="AI35" s="70">
        <v>0</v>
      </c>
      <c r="AJ35" s="70">
        <f>7+1+3</f>
        <v>11</v>
      </c>
      <c r="AK35" s="70">
        <v>0</v>
      </c>
      <c r="AL35" s="70">
        <v>0</v>
      </c>
      <c r="AM35" s="78" t="s">
        <v>3420</v>
      </c>
      <c r="AN35" s="81" t="s">
        <v>3662</v>
      </c>
      <c r="AO35" s="81" t="s">
        <v>3662</v>
      </c>
      <c r="AP35" s="126">
        <v>0</v>
      </c>
      <c r="AQ35" s="126">
        <v>0</v>
      </c>
      <c r="AR35" s="126">
        <v>19</v>
      </c>
      <c r="AS35" s="126">
        <v>0</v>
      </c>
      <c r="AT35" s="126">
        <v>0</v>
      </c>
      <c r="AU35" s="126">
        <v>0</v>
      </c>
      <c r="AV35" s="126">
        <v>0</v>
      </c>
      <c r="AW35" s="126">
        <v>0</v>
      </c>
      <c r="AX35" s="126">
        <v>0</v>
      </c>
      <c r="AY35" s="126">
        <v>0</v>
      </c>
      <c r="AZ35" s="126">
        <v>5</v>
      </c>
      <c r="BA35" s="126">
        <v>0</v>
      </c>
      <c r="BB35" s="126">
        <v>0</v>
      </c>
      <c r="BC35" s="126">
        <v>0</v>
      </c>
      <c r="BD35" s="126">
        <v>0</v>
      </c>
      <c r="BE35" s="126">
        <v>0</v>
      </c>
      <c r="BF35" s="126">
        <v>9</v>
      </c>
      <c r="BG35" s="126">
        <v>16</v>
      </c>
      <c r="BH35" s="126">
        <v>25</v>
      </c>
      <c r="BI35" s="126">
        <v>0</v>
      </c>
      <c r="BJ35" s="126">
        <v>0</v>
      </c>
      <c r="BK35" s="126">
        <v>0</v>
      </c>
      <c r="BL35" t="str">
        <f t="shared" si="1"/>
        <v>Non-CBT</v>
      </c>
      <c r="BM35" t="str">
        <f t="shared" si="2"/>
        <v>Greater than or equal to 100 days</v>
      </c>
    </row>
    <row r="36" spans="1:65" ht="15.75" customHeight="1">
      <c r="A36" s="29">
        <v>22641196</v>
      </c>
      <c r="B36" s="29" t="s">
        <v>3416</v>
      </c>
      <c r="C36" s="30" t="s">
        <v>2855</v>
      </c>
      <c r="D36" s="70" t="s">
        <v>3682</v>
      </c>
      <c r="E36" s="37" t="s">
        <v>10</v>
      </c>
      <c r="F36" s="29"/>
      <c r="G36" s="29" t="s">
        <v>3392</v>
      </c>
      <c r="H36" s="37" t="s">
        <v>3393</v>
      </c>
      <c r="I36" s="37" t="s">
        <v>3425</v>
      </c>
      <c r="J36" s="29">
        <v>315</v>
      </c>
      <c r="K36" s="29">
        <v>111</v>
      </c>
      <c r="L36" s="29">
        <v>204</v>
      </c>
      <c r="M36" s="37">
        <v>25</v>
      </c>
      <c r="N36" s="37">
        <v>35</v>
      </c>
      <c r="O36" s="60">
        <f t="shared" si="0"/>
        <v>0.19047619047619047</v>
      </c>
      <c r="P36" s="37" t="s">
        <v>3609</v>
      </c>
      <c r="Q36" s="37" t="s">
        <v>3420</v>
      </c>
      <c r="R36" s="37" t="s">
        <v>3420</v>
      </c>
      <c r="S36" s="37" t="s">
        <v>3420</v>
      </c>
      <c r="T36" s="37" t="s">
        <v>3610</v>
      </c>
      <c r="U36" s="94" t="s">
        <v>3650</v>
      </c>
      <c r="V36" s="37" t="s">
        <v>3610</v>
      </c>
      <c r="W36" s="37" t="s">
        <v>3611</v>
      </c>
      <c r="X36" s="37" t="s">
        <v>3408</v>
      </c>
      <c r="Y36" s="29">
        <v>25</v>
      </c>
      <c r="Z36" s="70" t="s">
        <v>3661</v>
      </c>
      <c r="AA36" s="70" t="s">
        <v>3400</v>
      </c>
      <c r="AB36" s="70" t="s">
        <v>3400</v>
      </c>
      <c r="AC36" s="70" t="s">
        <v>3400</v>
      </c>
      <c r="AD36" s="70" t="s">
        <v>3400</v>
      </c>
      <c r="AE36" s="70" t="s">
        <v>3400</v>
      </c>
      <c r="AF36" s="70" t="s">
        <v>3400</v>
      </c>
      <c r="AG36" s="70" t="s">
        <v>3400</v>
      </c>
      <c r="AH36" s="70" t="s">
        <v>3400</v>
      </c>
      <c r="AI36" s="70" t="s">
        <v>3400</v>
      </c>
      <c r="AJ36" s="70" t="s">
        <v>3400</v>
      </c>
      <c r="AK36" s="70" t="s">
        <v>3400</v>
      </c>
      <c r="AL36" s="70" t="s">
        <v>3400</v>
      </c>
      <c r="AM36" s="23" t="s">
        <v>3420</v>
      </c>
      <c r="AN36" s="63" t="s">
        <v>3650</v>
      </c>
      <c r="AO36" s="24" t="s">
        <v>3420</v>
      </c>
      <c r="AP36" s="126" t="s">
        <v>3650</v>
      </c>
      <c r="AQ36" s="126" t="s">
        <v>3650</v>
      </c>
      <c r="AR36" s="126" t="s">
        <v>3650</v>
      </c>
      <c r="AS36" s="126" t="s">
        <v>3650</v>
      </c>
      <c r="AT36" s="126" t="s">
        <v>3650</v>
      </c>
      <c r="AU36" s="126" t="s">
        <v>3650</v>
      </c>
      <c r="AV36" s="126" t="s">
        <v>3650</v>
      </c>
      <c r="AW36" s="126" t="s">
        <v>3650</v>
      </c>
      <c r="AX36" s="126" t="s">
        <v>3650</v>
      </c>
      <c r="AY36" s="126" t="s">
        <v>3650</v>
      </c>
      <c r="AZ36" s="126" t="s">
        <v>3650</v>
      </c>
      <c r="BA36" s="126" t="s">
        <v>3650</v>
      </c>
      <c r="BB36" s="126" t="s">
        <v>3650</v>
      </c>
      <c r="BC36" s="126" t="s">
        <v>3650</v>
      </c>
      <c r="BD36" s="126" t="s">
        <v>3650</v>
      </c>
      <c r="BE36" s="126" t="s">
        <v>3650</v>
      </c>
      <c r="BF36" s="126">
        <v>34</v>
      </c>
      <c r="BG36" s="126">
        <v>281</v>
      </c>
      <c r="BH36" s="126">
        <v>61</v>
      </c>
      <c r="BI36" s="126">
        <v>21</v>
      </c>
      <c r="BJ36" s="126">
        <v>233</v>
      </c>
      <c r="BK36" s="126">
        <v>0</v>
      </c>
      <c r="BL36" t="str">
        <f t="shared" si="1"/>
        <v>CBT and Non-CBT</v>
      </c>
      <c r="BM36" t="str">
        <f t="shared" si="2"/>
        <v>Greater than or equal to 100 days</v>
      </c>
    </row>
    <row r="37" spans="1:65" ht="15.75" customHeight="1">
      <c r="A37" s="29">
        <v>22641196</v>
      </c>
      <c r="B37" s="29" t="s">
        <v>3416</v>
      </c>
      <c r="C37" s="30" t="s">
        <v>2855</v>
      </c>
      <c r="D37" s="70" t="s">
        <v>3682</v>
      </c>
      <c r="E37" s="37" t="s">
        <v>10</v>
      </c>
      <c r="F37" s="29"/>
      <c r="G37" s="29" t="s">
        <v>3392</v>
      </c>
      <c r="H37" s="29" t="s">
        <v>3409</v>
      </c>
      <c r="I37" s="37" t="s">
        <v>3425</v>
      </c>
      <c r="J37" s="29">
        <v>315</v>
      </c>
      <c r="K37" s="29">
        <v>111</v>
      </c>
      <c r="L37" s="29">
        <v>204</v>
      </c>
      <c r="M37" s="37">
        <v>16</v>
      </c>
      <c r="N37" s="37">
        <v>24</v>
      </c>
      <c r="O37" s="60">
        <f t="shared" si="0"/>
        <v>0.12698412698412698</v>
      </c>
      <c r="P37" s="37" t="s">
        <v>3609</v>
      </c>
      <c r="Q37" s="37" t="s">
        <v>3420</v>
      </c>
      <c r="R37" s="37" t="s">
        <v>3420</v>
      </c>
      <c r="S37" s="37" t="s">
        <v>3420</v>
      </c>
      <c r="T37" s="37" t="s">
        <v>3610</v>
      </c>
      <c r="U37" s="94" t="s">
        <v>3650</v>
      </c>
      <c r="V37" s="37" t="s">
        <v>3610</v>
      </c>
      <c r="W37" s="37" t="s">
        <v>3611</v>
      </c>
      <c r="X37" s="37" t="s">
        <v>3408</v>
      </c>
      <c r="Y37" s="29">
        <v>25</v>
      </c>
      <c r="Z37" s="70" t="s">
        <v>3661</v>
      </c>
      <c r="AA37" s="70" t="s">
        <v>3400</v>
      </c>
      <c r="AB37" s="70" t="s">
        <v>3400</v>
      </c>
      <c r="AC37" s="70" t="s">
        <v>3400</v>
      </c>
      <c r="AD37" s="70" t="s">
        <v>3400</v>
      </c>
      <c r="AE37" s="70" t="s">
        <v>3400</v>
      </c>
      <c r="AF37" s="70" t="s">
        <v>3400</v>
      </c>
      <c r="AG37" s="70" t="s">
        <v>3400</v>
      </c>
      <c r="AH37" s="70" t="s">
        <v>3400</v>
      </c>
      <c r="AI37" s="70" t="s">
        <v>3400</v>
      </c>
      <c r="AJ37" s="70" t="s">
        <v>3400</v>
      </c>
      <c r="AK37" s="70" t="s">
        <v>3400</v>
      </c>
      <c r="AL37" s="70" t="s">
        <v>3400</v>
      </c>
      <c r="AM37" s="23" t="s">
        <v>3420</v>
      </c>
      <c r="AN37" s="63" t="s">
        <v>3650</v>
      </c>
      <c r="AO37" s="24" t="s">
        <v>3420</v>
      </c>
      <c r="AP37" s="126" t="s">
        <v>3650</v>
      </c>
      <c r="AQ37" s="126" t="s">
        <v>3650</v>
      </c>
      <c r="AR37" s="126" t="s">
        <v>3650</v>
      </c>
      <c r="AS37" s="126" t="s">
        <v>3650</v>
      </c>
      <c r="AT37" s="126" t="s">
        <v>3650</v>
      </c>
      <c r="AU37" s="126" t="s">
        <v>3650</v>
      </c>
      <c r="AV37" s="126" t="s">
        <v>3650</v>
      </c>
      <c r="AW37" s="126" t="s">
        <v>3650</v>
      </c>
      <c r="AX37" s="126" t="s">
        <v>3650</v>
      </c>
      <c r="AY37" s="126" t="s">
        <v>3650</v>
      </c>
      <c r="AZ37" s="126" t="s">
        <v>3650</v>
      </c>
      <c r="BA37" s="126" t="s">
        <v>3650</v>
      </c>
      <c r="BB37" s="126" t="s">
        <v>3650</v>
      </c>
      <c r="BC37" s="126" t="s">
        <v>3650</v>
      </c>
      <c r="BD37" s="126" t="s">
        <v>3650</v>
      </c>
      <c r="BE37" s="126" t="s">
        <v>3650</v>
      </c>
      <c r="BF37" s="126">
        <v>34</v>
      </c>
      <c r="BG37" s="126">
        <v>281</v>
      </c>
      <c r="BH37" s="126">
        <v>61</v>
      </c>
      <c r="BI37" s="126">
        <v>21</v>
      </c>
      <c r="BJ37" s="126">
        <v>233</v>
      </c>
      <c r="BK37" s="126">
        <v>0</v>
      </c>
      <c r="BL37" t="str">
        <f t="shared" si="1"/>
        <v>CBT and Non-CBT</v>
      </c>
      <c r="BM37" t="str">
        <f t="shared" si="2"/>
        <v>Greater than or equal to 100 days</v>
      </c>
    </row>
    <row r="38" spans="1:65" ht="15.75" customHeight="1">
      <c r="A38" s="29">
        <v>22641196</v>
      </c>
      <c r="B38" s="29" t="s">
        <v>3416</v>
      </c>
      <c r="C38" s="30" t="s">
        <v>2855</v>
      </c>
      <c r="D38" s="70" t="s">
        <v>3682</v>
      </c>
      <c r="E38" s="37" t="s">
        <v>10</v>
      </c>
      <c r="F38" s="29"/>
      <c r="G38" s="29" t="s">
        <v>3392</v>
      </c>
      <c r="H38" s="37" t="s">
        <v>3410</v>
      </c>
      <c r="I38" s="37" t="s">
        <v>3425</v>
      </c>
      <c r="J38" s="29">
        <v>315</v>
      </c>
      <c r="K38" s="29">
        <v>111</v>
      </c>
      <c r="L38" s="29">
        <v>204</v>
      </c>
      <c r="M38" s="29">
        <v>9</v>
      </c>
      <c r="N38" s="29">
        <v>11</v>
      </c>
      <c r="O38" s="60">
        <f t="shared" si="0"/>
        <v>6.3492063492063489E-2</v>
      </c>
      <c r="P38" s="37" t="s">
        <v>3609</v>
      </c>
      <c r="Q38" s="37" t="s">
        <v>3420</v>
      </c>
      <c r="R38" s="37" t="s">
        <v>3420</v>
      </c>
      <c r="S38" s="37" t="s">
        <v>3420</v>
      </c>
      <c r="T38" s="37" t="s">
        <v>3610</v>
      </c>
      <c r="U38" s="94" t="s">
        <v>3650</v>
      </c>
      <c r="V38" s="37" t="s">
        <v>3610</v>
      </c>
      <c r="W38" s="37" t="s">
        <v>3611</v>
      </c>
      <c r="X38" s="37" t="s">
        <v>3408</v>
      </c>
      <c r="Y38" s="29">
        <v>25</v>
      </c>
      <c r="Z38" s="70" t="s">
        <v>3661</v>
      </c>
      <c r="AA38" s="70" t="s">
        <v>3400</v>
      </c>
      <c r="AB38" s="70" t="s">
        <v>3400</v>
      </c>
      <c r="AC38" s="70" t="s">
        <v>3400</v>
      </c>
      <c r="AD38" s="70" t="s">
        <v>3400</v>
      </c>
      <c r="AE38" s="70" t="s">
        <v>3400</v>
      </c>
      <c r="AF38" s="70" t="s">
        <v>3400</v>
      </c>
      <c r="AG38" s="70" t="s">
        <v>3400</v>
      </c>
      <c r="AH38" s="70" t="s">
        <v>3400</v>
      </c>
      <c r="AI38" s="70" t="s">
        <v>3400</v>
      </c>
      <c r="AJ38" s="70" t="s">
        <v>3400</v>
      </c>
      <c r="AK38" s="70" t="s">
        <v>3400</v>
      </c>
      <c r="AL38" s="70" t="s">
        <v>3400</v>
      </c>
      <c r="AM38" s="23" t="s">
        <v>3420</v>
      </c>
      <c r="AN38" s="63" t="s">
        <v>3650</v>
      </c>
      <c r="AO38" s="24" t="s">
        <v>3420</v>
      </c>
      <c r="AP38" s="126" t="s">
        <v>3650</v>
      </c>
      <c r="AQ38" s="126" t="s">
        <v>3650</v>
      </c>
      <c r="AR38" s="126" t="s">
        <v>3650</v>
      </c>
      <c r="AS38" s="126" t="s">
        <v>3650</v>
      </c>
      <c r="AT38" s="126" t="s">
        <v>3650</v>
      </c>
      <c r="AU38" s="126" t="s">
        <v>3650</v>
      </c>
      <c r="AV38" s="126" t="s">
        <v>3650</v>
      </c>
      <c r="AW38" s="126" t="s">
        <v>3650</v>
      </c>
      <c r="AX38" s="126" t="s">
        <v>3650</v>
      </c>
      <c r="AY38" s="126" t="s">
        <v>3650</v>
      </c>
      <c r="AZ38" s="126" t="s">
        <v>3650</v>
      </c>
      <c r="BA38" s="126" t="s">
        <v>3650</v>
      </c>
      <c r="BB38" s="126" t="s">
        <v>3650</v>
      </c>
      <c r="BC38" s="126" t="s">
        <v>3650</v>
      </c>
      <c r="BD38" s="126" t="s">
        <v>3650</v>
      </c>
      <c r="BE38" s="126" t="s">
        <v>3650</v>
      </c>
      <c r="BF38" s="126">
        <v>34</v>
      </c>
      <c r="BG38" s="126">
        <v>281</v>
      </c>
      <c r="BH38" s="126">
        <v>61</v>
      </c>
      <c r="BI38" s="126">
        <v>21</v>
      </c>
      <c r="BJ38" s="126">
        <v>233</v>
      </c>
      <c r="BK38" s="126">
        <v>0</v>
      </c>
      <c r="BL38" t="str">
        <f t="shared" si="1"/>
        <v>CBT and Non-CBT</v>
      </c>
      <c r="BM38" t="str">
        <f t="shared" si="2"/>
        <v>Greater than or equal to 100 days</v>
      </c>
    </row>
    <row r="39" spans="1:65" ht="15.75" customHeight="1">
      <c r="A39" s="29">
        <v>15824982</v>
      </c>
      <c r="B39" s="29" t="s">
        <v>3416</v>
      </c>
      <c r="C39" s="30" t="s">
        <v>2858</v>
      </c>
      <c r="D39" s="70" t="s">
        <v>3683</v>
      </c>
      <c r="E39" s="37" t="s">
        <v>10</v>
      </c>
      <c r="F39" s="29"/>
      <c r="G39" s="29" t="s">
        <v>3392</v>
      </c>
      <c r="H39" s="29" t="s">
        <v>3393</v>
      </c>
      <c r="I39" s="37" t="s">
        <v>3425</v>
      </c>
      <c r="J39" s="29">
        <v>110</v>
      </c>
      <c r="K39" s="29">
        <f>38+14</f>
        <v>52</v>
      </c>
      <c r="L39" s="29">
        <f>43+15</f>
        <v>58</v>
      </c>
      <c r="M39" s="29">
        <v>14</v>
      </c>
      <c r="N39" s="29">
        <v>15</v>
      </c>
      <c r="O39" s="60">
        <f t="shared" si="0"/>
        <v>0.26363636363636361</v>
      </c>
      <c r="P39" s="37" t="s">
        <v>3609</v>
      </c>
      <c r="Q39" s="29">
        <v>42</v>
      </c>
      <c r="R39" s="37">
        <v>15</v>
      </c>
      <c r="S39" s="37">
        <v>67</v>
      </c>
      <c r="T39" s="37" t="s">
        <v>3503</v>
      </c>
      <c r="U39" s="58" t="s">
        <v>3646</v>
      </c>
      <c r="V39" s="37" t="s">
        <v>3612</v>
      </c>
      <c r="W39" s="37" t="s">
        <v>3613</v>
      </c>
      <c r="X39" s="37" t="s">
        <v>3408</v>
      </c>
      <c r="Y39" s="37">
        <v>25</v>
      </c>
      <c r="Z39" s="70" t="s">
        <v>3661</v>
      </c>
      <c r="AA39">
        <v>0</v>
      </c>
      <c r="AB39">
        <v>0</v>
      </c>
      <c r="AC39">
        <v>31</v>
      </c>
      <c r="AD39">
        <v>0</v>
      </c>
      <c r="AE39">
        <v>0</v>
      </c>
      <c r="AF39">
        <v>0</v>
      </c>
      <c r="AG39">
        <v>0</v>
      </c>
      <c r="AH39">
        <v>0</v>
      </c>
      <c r="AI39">
        <v>0</v>
      </c>
      <c r="AJ39">
        <f>48+11</f>
        <v>59</v>
      </c>
      <c r="AK39">
        <v>0</v>
      </c>
      <c r="AL39">
        <v>20</v>
      </c>
      <c r="AM39" s="23">
        <v>100</v>
      </c>
      <c r="AN39" s="24" t="s">
        <v>3662</v>
      </c>
      <c r="AO39" s="24" t="s">
        <v>3662</v>
      </c>
      <c r="AP39" s="126">
        <v>0</v>
      </c>
      <c r="AQ39" s="126">
        <v>0</v>
      </c>
      <c r="AR39" s="126">
        <v>0</v>
      </c>
      <c r="AS39" s="126">
        <v>0</v>
      </c>
      <c r="AT39" s="126">
        <v>0</v>
      </c>
      <c r="AU39" s="126">
        <v>0</v>
      </c>
      <c r="AV39" s="126">
        <v>0</v>
      </c>
      <c r="AW39" s="126">
        <v>0</v>
      </c>
      <c r="AX39" s="126">
        <v>0</v>
      </c>
      <c r="AY39" s="126">
        <v>0</v>
      </c>
      <c r="AZ39" s="126">
        <v>99</v>
      </c>
      <c r="BA39" s="126">
        <v>0</v>
      </c>
      <c r="BB39" s="126">
        <v>0</v>
      </c>
      <c r="BC39" s="126">
        <v>0</v>
      </c>
      <c r="BD39" s="126">
        <v>0</v>
      </c>
      <c r="BE39" s="126">
        <v>0</v>
      </c>
      <c r="BF39" s="126">
        <v>35</v>
      </c>
      <c r="BG39" s="126">
        <v>75</v>
      </c>
      <c r="BH39" s="126">
        <f>78+49</f>
        <v>127</v>
      </c>
      <c r="BI39" s="126">
        <v>0</v>
      </c>
      <c r="BJ39" s="126">
        <f>44+25</f>
        <v>69</v>
      </c>
      <c r="BK39" s="126">
        <v>0</v>
      </c>
      <c r="BL39" t="str">
        <f t="shared" si="1"/>
        <v>Non-CBT</v>
      </c>
      <c r="BM39" t="str">
        <f t="shared" si="2"/>
        <v>Greater than or equal to 100 days</v>
      </c>
    </row>
    <row r="40" spans="1:65" ht="15.75" customHeight="1">
      <c r="A40" s="29">
        <v>30742492</v>
      </c>
      <c r="B40" s="29" t="s">
        <v>3416</v>
      </c>
      <c r="C40" s="33" t="s">
        <v>2860</v>
      </c>
      <c r="D40" s="29" t="s">
        <v>3525</v>
      </c>
      <c r="E40" s="29" t="s">
        <v>10</v>
      </c>
      <c r="F40" s="29"/>
      <c r="G40" s="29" t="s">
        <v>3392</v>
      </c>
      <c r="H40" s="29" t="s">
        <v>3409</v>
      </c>
      <c r="I40" s="29" t="s">
        <v>3425</v>
      </c>
      <c r="J40" s="29">
        <v>738</v>
      </c>
      <c r="K40" s="29">
        <v>61</v>
      </c>
      <c r="L40" s="29">
        <v>677</v>
      </c>
      <c r="M40" s="29">
        <v>27</v>
      </c>
      <c r="N40" s="29">
        <v>221</v>
      </c>
      <c r="O40" s="60">
        <f t="shared" si="0"/>
        <v>0.33604336043360433</v>
      </c>
      <c r="P40" s="29" t="s">
        <v>3526</v>
      </c>
      <c r="Q40" s="29">
        <v>51</v>
      </c>
      <c r="R40" s="29">
        <v>0.6</v>
      </c>
      <c r="S40" s="29">
        <v>73</v>
      </c>
      <c r="T40" s="29" t="s">
        <v>3400</v>
      </c>
      <c r="U40" s="94" t="s">
        <v>3650</v>
      </c>
      <c r="V40" s="29" t="s">
        <v>3400</v>
      </c>
      <c r="W40" s="29" t="s">
        <v>3400</v>
      </c>
      <c r="X40" s="29" t="s">
        <v>3408</v>
      </c>
      <c r="Y40" s="29">
        <v>100</v>
      </c>
      <c r="Z40" s="70" t="s">
        <v>3659</v>
      </c>
      <c r="AA40">
        <v>0</v>
      </c>
      <c r="AB40">
        <v>0</v>
      </c>
      <c r="AC40">
        <v>0</v>
      </c>
      <c r="AD40">
        <v>0</v>
      </c>
      <c r="AE40">
        <v>0</v>
      </c>
      <c r="AF40">
        <v>0</v>
      </c>
      <c r="AG40">
        <v>0</v>
      </c>
      <c r="AH40">
        <v>0</v>
      </c>
      <c r="AI40">
        <v>0</v>
      </c>
      <c r="AJ40">
        <v>623</v>
      </c>
      <c r="AK40">
        <v>115</v>
      </c>
      <c r="AL40">
        <v>0</v>
      </c>
      <c r="AM40" s="23" t="s">
        <v>3420</v>
      </c>
      <c r="AN40" s="63" t="s">
        <v>3650</v>
      </c>
      <c r="AO40" s="24" t="s">
        <v>3420</v>
      </c>
      <c r="AP40" s="126" t="s">
        <v>3650</v>
      </c>
      <c r="AQ40" s="126" t="s">
        <v>3650</v>
      </c>
      <c r="AR40" s="126" t="s">
        <v>3650</v>
      </c>
      <c r="AS40" s="126" t="s">
        <v>3650</v>
      </c>
      <c r="AT40" s="126" t="s">
        <v>3650</v>
      </c>
      <c r="AU40" s="126" t="s">
        <v>3650</v>
      </c>
      <c r="AV40" s="126" t="s">
        <v>3650</v>
      </c>
      <c r="AW40" s="126" t="s">
        <v>3650</v>
      </c>
      <c r="AX40" s="126" t="s">
        <v>3650</v>
      </c>
      <c r="AY40" s="126" t="s">
        <v>3650</v>
      </c>
      <c r="AZ40" s="126" t="s">
        <v>3650</v>
      </c>
      <c r="BA40" s="126" t="s">
        <v>3650</v>
      </c>
      <c r="BB40" s="126" t="s">
        <v>3650</v>
      </c>
      <c r="BC40" s="126" t="s">
        <v>3650</v>
      </c>
      <c r="BD40" s="126" t="s">
        <v>3650</v>
      </c>
      <c r="BE40" s="126" t="s">
        <v>3650</v>
      </c>
      <c r="BF40" s="126">
        <v>220</v>
      </c>
      <c r="BG40" s="126">
        <v>518</v>
      </c>
      <c r="BH40" s="126">
        <v>87</v>
      </c>
      <c r="BI40" s="126">
        <v>51</v>
      </c>
      <c r="BJ40" s="126">
        <v>600</v>
      </c>
      <c r="BK40" s="126">
        <v>0</v>
      </c>
      <c r="BL40" t="str">
        <f t="shared" si="1"/>
        <v>CBT and Non-CBT</v>
      </c>
      <c r="BM40" t="str">
        <f t="shared" si="2"/>
        <v>Greater than or equal to 100 days</v>
      </c>
    </row>
    <row r="41" spans="1:65" ht="15.75" customHeight="1">
      <c r="A41" s="29">
        <v>30742492</v>
      </c>
      <c r="B41" s="29" t="s">
        <v>3416</v>
      </c>
      <c r="C41" s="33" t="s">
        <v>2860</v>
      </c>
      <c r="D41" s="29" t="s">
        <v>3525</v>
      </c>
      <c r="E41" s="29" t="s">
        <v>10</v>
      </c>
      <c r="F41" s="29"/>
      <c r="G41" s="29" t="s">
        <v>3392</v>
      </c>
      <c r="H41" s="29" t="s">
        <v>3393</v>
      </c>
      <c r="I41" s="29" t="s">
        <v>3425</v>
      </c>
      <c r="J41" s="29">
        <v>738</v>
      </c>
      <c r="K41" s="29">
        <v>61</v>
      </c>
      <c r="L41" s="29">
        <v>677</v>
      </c>
      <c r="M41" s="29">
        <v>40</v>
      </c>
      <c r="N41" s="29">
        <v>427</v>
      </c>
      <c r="O41" s="60">
        <f t="shared" si="0"/>
        <v>0.63279132791327908</v>
      </c>
      <c r="P41" s="29" t="s">
        <v>3526</v>
      </c>
      <c r="Q41" s="29">
        <v>51</v>
      </c>
      <c r="R41" s="29">
        <v>0.6</v>
      </c>
      <c r="S41" s="29">
        <v>73</v>
      </c>
      <c r="T41" s="29" t="s">
        <v>3400</v>
      </c>
      <c r="U41" s="94" t="s">
        <v>3650</v>
      </c>
      <c r="V41" s="29" t="s">
        <v>3400</v>
      </c>
      <c r="W41" s="29" t="s">
        <v>3400</v>
      </c>
      <c r="X41" s="29" t="s">
        <v>3408</v>
      </c>
      <c r="Y41" s="29">
        <v>100</v>
      </c>
      <c r="Z41" s="70" t="s">
        <v>3659</v>
      </c>
      <c r="AA41">
        <v>0</v>
      </c>
      <c r="AB41">
        <v>0</v>
      </c>
      <c r="AC41">
        <v>0</v>
      </c>
      <c r="AD41">
        <v>0</v>
      </c>
      <c r="AE41">
        <v>0</v>
      </c>
      <c r="AF41">
        <v>0</v>
      </c>
      <c r="AG41">
        <v>0</v>
      </c>
      <c r="AH41">
        <v>0</v>
      </c>
      <c r="AI41">
        <v>0</v>
      </c>
      <c r="AJ41">
        <v>623</v>
      </c>
      <c r="AK41">
        <v>115</v>
      </c>
      <c r="AL41">
        <v>0</v>
      </c>
      <c r="AM41" s="23" t="s">
        <v>3420</v>
      </c>
      <c r="AN41" s="63" t="s">
        <v>3650</v>
      </c>
      <c r="AO41" s="24" t="s">
        <v>3420</v>
      </c>
      <c r="AP41" s="126" t="s">
        <v>3650</v>
      </c>
      <c r="AQ41" s="126" t="s">
        <v>3650</v>
      </c>
      <c r="AR41" s="126" t="s">
        <v>3650</v>
      </c>
      <c r="AS41" s="126" t="s">
        <v>3650</v>
      </c>
      <c r="AT41" s="126" t="s">
        <v>3650</v>
      </c>
      <c r="AU41" s="126" t="s">
        <v>3650</v>
      </c>
      <c r="AV41" s="126" t="s">
        <v>3650</v>
      </c>
      <c r="AW41" s="126" t="s">
        <v>3650</v>
      </c>
      <c r="AX41" s="126" t="s">
        <v>3650</v>
      </c>
      <c r="AY41" s="126" t="s">
        <v>3650</v>
      </c>
      <c r="AZ41" s="126" t="s">
        <v>3650</v>
      </c>
      <c r="BA41" s="126" t="s">
        <v>3650</v>
      </c>
      <c r="BB41" s="126" t="s">
        <v>3650</v>
      </c>
      <c r="BC41" s="126" t="s">
        <v>3650</v>
      </c>
      <c r="BD41" s="126" t="s">
        <v>3650</v>
      </c>
      <c r="BE41" s="126" t="s">
        <v>3650</v>
      </c>
      <c r="BF41" s="126">
        <v>220</v>
      </c>
      <c r="BG41" s="126">
        <v>518</v>
      </c>
      <c r="BH41" s="126">
        <v>87</v>
      </c>
      <c r="BI41" s="126">
        <v>51</v>
      </c>
      <c r="BJ41" s="126">
        <v>600</v>
      </c>
      <c r="BK41" s="126">
        <v>0</v>
      </c>
      <c r="BL41" t="str">
        <f t="shared" si="1"/>
        <v>CBT and Non-CBT</v>
      </c>
      <c r="BM41" t="str">
        <f t="shared" si="2"/>
        <v>Greater than or equal to 100 days</v>
      </c>
    </row>
    <row r="42" spans="1:65" ht="15.75" customHeight="1">
      <c r="A42" s="52">
        <v>30742492</v>
      </c>
      <c r="B42" s="52" t="s">
        <v>3416</v>
      </c>
      <c r="C42" s="67" t="s">
        <v>2860</v>
      </c>
      <c r="D42" s="52" t="s">
        <v>3525</v>
      </c>
      <c r="E42" s="52" t="s">
        <v>10</v>
      </c>
      <c r="F42" s="52"/>
      <c r="G42" s="52" t="s">
        <v>3392</v>
      </c>
      <c r="H42" s="52" t="s">
        <v>3410</v>
      </c>
      <c r="I42" s="52" t="s">
        <v>3425</v>
      </c>
      <c r="J42" s="52">
        <v>738</v>
      </c>
      <c r="K42" s="52">
        <v>61</v>
      </c>
      <c r="L42" s="52">
        <v>677</v>
      </c>
      <c r="M42" s="52">
        <v>13</v>
      </c>
      <c r="N42" s="52">
        <v>206</v>
      </c>
      <c r="O42" s="61">
        <f t="shared" si="0"/>
        <v>0.2967479674796748</v>
      </c>
      <c r="P42" s="52" t="s">
        <v>3526</v>
      </c>
      <c r="Q42" s="52">
        <v>51</v>
      </c>
      <c r="R42" s="52">
        <v>0.6</v>
      </c>
      <c r="S42" s="52">
        <v>73</v>
      </c>
      <c r="T42" s="52" t="s">
        <v>3400</v>
      </c>
      <c r="U42" s="94" t="s">
        <v>3650</v>
      </c>
      <c r="V42" s="52" t="s">
        <v>3400</v>
      </c>
      <c r="W42" s="52" t="s">
        <v>3400</v>
      </c>
      <c r="X42" s="52" t="s">
        <v>3408</v>
      </c>
      <c r="Y42" s="52">
        <v>100</v>
      </c>
      <c r="Z42" s="73" t="s">
        <v>3659</v>
      </c>
      <c r="AA42" s="68">
        <v>0</v>
      </c>
      <c r="AB42" s="68">
        <v>0</v>
      </c>
      <c r="AC42" s="68">
        <v>0</v>
      </c>
      <c r="AD42" s="68">
        <v>0</v>
      </c>
      <c r="AE42" s="68">
        <v>0</v>
      </c>
      <c r="AF42" s="68">
        <v>0</v>
      </c>
      <c r="AG42" s="68">
        <v>0</v>
      </c>
      <c r="AH42" s="68">
        <v>0</v>
      </c>
      <c r="AI42" s="68">
        <v>0</v>
      </c>
      <c r="AJ42" s="68">
        <v>623</v>
      </c>
      <c r="AK42" s="68">
        <v>115</v>
      </c>
      <c r="AL42" s="68">
        <v>0</v>
      </c>
      <c r="AM42" s="80" t="s">
        <v>3420</v>
      </c>
      <c r="AN42" s="91" t="s">
        <v>3650</v>
      </c>
      <c r="AO42" s="69" t="s">
        <v>3420</v>
      </c>
      <c r="AP42" s="127" t="s">
        <v>3650</v>
      </c>
      <c r="AQ42" s="127" t="s">
        <v>3650</v>
      </c>
      <c r="AR42" s="127" t="s">
        <v>3650</v>
      </c>
      <c r="AS42" s="127" t="s">
        <v>3650</v>
      </c>
      <c r="AT42" s="127" t="s">
        <v>3650</v>
      </c>
      <c r="AU42" s="127" t="s">
        <v>3650</v>
      </c>
      <c r="AV42" s="127" t="s">
        <v>3650</v>
      </c>
      <c r="AW42" s="127" t="s">
        <v>3650</v>
      </c>
      <c r="AX42" s="127" t="s">
        <v>3650</v>
      </c>
      <c r="AY42" s="127" t="s">
        <v>3650</v>
      </c>
      <c r="AZ42" s="127" t="s">
        <v>3650</v>
      </c>
      <c r="BA42" s="127" t="s">
        <v>3650</v>
      </c>
      <c r="BB42" s="127" t="s">
        <v>3650</v>
      </c>
      <c r="BC42" s="127" t="s">
        <v>3650</v>
      </c>
      <c r="BD42" s="127" t="s">
        <v>3650</v>
      </c>
      <c r="BE42" s="127" t="s">
        <v>3650</v>
      </c>
      <c r="BF42" s="127">
        <v>220</v>
      </c>
      <c r="BG42" s="127">
        <v>518</v>
      </c>
      <c r="BH42" s="127">
        <v>87</v>
      </c>
      <c r="BI42" s="127">
        <v>51</v>
      </c>
      <c r="BJ42" s="127">
        <v>600</v>
      </c>
      <c r="BK42" s="127">
        <v>0</v>
      </c>
      <c r="BL42" s="68" t="str">
        <f t="shared" si="1"/>
        <v>CBT and Non-CBT</v>
      </c>
      <c r="BM42" s="68" t="str">
        <f t="shared" si="2"/>
        <v>Greater than or equal to 100 days</v>
      </c>
    </row>
    <row r="43" spans="1:65" ht="15.75" customHeight="1">
      <c r="A43" s="29">
        <v>27703035</v>
      </c>
      <c r="B43" s="29" t="s">
        <v>3416</v>
      </c>
      <c r="C43" s="30" t="s">
        <v>2805</v>
      </c>
      <c r="D43" s="29" t="s">
        <v>3489</v>
      </c>
      <c r="E43" s="39" t="s">
        <v>580</v>
      </c>
      <c r="F43" s="43" t="s">
        <v>3615</v>
      </c>
      <c r="G43" s="29" t="s">
        <v>3392</v>
      </c>
      <c r="H43" s="29" t="s">
        <v>3393</v>
      </c>
      <c r="I43" s="29" t="s">
        <v>3425</v>
      </c>
      <c r="J43" s="29">
        <v>20</v>
      </c>
      <c r="K43" s="38">
        <v>13</v>
      </c>
      <c r="L43" s="38">
        <v>7</v>
      </c>
      <c r="M43" s="38">
        <v>4</v>
      </c>
      <c r="N43" s="38">
        <v>2</v>
      </c>
      <c r="O43" s="60">
        <f t="shared" si="0"/>
        <v>0.3</v>
      </c>
      <c r="P43" s="29"/>
      <c r="Q43" s="29">
        <v>26</v>
      </c>
      <c r="R43" s="29">
        <v>1</v>
      </c>
      <c r="S43" s="29">
        <v>63</v>
      </c>
      <c r="T43" s="29" t="s">
        <v>3400</v>
      </c>
      <c r="U43" s="94" t="s">
        <v>3650</v>
      </c>
      <c r="V43" s="29" t="s">
        <v>3400</v>
      </c>
      <c r="W43" s="29" t="s">
        <v>3400</v>
      </c>
      <c r="X43" s="29" t="s">
        <v>3490</v>
      </c>
      <c r="Y43" s="59" t="s">
        <v>3650</v>
      </c>
      <c r="AM43" s="23"/>
      <c r="AN43" s="24"/>
      <c r="AO43" s="24"/>
      <c r="AP43" s="123"/>
      <c r="AQ43" s="23"/>
      <c r="AR43" s="23"/>
      <c r="AS43" s="23"/>
    </row>
    <row r="44" spans="1:65" ht="15.75" customHeight="1">
      <c r="A44" s="40">
        <v>29297965</v>
      </c>
      <c r="B44" s="40"/>
      <c r="C44" s="41" t="s">
        <v>2650</v>
      </c>
      <c r="D44" s="40" t="s">
        <v>3412</v>
      </c>
      <c r="E44" s="42" t="s">
        <v>580</v>
      </c>
      <c r="F44" s="43" t="s">
        <v>3615</v>
      </c>
      <c r="G44" s="40" t="s">
        <v>3392</v>
      </c>
      <c r="H44" s="40" t="s">
        <v>3393</v>
      </c>
      <c r="I44" s="40" t="s">
        <v>3394</v>
      </c>
      <c r="J44" s="29">
        <v>171</v>
      </c>
      <c r="K44" s="44">
        <v>1</v>
      </c>
      <c r="L44" s="44">
        <v>170</v>
      </c>
      <c r="M44" s="44">
        <v>0</v>
      </c>
      <c r="N44" s="44">
        <v>14</v>
      </c>
      <c r="O44" s="60">
        <f t="shared" si="0"/>
        <v>8.1871345029239762E-2</v>
      </c>
      <c r="P44" s="40"/>
      <c r="Q44" s="40">
        <v>7.38</v>
      </c>
      <c r="R44" s="40" t="s">
        <v>3400</v>
      </c>
      <c r="S44" s="40" t="s">
        <v>3400</v>
      </c>
      <c r="T44" s="40" t="s">
        <v>3413</v>
      </c>
      <c r="U44" s="58" t="s">
        <v>3646</v>
      </c>
      <c r="V44" s="40" t="s">
        <v>3414</v>
      </c>
      <c r="W44" s="40" t="s">
        <v>3415</v>
      </c>
      <c r="X44" s="40" t="s">
        <v>3408</v>
      </c>
      <c r="Y44" s="59" t="s">
        <v>3650</v>
      </c>
      <c r="AM44" s="23"/>
      <c r="AN44" s="24"/>
      <c r="AO44" s="24"/>
      <c r="AP44" s="125"/>
      <c r="AQ44" s="23"/>
      <c r="AR44" s="23"/>
      <c r="AS44" s="23"/>
    </row>
    <row r="45" spans="1:65" ht="15.75" customHeight="1">
      <c r="A45" s="40">
        <v>8382723</v>
      </c>
      <c r="B45" s="40" t="s">
        <v>3416</v>
      </c>
      <c r="C45" s="41" t="s">
        <v>2721</v>
      </c>
      <c r="D45" s="40" t="s">
        <v>3441</v>
      </c>
      <c r="E45" s="42" t="s">
        <v>580</v>
      </c>
      <c r="F45" s="43" t="s">
        <v>3615</v>
      </c>
      <c r="G45" s="40" t="s">
        <v>3392</v>
      </c>
      <c r="H45" s="40" t="s">
        <v>3393</v>
      </c>
      <c r="I45" s="40" t="s">
        <v>3407</v>
      </c>
      <c r="J45" s="29">
        <v>16</v>
      </c>
      <c r="K45" s="44">
        <v>6</v>
      </c>
      <c r="L45" s="44">
        <v>10</v>
      </c>
      <c r="M45" s="44">
        <v>3</v>
      </c>
      <c r="N45" s="44">
        <v>0</v>
      </c>
      <c r="O45" s="60">
        <f t="shared" si="0"/>
        <v>0.1875</v>
      </c>
      <c r="P45" s="40" t="s">
        <v>3442</v>
      </c>
      <c r="Q45" s="40" t="s">
        <v>3400</v>
      </c>
      <c r="R45" s="40" t="s">
        <v>3400</v>
      </c>
      <c r="S45" s="40" t="s">
        <v>3400</v>
      </c>
      <c r="T45" s="40" t="s">
        <v>3443</v>
      </c>
      <c r="U45" s="58" t="s">
        <v>3646</v>
      </c>
      <c r="V45" s="40" t="s">
        <v>3444</v>
      </c>
      <c r="W45" s="40" t="s">
        <v>3445</v>
      </c>
      <c r="X45" s="40" t="s">
        <v>3408</v>
      </c>
      <c r="Y45" s="59" t="s">
        <v>3650</v>
      </c>
      <c r="AM45" s="23"/>
      <c r="AN45" s="24"/>
      <c r="AO45" s="24"/>
      <c r="AP45" s="123"/>
      <c r="AQ45" s="23"/>
      <c r="AR45" s="23"/>
      <c r="AS45" s="23"/>
    </row>
    <row r="46" spans="1:65" ht="15.75" customHeight="1">
      <c r="A46" s="40">
        <v>20872080</v>
      </c>
      <c r="B46" s="40" t="s">
        <v>3451</v>
      </c>
      <c r="C46" s="45" t="s">
        <v>2735</v>
      </c>
      <c r="D46" s="40" t="s">
        <v>3454</v>
      </c>
      <c r="E46" s="42" t="s">
        <v>580</v>
      </c>
      <c r="F46" s="43" t="s">
        <v>3615</v>
      </c>
      <c r="G46" s="40" t="s">
        <v>3392</v>
      </c>
      <c r="H46" s="40" t="s">
        <v>3409</v>
      </c>
      <c r="I46" s="40" t="s">
        <v>3591</v>
      </c>
      <c r="J46" s="29">
        <v>7</v>
      </c>
      <c r="K46" s="44">
        <v>1</v>
      </c>
      <c r="L46" s="44">
        <v>6</v>
      </c>
      <c r="M46" s="44">
        <v>0</v>
      </c>
      <c r="N46" s="44">
        <v>5</v>
      </c>
      <c r="O46" s="60">
        <f t="shared" si="0"/>
        <v>0.7142857142857143</v>
      </c>
      <c r="P46" s="40"/>
      <c r="Q46" s="40">
        <v>27</v>
      </c>
      <c r="R46" s="40">
        <v>18</v>
      </c>
      <c r="S46" s="40">
        <v>44</v>
      </c>
      <c r="T46" s="40" t="s">
        <v>3455</v>
      </c>
      <c r="U46" s="58" t="s">
        <v>3646</v>
      </c>
      <c r="V46" s="40" t="s">
        <v>3400</v>
      </c>
      <c r="W46" s="40" t="s">
        <v>3400</v>
      </c>
      <c r="X46" s="40" t="s">
        <v>3408</v>
      </c>
      <c r="Y46" s="59" t="s">
        <v>3650</v>
      </c>
      <c r="AM46" s="23"/>
      <c r="AN46" s="24"/>
      <c r="AO46" s="24"/>
      <c r="AP46" s="123"/>
      <c r="AQ46" s="23"/>
      <c r="AR46" s="23"/>
      <c r="AS46" s="23"/>
    </row>
    <row r="47" spans="1:65" ht="15.75" customHeight="1">
      <c r="A47" s="40">
        <v>20872080</v>
      </c>
      <c r="B47" s="40" t="s">
        <v>3451</v>
      </c>
      <c r="C47" s="45" t="s">
        <v>2735</v>
      </c>
      <c r="D47" s="40" t="s">
        <v>3454</v>
      </c>
      <c r="E47" s="42" t="s">
        <v>580</v>
      </c>
      <c r="F47" s="43" t="s">
        <v>3615</v>
      </c>
      <c r="G47" s="40" t="s">
        <v>3392</v>
      </c>
      <c r="H47" s="40" t="s">
        <v>3393</v>
      </c>
      <c r="I47" s="40" t="s">
        <v>3591</v>
      </c>
      <c r="J47" s="29">
        <v>7</v>
      </c>
      <c r="K47" s="44">
        <v>1</v>
      </c>
      <c r="L47" s="44">
        <v>6</v>
      </c>
      <c r="M47" s="44">
        <v>1</v>
      </c>
      <c r="N47" s="44">
        <v>5</v>
      </c>
      <c r="O47" s="60">
        <f t="shared" si="0"/>
        <v>0.8571428571428571</v>
      </c>
      <c r="P47" s="40"/>
      <c r="Q47" s="40">
        <v>27</v>
      </c>
      <c r="R47" s="40">
        <v>18</v>
      </c>
      <c r="S47" s="40">
        <v>44</v>
      </c>
      <c r="T47" s="40" t="s">
        <v>3455</v>
      </c>
      <c r="U47" s="58" t="s">
        <v>3646</v>
      </c>
      <c r="V47" s="40" t="s">
        <v>3400</v>
      </c>
      <c r="W47" s="40" t="s">
        <v>3400</v>
      </c>
      <c r="X47" s="40" t="s">
        <v>3408</v>
      </c>
      <c r="Y47" s="59" t="s">
        <v>3650</v>
      </c>
      <c r="AM47" s="23"/>
      <c r="AN47" s="24"/>
      <c r="AO47" s="24"/>
      <c r="AP47" s="123"/>
      <c r="AQ47" s="23"/>
      <c r="AR47" s="23"/>
      <c r="AS47" s="23"/>
    </row>
    <row r="48" spans="1:65" ht="15.75" customHeight="1">
      <c r="A48" s="40">
        <v>20872080</v>
      </c>
      <c r="B48" s="40" t="s">
        <v>3451</v>
      </c>
      <c r="C48" s="45" t="s">
        <v>2735</v>
      </c>
      <c r="D48" s="40" t="s">
        <v>3454</v>
      </c>
      <c r="E48" s="42" t="s">
        <v>580</v>
      </c>
      <c r="F48" s="43" t="s">
        <v>3615</v>
      </c>
      <c r="G48" s="40" t="s">
        <v>3392</v>
      </c>
      <c r="H48" s="40" t="s">
        <v>3410</v>
      </c>
      <c r="I48" s="40" t="s">
        <v>3591</v>
      </c>
      <c r="J48" s="29">
        <v>7</v>
      </c>
      <c r="K48" s="44">
        <v>1</v>
      </c>
      <c r="L48" s="44">
        <v>6</v>
      </c>
      <c r="M48" s="44">
        <v>1</v>
      </c>
      <c r="N48" s="44">
        <v>0</v>
      </c>
      <c r="O48" s="60">
        <f t="shared" si="0"/>
        <v>0.14285714285714285</v>
      </c>
      <c r="P48" s="40"/>
      <c r="Q48" s="40">
        <v>27</v>
      </c>
      <c r="R48" s="40">
        <v>18</v>
      </c>
      <c r="S48" s="40">
        <v>44</v>
      </c>
      <c r="T48" s="40" t="s">
        <v>3455</v>
      </c>
      <c r="U48" s="58" t="s">
        <v>3646</v>
      </c>
      <c r="V48" s="40" t="s">
        <v>3400</v>
      </c>
      <c r="W48" s="40" t="s">
        <v>3400</v>
      </c>
      <c r="X48" s="40" t="s">
        <v>3408</v>
      </c>
      <c r="Y48" s="59" t="s">
        <v>3650</v>
      </c>
      <c r="AM48" s="23"/>
      <c r="AN48" s="24"/>
      <c r="AO48" s="24"/>
      <c r="AP48" s="123"/>
      <c r="AQ48" s="23"/>
      <c r="AR48" s="23"/>
      <c r="AS48" s="23"/>
    </row>
    <row r="49" spans="1:45" ht="15.75" customHeight="1">
      <c r="A49" s="46">
        <v>31449472</v>
      </c>
      <c r="B49" s="46" t="s">
        <v>3416</v>
      </c>
      <c r="C49" s="41" t="s">
        <v>2764</v>
      </c>
      <c r="D49" s="47" t="s">
        <v>3606</v>
      </c>
      <c r="E49" s="48" t="s">
        <v>580</v>
      </c>
      <c r="F49" s="49" t="s">
        <v>3614</v>
      </c>
      <c r="G49" s="46" t="s">
        <v>3392</v>
      </c>
      <c r="H49" s="46" t="s">
        <v>3393</v>
      </c>
      <c r="I49" s="46" t="s">
        <v>3407</v>
      </c>
      <c r="J49" s="29">
        <v>553</v>
      </c>
      <c r="K49" s="46">
        <v>147</v>
      </c>
      <c r="L49" s="46">
        <v>406</v>
      </c>
      <c r="M49" s="46">
        <v>105</v>
      </c>
      <c r="N49" s="46">
        <v>164</v>
      </c>
      <c r="O49" s="60">
        <f t="shared" si="0"/>
        <v>0.48643761301989152</v>
      </c>
      <c r="P49" s="46" t="s">
        <v>3587</v>
      </c>
      <c r="Q49" s="46" t="s">
        <v>3420</v>
      </c>
      <c r="R49" s="46" t="s">
        <v>3420</v>
      </c>
      <c r="S49" s="46" t="s">
        <v>3420</v>
      </c>
      <c r="T49" s="46" t="s">
        <v>3588</v>
      </c>
      <c r="U49" s="94" t="s">
        <v>3650</v>
      </c>
      <c r="V49" s="46" t="s">
        <v>3588</v>
      </c>
      <c r="W49" s="46" t="s">
        <v>3588</v>
      </c>
      <c r="X49" s="50" t="s">
        <v>3589</v>
      </c>
      <c r="Y49" s="46">
        <v>50</v>
      </c>
      <c r="AM49" s="23"/>
      <c r="AN49" s="24"/>
      <c r="AO49" s="24"/>
      <c r="AP49" s="123"/>
      <c r="AQ49" s="23"/>
      <c r="AR49" s="23"/>
      <c r="AS49" s="23"/>
    </row>
    <row r="50" spans="1:45" ht="15.75" customHeight="1">
      <c r="A50" s="4">
        <v>38228644</v>
      </c>
      <c r="B50" s="46"/>
      <c r="C50" s="5" t="s">
        <v>3627</v>
      </c>
      <c r="D50" s="1" t="s">
        <v>3636</v>
      </c>
      <c r="E50" s="55" t="s">
        <v>580</v>
      </c>
      <c r="F50" s="29" t="s">
        <v>82</v>
      </c>
      <c r="G50" s="46" t="s">
        <v>3392</v>
      </c>
      <c r="H50" s="46" t="s">
        <v>3393</v>
      </c>
      <c r="I50" s="46" t="s">
        <v>3407</v>
      </c>
      <c r="J50" s="29">
        <v>115</v>
      </c>
      <c r="K50" s="46">
        <v>16</v>
      </c>
      <c r="L50" s="46">
        <v>99</v>
      </c>
      <c r="M50" s="56" t="s">
        <v>3420</v>
      </c>
      <c r="N50" s="56" t="s">
        <v>3420</v>
      </c>
      <c r="O50" s="60">
        <f t="shared" si="0"/>
        <v>0</v>
      </c>
      <c r="P50" s="46"/>
      <c r="Q50" s="46"/>
      <c r="R50" s="46"/>
      <c r="S50" s="46"/>
      <c r="T50" s="46"/>
      <c r="U50" s="57" t="s">
        <v>23</v>
      </c>
      <c r="V50" s="46"/>
      <c r="W50" s="46"/>
      <c r="X50" s="50"/>
      <c r="Y50" s="46"/>
      <c r="AM50" s="23"/>
      <c r="AN50" s="24"/>
      <c r="AO50" s="24"/>
      <c r="AP50" s="123"/>
      <c r="AQ50" s="23"/>
      <c r="AR50" s="23"/>
      <c r="AS50" s="23"/>
    </row>
    <row r="51" spans="1:45" ht="15.75" customHeight="1">
      <c r="A51" s="40">
        <v>18367292</v>
      </c>
      <c r="B51" s="40" t="s">
        <v>3405</v>
      </c>
      <c r="C51" s="45" t="s">
        <v>2778</v>
      </c>
      <c r="D51" s="40" t="s">
        <v>3474</v>
      </c>
      <c r="E51" s="42" t="s">
        <v>580</v>
      </c>
      <c r="F51" s="43" t="s">
        <v>3615</v>
      </c>
      <c r="G51" s="40" t="s">
        <v>3392</v>
      </c>
      <c r="H51" s="40" t="s">
        <v>3393</v>
      </c>
      <c r="I51" s="40" t="s">
        <v>3407</v>
      </c>
      <c r="J51" s="29">
        <v>15</v>
      </c>
      <c r="K51" s="44">
        <v>7</v>
      </c>
      <c r="L51" s="44">
        <v>8</v>
      </c>
      <c r="M51" s="44">
        <v>3</v>
      </c>
      <c r="N51" s="44">
        <v>1</v>
      </c>
      <c r="O51" s="60">
        <f t="shared" si="0"/>
        <v>0.26666666666666666</v>
      </c>
      <c r="P51" s="93" t="s">
        <v>3704</v>
      </c>
      <c r="Q51" s="40">
        <v>51</v>
      </c>
      <c r="R51" s="40">
        <v>19</v>
      </c>
      <c r="S51" s="40">
        <v>67</v>
      </c>
      <c r="T51" s="40" t="s">
        <v>3475</v>
      </c>
      <c r="U51" s="58" t="s">
        <v>3646</v>
      </c>
      <c r="V51" s="40" t="s">
        <v>3476</v>
      </c>
      <c r="W51" s="40" t="s">
        <v>3477</v>
      </c>
      <c r="X51" s="93" t="s">
        <v>3401</v>
      </c>
      <c r="Y51" s="59" t="s">
        <v>3650</v>
      </c>
      <c r="AM51" s="23"/>
      <c r="AN51" s="24"/>
      <c r="AO51" s="24"/>
      <c r="AP51" s="123"/>
      <c r="AQ51" s="23"/>
      <c r="AR51" s="23"/>
      <c r="AS51" s="23"/>
    </row>
    <row r="52" spans="1:45" ht="15.75" customHeight="1">
      <c r="A52" s="40">
        <v>34523191</v>
      </c>
      <c r="B52" s="40"/>
      <c r="C52" s="45" t="s">
        <v>25</v>
      </c>
      <c r="D52" s="40" t="s">
        <v>3482</v>
      </c>
      <c r="E52" s="42" t="s">
        <v>580</v>
      </c>
      <c r="F52" s="43" t="s">
        <v>3615</v>
      </c>
      <c r="G52" s="40" t="s">
        <v>3392</v>
      </c>
      <c r="H52" s="40" t="s">
        <v>3393</v>
      </c>
      <c r="I52" s="40" t="s">
        <v>3407</v>
      </c>
      <c r="J52" s="29">
        <v>30</v>
      </c>
      <c r="K52" s="44">
        <v>6</v>
      </c>
      <c r="L52" s="44">
        <v>24</v>
      </c>
      <c r="M52" s="44">
        <v>5</v>
      </c>
      <c r="N52" s="44">
        <v>8</v>
      </c>
      <c r="O52" s="60">
        <f t="shared" si="0"/>
        <v>0.43333333333333335</v>
      </c>
      <c r="P52" s="93" t="s">
        <v>3705</v>
      </c>
      <c r="Q52" s="40">
        <v>49</v>
      </c>
      <c r="R52" s="40">
        <v>19</v>
      </c>
      <c r="S52" s="40">
        <v>72</v>
      </c>
      <c r="T52" s="40" t="s">
        <v>3599</v>
      </c>
      <c r="U52" s="58" t="s">
        <v>3646</v>
      </c>
      <c r="V52" s="40" t="s">
        <v>3483</v>
      </c>
      <c r="W52" s="40" t="s">
        <v>3400</v>
      </c>
      <c r="X52" s="93" t="s">
        <v>3401</v>
      </c>
      <c r="Y52" s="59" t="s">
        <v>3650</v>
      </c>
      <c r="AM52" s="23"/>
      <c r="AN52" s="24"/>
      <c r="AO52" s="24"/>
      <c r="AP52" s="123"/>
      <c r="AQ52" s="23"/>
      <c r="AR52" s="23"/>
      <c r="AS52" s="23"/>
    </row>
    <row r="53" spans="1:45" ht="15.75" customHeight="1">
      <c r="A53" s="40">
        <v>12123421</v>
      </c>
      <c r="B53" s="40" t="s">
        <v>3491</v>
      </c>
      <c r="C53" s="41" t="s">
        <v>2811</v>
      </c>
      <c r="D53" s="40" t="s">
        <v>3492</v>
      </c>
      <c r="E53" s="42" t="s">
        <v>580</v>
      </c>
      <c r="F53" s="43" t="s">
        <v>3615</v>
      </c>
      <c r="G53" s="40" t="s">
        <v>3392</v>
      </c>
      <c r="H53" s="40" t="s">
        <v>3409</v>
      </c>
      <c r="I53" s="40" t="s">
        <v>3425</v>
      </c>
      <c r="J53" s="29">
        <v>14</v>
      </c>
      <c r="K53" s="44">
        <v>3</v>
      </c>
      <c r="L53" s="44">
        <v>11</v>
      </c>
      <c r="M53" s="44">
        <v>0</v>
      </c>
      <c r="N53" s="44">
        <v>1</v>
      </c>
      <c r="O53" s="60">
        <f t="shared" si="0"/>
        <v>7.1428571428571425E-2</v>
      </c>
      <c r="P53" s="40"/>
      <c r="Q53" s="40">
        <v>26</v>
      </c>
      <c r="R53" s="40">
        <v>11</v>
      </c>
      <c r="S53" s="40">
        <v>48</v>
      </c>
      <c r="T53" s="40" t="s">
        <v>3493</v>
      </c>
      <c r="U53" s="94" t="s">
        <v>3650</v>
      </c>
      <c r="V53" s="40" t="s">
        <v>3494</v>
      </c>
      <c r="W53" s="40" t="s">
        <v>3495</v>
      </c>
      <c r="X53" s="40" t="s">
        <v>3490</v>
      </c>
      <c r="Y53" s="59" t="s">
        <v>3650</v>
      </c>
      <c r="AP53" s="123"/>
    </row>
    <row r="54" spans="1:45" ht="15.75" customHeight="1">
      <c r="A54" s="40">
        <v>27419347</v>
      </c>
      <c r="B54" s="40" t="s">
        <v>3405</v>
      </c>
      <c r="C54" s="41" t="s">
        <v>2823</v>
      </c>
      <c r="D54" s="40" t="s">
        <v>3496</v>
      </c>
      <c r="E54" s="42" t="s">
        <v>580</v>
      </c>
      <c r="F54" s="43" t="s">
        <v>3615</v>
      </c>
      <c r="G54" s="40" t="s">
        <v>3392</v>
      </c>
      <c r="H54" s="40" t="s">
        <v>3393</v>
      </c>
      <c r="I54" s="40" t="s">
        <v>3407</v>
      </c>
      <c r="J54" s="29">
        <v>9</v>
      </c>
      <c r="K54" s="44">
        <v>3</v>
      </c>
      <c r="L54" s="44">
        <v>6</v>
      </c>
      <c r="M54" s="44">
        <v>2</v>
      </c>
      <c r="N54" s="44">
        <v>2</v>
      </c>
      <c r="O54" s="60">
        <f t="shared" si="0"/>
        <v>0.44444444444444442</v>
      </c>
      <c r="P54" s="40"/>
      <c r="Q54" s="40">
        <v>33</v>
      </c>
      <c r="R54" s="40">
        <v>25</v>
      </c>
      <c r="S54" s="40">
        <v>37</v>
      </c>
      <c r="T54" s="40" t="s">
        <v>3400</v>
      </c>
      <c r="U54" s="94" t="s">
        <v>3650</v>
      </c>
      <c r="V54" s="40" t="s">
        <v>3400</v>
      </c>
      <c r="W54" s="40" t="s">
        <v>3400</v>
      </c>
      <c r="X54" s="40" t="s">
        <v>3490</v>
      </c>
      <c r="Y54" s="59" t="s">
        <v>3650</v>
      </c>
      <c r="AP54" s="123"/>
    </row>
    <row r="55" spans="1:45" ht="15.75" customHeight="1">
      <c r="A55" s="40">
        <v>20228849</v>
      </c>
      <c r="B55" s="40" t="s">
        <v>3501</v>
      </c>
      <c r="C55" s="51" t="s">
        <v>2835</v>
      </c>
      <c r="D55" s="40" t="s">
        <v>3502</v>
      </c>
      <c r="E55" s="42" t="s">
        <v>580</v>
      </c>
      <c r="F55" s="43" t="s">
        <v>3615</v>
      </c>
      <c r="G55" s="40" t="s">
        <v>3392</v>
      </c>
      <c r="H55" s="40" t="s">
        <v>3393</v>
      </c>
      <c r="I55" s="40" t="s">
        <v>3394</v>
      </c>
      <c r="J55" s="29">
        <v>145</v>
      </c>
      <c r="K55" s="44">
        <v>7</v>
      </c>
      <c r="L55" s="44">
        <v>138</v>
      </c>
      <c r="M55" s="44">
        <v>0</v>
      </c>
      <c r="N55" s="44">
        <v>10</v>
      </c>
      <c r="O55" s="60">
        <f t="shared" si="0"/>
        <v>6.8965517241379309E-2</v>
      </c>
      <c r="P55" s="40"/>
      <c r="Q55" s="40">
        <v>6.6</v>
      </c>
      <c r="R55" s="40">
        <v>0.13</v>
      </c>
      <c r="S55" s="40">
        <v>20</v>
      </c>
      <c r="T55" s="40" t="s">
        <v>3503</v>
      </c>
      <c r="U55" s="58" t="s">
        <v>3646</v>
      </c>
      <c r="V55" s="40" t="s">
        <v>3504</v>
      </c>
      <c r="W55" s="40" t="s">
        <v>3505</v>
      </c>
      <c r="X55" s="40" t="s">
        <v>3401</v>
      </c>
      <c r="Y55" s="59" t="s">
        <v>3650</v>
      </c>
      <c r="AP55" s="123"/>
    </row>
    <row r="56" spans="1:45" ht="15.75" customHeight="1">
      <c r="A56" s="40">
        <v>29181879</v>
      </c>
      <c r="B56" s="40" t="s">
        <v>3416</v>
      </c>
      <c r="C56" s="41" t="s">
        <v>2849</v>
      </c>
      <c r="D56" s="40" t="s">
        <v>3520</v>
      </c>
      <c r="E56" s="42" t="s">
        <v>580</v>
      </c>
      <c r="F56" s="43" t="s">
        <v>3615</v>
      </c>
      <c r="G56" s="40" t="s">
        <v>3392</v>
      </c>
      <c r="H56" s="40" t="s">
        <v>3409</v>
      </c>
      <c r="I56" s="40" t="s">
        <v>3394</v>
      </c>
      <c r="J56" s="29">
        <v>14</v>
      </c>
      <c r="K56" s="44">
        <v>7</v>
      </c>
      <c r="L56" s="44">
        <v>7</v>
      </c>
      <c r="M56" s="44">
        <v>4</v>
      </c>
      <c r="N56" s="44">
        <v>0</v>
      </c>
      <c r="O56" s="60">
        <f t="shared" si="0"/>
        <v>0.2857142857142857</v>
      </c>
      <c r="P56" s="40"/>
      <c r="Q56" s="40">
        <v>10</v>
      </c>
      <c r="R56" s="40">
        <v>0</v>
      </c>
      <c r="S56" s="40">
        <v>26</v>
      </c>
      <c r="T56" s="40" t="s">
        <v>3594</v>
      </c>
      <c r="U56" s="58" t="s">
        <v>3646</v>
      </c>
      <c r="V56" s="40" t="s">
        <v>3521</v>
      </c>
      <c r="W56" s="40" t="s">
        <v>3521</v>
      </c>
      <c r="X56" s="40" t="s">
        <v>3401</v>
      </c>
      <c r="Y56" s="40">
        <v>1000</v>
      </c>
      <c r="AM56" s="23"/>
      <c r="AN56" s="24"/>
      <c r="AO56" s="24"/>
      <c r="AP56" s="123"/>
      <c r="AQ56" s="23"/>
      <c r="AR56" s="23"/>
      <c r="AS56" s="23"/>
    </row>
    <row r="57" spans="1:45" ht="15.75" customHeight="1">
      <c r="A57" s="40">
        <v>29181879</v>
      </c>
      <c r="B57" s="40" t="s">
        <v>3416</v>
      </c>
      <c r="C57" s="41" t="s">
        <v>2849</v>
      </c>
      <c r="D57" s="40" t="s">
        <v>3520</v>
      </c>
      <c r="E57" s="42" t="s">
        <v>580</v>
      </c>
      <c r="F57" s="43" t="s">
        <v>3615</v>
      </c>
      <c r="G57" s="40" t="s">
        <v>3392</v>
      </c>
      <c r="H57" s="40" t="s">
        <v>3393</v>
      </c>
      <c r="I57" s="40" t="s">
        <v>3394</v>
      </c>
      <c r="J57" s="29">
        <v>14</v>
      </c>
      <c r="K57" s="44">
        <v>7</v>
      </c>
      <c r="L57" s="44">
        <v>7</v>
      </c>
      <c r="M57" s="44">
        <v>5</v>
      </c>
      <c r="N57" s="44">
        <v>0</v>
      </c>
      <c r="O57" s="60">
        <f t="shared" si="0"/>
        <v>0.35714285714285715</v>
      </c>
      <c r="P57" s="40"/>
      <c r="Q57" s="40">
        <v>10</v>
      </c>
      <c r="R57" s="40">
        <v>0</v>
      </c>
      <c r="S57" s="40">
        <v>26</v>
      </c>
      <c r="T57" s="40" t="s">
        <v>3594</v>
      </c>
      <c r="U57" s="58" t="s">
        <v>3646</v>
      </c>
      <c r="V57" s="40" t="s">
        <v>3521</v>
      </c>
      <c r="W57" s="40" t="s">
        <v>3521</v>
      </c>
      <c r="X57" s="40" t="s">
        <v>3401</v>
      </c>
      <c r="Y57" s="40">
        <v>1000</v>
      </c>
      <c r="AM57" s="23"/>
      <c r="AN57" s="24"/>
      <c r="AO57" s="24"/>
      <c r="AP57" s="123"/>
      <c r="AQ57" s="23"/>
      <c r="AR57" s="23"/>
      <c r="AS57" s="23"/>
    </row>
    <row r="58" spans="1:45" ht="15.75" customHeight="1">
      <c r="A58" s="40">
        <v>29181879</v>
      </c>
      <c r="B58" s="40" t="s">
        <v>3416</v>
      </c>
      <c r="C58" s="41" t="s">
        <v>2849</v>
      </c>
      <c r="D58" s="40" t="s">
        <v>3520</v>
      </c>
      <c r="E58" s="42" t="s">
        <v>580</v>
      </c>
      <c r="F58" s="43" t="s">
        <v>3615</v>
      </c>
      <c r="G58" s="40" t="s">
        <v>3392</v>
      </c>
      <c r="H58" s="40" t="s">
        <v>3410</v>
      </c>
      <c r="I58" s="40" t="s">
        <v>3394</v>
      </c>
      <c r="J58" s="40">
        <v>14</v>
      </c>
      <c r="K58" s="44">
        <v>7</v>
      </c>
      <c r="L58" s="44">
        <v>7</v>
      </c>
      <c r="M58" s="44">
        <v>1</v>
      </c>
      <c r="N58" s="44">
        <v>0</v>
      </c>
      <c r="O58" s="66">
        <f t="shared" si="0"/>
        <v>7.1428571428571425E-2</v>
      </c>
      <c r="P58" s="40"/>
      <c r="Q58" s="40">
        <v>10</v>
      </c>
      <c r="R58" s="40">
        <v>0</v>
      </c>
      <c r="S58" s="40">
        <v>26</v>
      </c>
      <c r="T58" s="40" t="s">
        <v>3594</v>
      </c>
      <c r="U58" s="63" t="s">
        <v>3646</v>
      </c>
      <c r="V58" s="40" t="s">
        <v>3521</v>
      </c>
      <c r="W58" s="40" t="s">
        <v>3521</v>
      </c>
      <c r="X58" s="40" t="s">
        <v>3401</v>
      </c>
      <c r="Y58" s="40">
        <v>1000</v>
      </c>
      <c r="Z58" s="25"/>
      <c r="AA58" s="25"/>
      <c r="AB58" s="25"/>
      <c r="AC58" s="25"/>
      <c r="AD58" s="25"/>
      <c r="AE58" s="25"/>
      <c r="AF58" s="25"/>
      <c r="AG58" s="25"/>
      <c r="AH58" s="25"/>
      <c r="AI58" s="25"/>
      <c r="AJ58" s="25"/>
      <c r="AK58" s="25"/>
      <c r="AL58" s="25"/>
      <c r="AM58" s="23"/>
      <c r="AN58" s="24"/>
      <c r="AO58" s="24"/>
      <c r="AP58" s="123"/>
      <c r="AQ58" s="23"/>
      <c r="AR58" s="23"/>
      <c r="AS58" s="23"/>
    </row>
    <row r="59" spans="1:45" ht="15.75" customHeight="1">
      <c r="A59" s="40">
        <v>23771003</v>
      </c>
      <c r="B59" s="40" t="s">
        <v>3390</v>
      </c>
      <c r="C59" s="41" t="s">
        <v>2712</v>
      </c>
      <c r="D59" s="40" t="s">
        <v>3527</v>
      </c>
      <c r="E59" s="40" t="s">
        <v>580</v>
      </c>
      <c r="F59" s="40" t="s">
        <v>74</v>
      </c>
      <c r="G59" s="40" t="s">
        <v>3528</v>
      </c>
      <c r="H59" s="40" t="s">
        <v>3409</v>
      </c>
      <c r="I59" s="40" t="s">
        <v>3407</v>
      </c>
      <c r="J59" s="29">
        <v>108</v>
      </c>
      <c r="K59" s="40">
        <v>18</v>
      </c>
      <c r="L59" s="40">
        <v>90</v>
      </c>
      <c r="M59" s="40">
        <v>8</v>
      </c>
      <c r="N59" s="40">
        <v>11</v>
      </c>
      <c r="O59" s="60">
        <f t="shared" si="0"/>
        <v>0.17592592592592593</v>
      </c>
      <c r="P59" s="40"/>
      <c r="Q59" s="40">
        <v>40</v>
      </c>
      <c r="R59" s="40">
        <v>17</v>
      </c>
      <c r="S59" s="40">
        <v>65</v>
      </c>
      <c r="T59" s="40" t="s">
        <v>3529</v>
      </c>
      <c r="U59" s="57" t="s">
        <v>23</v>
      </c>
      <c r="V59" s="40" t="s">
        <v>3530</v>
      </c>
      <c r="W59" s="40" t="s">
        <v>3601</v>
      </c>
      <c r="X59" s="40" t="s">
        <v>3408</v>
      </c>
      <c r="Y59" s="59" t="s">
        <v>3650</v>
      </c>
      <c r="AM59" s="23"/>
      <c r="AN59" s="24"/>
      <c r="AO59" s="24"/>
      <c r="AP59" s="123"/>
      <c r="AQ59" s="23"/>
      <c r="AR59" s="23"/>
      <c r="AS59" s="23"/>
    </row>
    <row r="60" spans="1:45" ht="15.75" customHeight="1">
      <c r="A60" s="29">
        <v>23243510</v>
      </c>
      <c r="B60" s="29" t="s">
        <v>3491</v>
      </c>
      <c r="C60" s="31" t="s">
        <v>2766</v>
      </c>
      <c r="D60" s="29" t="s">
        <v>3531</v>
      </c>
      <c r="E60" s="29" t="s">
        <v>580</v>
      </c>
      <c r="F60" s="29" t="s">
        <v>74</v>
      </c>
      <c r="G60" s="29" t="s">
        <v>3528</v>
      </c>
      <c r="H60" s="29" t="s">
        <v>3393</v>
      </c>
      <c r="I60" s="29" t="s">
        <v>3407</v>
      </c>
      <c r="J60" s="29">
        <v>26</v>
      </c>
      <c r="K60" s="29">
        <v>10</v>
      </c>
      <c r="L60" s="29">
        <v>16</v>
      </c>
      <c r="M60" s="29">
        <v>0</v>
      </c>
      <c r="N60" s="29">
        <v>5</v>
      </c>
      <c r="O60" s="60">
        <f t="shared" si="0"/>
        <v>0.19230769230769232</v>
      </c>
      <c r="P60" s="29"/>
      <c r="Q60" s="29">
        <v>56.5</v>
      </c>
      <c r="R60" s="29">
        <v>35</v>
      </c>
      <c r="S60" s="29">
        <v>67</v>
      </c>
      <c r="T60" s="29" t="s">
        <v>3532</v>
      </c>
      <c r="U60" s="57" t="s">
        <v>23</v>
      </c>
      <c r="V60" s="29" t="s">
        <v>3400</v>
      </c>
      <c r="W60" s="29" t="s">
        <v>3533</v>
      </c>
      <c r="X60" s="29" t="s">
        <v>3408</v>
      </c>
      <c r="Y60" s="29">
        <v>1000</v>
      </c>
      <c r="AM60" s="23"/>
      <c r="AN60" s="24"/>
      <c r="AO60" s="24"/>
      <c r="AP60" s="123"/>
      <c r="AQ60" s="23"/>
      <c r="AR60" s="23"/>
      <c r="AS60" s="23"/>
    </row>
    <row r="61" spans="1:45" ht="15.75" customHeight="1">
      <c r="A61" s="29">
        <v>23461659</v>
      </c>
      <c r="B61" s="29" t="s">
        <v>3534</v>
      </c>
      <c r="C61" s="31" t="s">
        <v>2781</v>
      </c>
      <c r="D61" s="29" t="s">
        <v>3535</v>
      </c>
      <c r="E61" s="29" t="s">
        <v>580</v>
      </c>
      <c r="F61" s="29" t="s">
        <v>74</v>
      </c>
      <c r="G61" s="29" t="s">
        <v>3528</v>
      </c>
      <c r="H61" s="29" t="s">
        <v>3393</v>
      </c>
      <c r="I61" s="29" t="s">
        <v>3407</v>
      </c>
      <c r="J61" s="29">
        <v>54</v>
      </c>
      <c r="K61" s="29">
        <v>15</v>
      </c>
      <c r="L61" s="29">
        <v>39</v>
      </c>
      <c r="M61" s="29">
        <v>4</v>
      </c>
      <c r="N61" s="29">
        <v>9</v>
      </c>
      <c r="O61" s="60">
        <f t="shared" si="0"/>
        <v>0.24074074074074073</v>
      </c>
      <c r="P61" s="29" t="s">
        <v>3500</v>
      </c>
      <c r="Q61" s="29">
        <v>40</v>
      </c>
      <c r="R61" s="29">
        <v>17</v>
      </c>
      <c r="S61" s="29">
        <v>63</v>
      </c>
      <c r="T61" s="29" t="s">
        <v>3400</v>
      </c>
      <c r="U61" s="57" t="s">
        <v>23</v>
      </c>
      <c r="V61" s="29" t="s">
        <v>3400</v>
      </c>
      <c r="W61" s="29" t="s">
        <v>3400</v>
      </c>
      <c r="X61" s="92" t="s">
        <v>3401</v>
      </c>
      <c r="Y61" s="59" t="s">
        <v>3650</v>
      </c>
      <c r="AM61" s="23"/>
      <c r="AN61" s="24"/>
      <c r="AO61" s="24"/>
      <c r="AP61" s="123"/>
      <c r="AQ61" s="23"/>
      <c r="AR61" s="23"/>
      <c r="AS61" s="23"/>
    </row>
    <row r="62" spans="1:45" ht="15.75" customHeight="1">
      <c r="A62" s="29">
        <v>9509968</v>
      </c>
      <c r="B62" s="29" t="s">
        <v>3405</v>
      </c>
      <c r="C62" s="30" t="s">
        <v>2784</v>
      </c>
      <c r="D62" s="29" t="s">
        <v>3536</v>
      </c>
      <c r="E62" s="29" t="s">
        <v>580</v>
      </c>
      <c r="F62" s="29" t="s">
        <v>74</v>
      </c>
      <c r="G62" s="29" t="s">
        <v>3528</v>
      </c>
      <c r="H62" s="29" t="s">
        <v>3393</v>
      </c>
      <c r="I62" s="29" t="s">
        <v>3394</v>
      </c>
      <c r="J62" s="29">
        <v>5</v>
      </c>
      <c r="K62" s="29">
        <v>2</v>
      </c>
      <c r="L62" s="29">
        <v>3</v>
      </c>
      <c r="M62" s="29">
        <v>1</v>
      </c>
      <c r="N62" s="29">
        <v>3</v>
      </c>
      <c r="O62" s="60">
        <f t="shared" si="0"/>
        <v>0.8</v>
      </c>
      <c r="P62" s="29"/>
      <c r="Q62" s="29">
        <v>2</v>
      </c>
      <c r="R62" s="29">
        <v>2</v>
      </c>
      <c r="S62" s="29">
        <v>14</v>
      </c>
      <c r="T62" s="29" t="s">
        <v>3602</v>
      </c>
      <c r="U62" s="57" t="s">
        <v>23</v>
      </c>
      <c r="V62" s="29" t="s">
        <v>3400</v>
      </c>
      <c r="W62" s="29" t="s">
        <v>3537</v>
      </c>
      <c r="X62" s="92" t="s">
        <v>3650</v>
      </c>
      <c r="Y62" s="59" t="s">
        <v>3650</v>
      </c>
      <c r="AM62" s="23"/>
      <c r="AN62" s="24"/>
      <c r="AO62" s="24"/>
      <c r="AP62" s="123"/>
      <c r="AQ62" s="23"/>
      <c r="AR62" s="23"/>
      <c r="AS62" s="23"/>
    </row>
    <row r="63" spans="1:45" ht="15.75" customHeight="1">
      <c r="A63" s="29">
        <v>9509968</v>
      </c>
      <c r="B63" s="29" t="s">
        <v>3405</v>
      </c>
      <c r="C63" s="30" t="s">
        <v>2784</v>
      </c>
      <c r="D63" s="29" t="s">
        <v>3536</v>
      </c>
      <c r="E63" s="29" t="s">
        <v>580</v>
      </c>
      <c r="F63" s="29" t="s">
        <v>74</v>
      </c>
      <c r="G63" s="29" t="s">
        <v>3528</v>
      </c>
      <c r="H63" s="29" t="s">
        <v>3409</v>
      </c>
      <c r="I63" s="29" t="s">
        <v>3394</v>
      </c>
      <c r="J63" s="29">
        <v>5</v>
      </c>
      <c r="K63" s="29">
        <v>2</v>
      </c>
      <c r="L63" s="29">
        <v>3</v>
      </c>
      <c r="M63" s="29">
        <v>1</v>
      </c>
      <c r="N63" s="29">
        <v>1</v>
      </c>
      <c r="O63" s="60">
        <f t="shared" si="0"/>
        <v>0.4</v>
      </c>
      <c r="P63" s="29"/>
      <c r="Q63" s="29">
        <v>2</v>
      </c>
      <c r="R63" s="29">
        <v>2</v>
      </c>
      <c r="S63" s="29">
        <v>14</v>
      </c>
      <c r="T63" s="29" t="s">
        <v>3602</v>
      </c>
      <c r="U63" s="57" t="s">
        <v>23</v>
      </c>
      <c r="V63" s="29" t="s">
        <v>3400</v>
      </c>
      <c r="W63" s="29" t="s">
        <v>3537</v>
      </c>
      <c r="X63" s="92" t="s">
        <v>3650</v>
      </c>
      <c r="Y63" s="59" t="s">
        <v>3650</v>
      </c>
      <c r="AM63" s="23"/>
      <c r="AN63" s="24"/>
      <c r="AO63" s="24"/>
      <c r="AP63" s="123"/>
      <c r="AQ63" s="23"/>
      <c r="AR63" s="23"/>
      <c r="AS63" s="23"/>
    </row>
    <row r="64" spans="1:45" ht="15.75" customHeight="1">
      <c r="A64" s="29">
        <v>9509968</v>
      </c>
      <c r="B64" s="29" t="s">
        <v>3405</v>
      </c>
      <c r="C64" s="30" t="s">
        <v>2784</v>
      </c>
      <c r="D64" s="29" t="s">
        <v>3536</v>
      </c>
      <c r="E64" s="29" t="s">
        <v>580</v>
      </c>
      <c r="F64" s="29" t="s">
        <v>74</v>
      </c>
      <c r="G64" s="29" t="s">
        <v>3528</v>
      </c>
      <c r="H64" s="29" t="s">
        <v>3410</v>
      </c>
      <c r="I64" s="29" t="s">
        <v>3394</v>
      </c>
      <c r="J64" s="29">
        <v>5</v>
      </c>
      <c r="K64" s="29">
        <v>2</v>
      </c>
      <c r="L64" s="29">
        <v>3</v>
      </c>
      <c r="M64" s="29">
        <v>0</v>
      </c>
      <c r="N64" s="29">
        <v>2</v>
      </c>
      <c r="O64" s="60">
        <f t="shared" si="0"/>
        <v>0.4</v>
      </c>
      <c r="P64" s="29"/>
      <c r="Q64" s="29">
        <v>2</v>
      </c>
      <c r="R64" s="29">
        <v>2</v>
      </c>
      <c r="S64" s="29">
        <v>14</v>
      </c>
      <c r="T64" s="29" t="s">
        <v>3602</v>
      </c>
      <c r="U64" s="57" t="s">
        <v>23</v>
      </c>
      <c r="V64" s="29" t="s">
        <v>3400</v>
      </c>
      <c r="W64" s="29" t="s">
        <v>3537</v>
      </c>
      <c r="X64" s="92" t="s">
        <v>3650</v>
      </c>
      <c r="Y64" s="59" t="s">
        <v>3650</v>
      </c>
      <c r="AM64" s="23"/>
      <c r="AN64" s="24"/>
      <c r="AO64" s="24"/>
      <c r="AP64" s="123"/>
      <c r="AQ64" s="23"/>
      <c r="AR64" s="23"/>
      <c r="AS64" s="23"/>
    </row>
    <row r="65" spans="1:45" ht="15.75" customHeight="1">
      <c r="A65" s="29">
        <v>26920464</v>
      </c>
      <c r="B65" s="29" t="s">
        <v>3416</v>
      </c>
      <c r="C65" s="31" t="s">
        <v>2796</v>
      </c>
      <c r="D65" s="29" t="s">
        <v>3538</v>
      </c>
      <c r="E65" s="29" t="s">
        <v>580</v>
      </c>
      <c r="F65" s="29" t="s">
        <v>78</v>
      </c>
      <c r="G65" s="29" t="s">
        <v>3539</v>
      </c>
      <c r="H65" s="29" t="s">
        <v>3393</v>
      </c>
      <c r="I65" s="29" t="s">
        <v>3394</v>
      </c>
      <c r="J65" s="29">
        <v>36</v>
      </c>
      <c r="K65" s="29">
        <v>4</v>
      </c>
      <c r="L65" s="29">
        <v>32</v>
      </c>
      <c r="M65" s="29">
        <v>3</v>
      </c>
      <c r="N65" s="29">
        <v>4</v>
      </c>
      <c r="O65" s="60">
        <f t="shared" si="0"/>
        <v>0.19444444444444445</v>
      </c>
      <c r="P65" s="29"/>
      <c r="Q65" s="29">
        <v>4</v>
      </c>
      <c r="R65" s="29">
        <v>0.2</v>
      </c>
      <c r="S65" s="29">
        <v>19</v>
      </c>
      <c r="T65" s="29" t="s">
        <v>3400</v>
      </c>
      <c r="U65" s="57" t="s">
        <v>23</v>
      </c>
      <c r="V65" s="29" t="s">
        <v>3400</v>
      </c>
      <c r="W65" s="29" t="s">
        <v>3400</v>
      </c>
      <c r="X65" s="92" t="s">
        <v>3650</v>
      </c>
      <c r="Y65" s="59" t="s">
        <v>3650</v>
      </c>
      <c r="AM65" s="23"/>
      <c r="AN65" s="24"/>
      <c r="AO65" s="24"/>
      <c r="AP65" s="123"/>
      <c r="AQ65" s="23"/>
      <c r="AR65" s="23"/>
      <c r="AS65" s="23"/>
    </row>
    <row r="66" spans="1:45" ht="15.75" customHeight="1">
      <c r="A66" s="29">
        <v>26920464</v>
      </c>
      <c r="B66" s="29" t="s">
        <v>3416</v>
      </c>
      <c r="C66" s="31" t="s">
        <v>2796</v>
      </c>
      <c r="D66" s="29" t="s">
        <v>3538</v>
      </c>
      <c r="E66" s="29" t="s">
        <v>580</v>
      </c>
      <c r="F66" s="29" t="s">
        <v>78</v>
      </c>
      <c r="G66" s="29" t="s">
        <v>3539</v>
      </c>
      <c r="H66" s="29" t="s">
        <v>3409</v>
      </c>
      <c r="I66" s="29" t="s">
        <v>3394</v>
      </c>
      <c r="J66" s="29">
        <v>36</v>
      </c>
      <c r="K66" s="29">
        <v>4</v>
      </c>
      <c r="L66" s="29">
        <v>32</v>
      </c>
      <c r="M66" s="29">
        <v>3</v>
      </c>
      <c r="N66" s="29">
        <v>2</v>
      </c>
      <c r="O66" s="60">
        <f t="shared" si="0"/>
        <v>0.1388888888888889</v>
      </c>
      <c r="P66" s="29"/>
      <c r="Q66" s="29">
        <v>4</v>
      </c>
      <c r="R66" s="29">
        <v>0.2</v>
      </c>
      <c r="S66" s="29">
        <v>19</v>
      </c>
      <c r="T66" s="29" t="s">
        <v>3400</v>
      </c>
      <c r="U66" s="57" t="s">
        <v>23</v>
      </c>
      <c r="V66" s="29" t="s">
        <v>3400</v>
      </c>
      <c r="W66" s="29" t="s">
        <v>3400</v>
      </c>
      <c r="X66" s="92" t="s">
        <v>3650</v>
      </c>
      <c r="Y66" s="59" t="s">
        <v>3650</v>
      </c>
      <c r="AM66" s="23"/>
      <c r="AN66" s="24"/>
      <c r="AO66" s="24"/>
      <c r="AP66" s="123"/>
      <c r="AQ66" s="23"/>
      <c r="AR66" s="23"/>
      <c r="AS66" s="23"/>
    </row>
    <row r="67" spans="1:45" ht="15.75" customHeight="1">
      <c r="A67" s="29">
        <v>26920464</v>
      </c>
      <c r="B67" s="29" t="s">
        <v>3416</v>
      </c>
      <c r="C67" s="31" t="s">
        <v>2796</v>
      </c>
      <c r="D67" s="29" t="s">
        <v>3538</v>
      </c>
      <c r="E67" s="29" t="s">
        <v>580</v>
      </c>
      <c r="F67" s="29" t="s">
        <v>78</v>
      </c>
      <c r="G67" s="29" t="s">
        <v>3539</v>
      </c>
      <c r="H67" s="29" t="s">
        <v>3410</v>
      </c>
      <c r="I67" s="29" t="s">
        <v>3394</v>
      </c>
      <c r="J67" s="29">
        <v>36</v>
      </c>
      <c r="K67" s="29">
        <v>4</v>
      </c>
      <c r="L67" s="29">
        <v>32</v>
      </c>
      <c r="M67" s="29">
        <v>0</v>
      </c>
      <c r="N67" s="29">
        <v>2</v>
      </c>
      <c r="O67" s="60">
        <f t="shared" ref="O67:O102" si="9">SUM(M67:N67)/SUM(K67:L67)</f>
        <v>5.5555555555555552E-2</v>
      </c>
      <c r="P67" s="29"/>
      <c r="Q67" s="29">
        <v>4</v>
      </c>
      <c r="R67" s="29">
        <v>0.2</v>
      </c>
      <c r="S67" s="29">
        <v>19</v>
      </c>
      <c r="T67" s="29" t="s">
        <v>3400</v>
      </c>
      <c r="U67" s="57" t="s">
        <v>23</v>
      </c>
      <c r="V67" s="29" t="s">
        <v>3400</v>
      </c>
      <c r="W67" s="29" t="s">
        <v>3400</v>
      </c>
      <c r="X67" s="92" t="s">
        <v>3650</v>
      </c>
      <c r="Y67" s="59" t="s">
        <v>3650</v>
      </c>
      <c r="AM67" s="23"/>
      <c r="AN67" s="24"/>
      <c r="AO67" s="24"/>
      <c r="AP67" s="123"/>
      <c r="AQ67" s="23"/>
      <c r="AR67" s="23"/>
      <c r="AS67" s="23"/>
    </row>
    <row r="68" spans="1:45" ht="15.75" customHeight="1">
      <c r="A68" s="29">
        <v>24964991</v>
      </c>
      <c r="B68" s="29" t="s">
        <v>3416</v>
      </c>
      <c r="C68" s="30" t="s">
        <v>2802</v>
      </c>
      <c r="D68" s="29" t="s">
        <v>3540</v>
      </c>
      <c r="E68" s="29" t="s">
        <v>580</v>
      </c>
      <c r="F68" s="29" t="s">
        <v>78</v>
      </c>
      <c r="G68" s="29" t="s">
        <v>3539</v>
      </c>
      <c r="H68" s="29" t="s">
        <v>3393</v>
      </c>
      <c r="I68" s="29" t="s">
        <v>3400</v>
      </c>
      <c r="J68" s="29">
        <v>11</v>
      </c>
      <c r="K68" s="29">
        <v>2</v>
      </c>
      <c r="L68" s="29">
        <v>9</v>
      </c>
      <c r="M68" s="29">
        <v>1</v>
      </c>
      <c r="N68" s="29">
        <v>1</v>
      </c>
      <c r="O68" s="60">
        <f t="shared" si="9"/>
        <v>0.18181818181818182</v>
      </c>
      <c r="P68" s="29"/>
      <c r="Q68" s="29" t="s">
        <v>3400</v>
      </c>
      <c r="R68" s="29" t="s">
        <v>3400</v>
      </c>
      <c r="S68" s="29" t="s">
        <v>3400</v>
      </c>
      <c r="T68" s="29" t="s">
        <v>3400</v>
      </c>
      <c r="U68" s="57" t="s">
        <v>23</v>
      </c>
      <c r="V68" s="29" t="s">
        <v>3400</v>
      </c>
      <c r="W68" s="29" t="s">
        <v>3400</v>
      </c>
      <c r="X68" s="29" t="s">
        <v>3490</v>
      </c>
      <c r="Y68" s="59" t="s">
        <v>3650</v>
      </c>
      <c r="AM68" s="23"/>
      <c r="AN68" s="24"/>
      <c r="AO68" s="24"/>
      <c r="AP68" s="123"/>
      <c r="AQ68" s="23"/>
      <c r="AR68" s="23"/>
      <c r="AS68" s="23"/>
    </row>
    <row r="69" spans="1:45" ht="15.75" customHeight="1">
      <c r="A69" s="29">
        <v>24964991</v>
      </c>
      <c r="B69" s="29" t="s">
        <v>3416</v>
      </c>
      <c r="C69" s="30" t="s">
        <v>2802</v>
      </c>
      <c r="D69" s="29" t="s">
        <v>3540</v>
      </c>
      <c r="E69" s="29" t="s">
        <v>580</v>
      </c>
      <c r="F69" s="29" t="s">
        <v>78</v>
      </c>
      <c r="G69" s="29" t="s">
        <v>3539</v>
      </c>
      <c r="H69" s="29" t="s">
        <v>3410</v>
      </c>
      <c r="I69" s="29" t="s">
        <v>3400</v>
      </c>
      <c r="J69" s="29">
        <v>11</v>
      </c>
      <c r="K69" s="29">
        <v>2</v>
      </c>
      <c r="L69" s="29">
        <v>9</v>
      </c>
      <c r="M69" s="29">
        <v>1</v>
      </c>
      <c r="N69" s="29">
        <v>0</v>
      </c>
      <c r="O69" s="60">
        <f t="shared" si="9"/>
        <v>9.0909090909090912E-2</v>
      </c>
      <c r="P69" s="29"/>
      <c r="Q69" s="29" t="s">
        <v>3400</v>
      </c>
      <c r="R69" s="29" t="s">
        <v>3400</v>
      </c>
      <c r="S69" s="29" t="s">
        <v>3400</v>
      </c>
      <c r="T69" s="29" t="s">
        <v>3400</v>
      </c>
      <c r="U69" s="57" t="s">
        <v>23</v>
      </c>
      <c r="V69" s="29" t="s">
        <v>3400</v>
      </c>
      <c r="W69" s="29" t="s">
        <v>3400</v>
      </c>
      <c r="X69" s="29" t="s">
        <v>3490</v>
      </c>
      <c r="Y69" s="59" t="s">
        <v>3650</v>
      </c>
      <c r="AM69" s="23"/>
      <c r="AN69" s="24"/>
      <c r="AO69" s="24"/>
      <c r="AP69" s="123"/>
      <c r="AQ69" s="23"/>
      <c r="AR69" s="23"/>
      <c r="AS69" s="23"/>
    </row>
    <row r="70" spans="1:45" ht="15.75" customHeight="1">
      <c r="A70" s="29">
        <v>24964991</v>
      </c>
      <c r="B70" s="29" t="s">
        <v>3416</v>
      </c>
      <c r="C70" s="30" t="s">
        <v>2802</v>
      </c>
      <c r="D70" s="29" t="s">
        <v>3540</v>
      </c>
      <c r="E70" s="29" t="s">
        <v>580</v>
      </c>
      <c r="F70" s="29" t="s">
        <v>78</v>
      </c>
      <c r="G70" s="29" t="s">
        <v>3539</v>
      </c>
      <c r="H70" s="29" t="s">
        <v>3409</v>
      </c>
      <c r="I70" s="29" t="s">
        <v>3400</v>
      </c>
      <c r="J70" s="29">
        <v>11</v>
      </c>
      <c r="K70" s="29">
        <v>2</v>
      </c>
      <c r="L70" s="29">
        <v>9</v>
      </c>
      <c r="M70" s="29">
        <v>0</v>
      </c>
      <c r="N70" s="29">
        <v>1</v>
      </c>
      <c r="O70" s="60">
        <f t="shared" si="9"/>
        <v>9.0909090909090912E-2</v>
      </c>
      <c r="P70" s="29"/>
      <c r="Q70" s="29" t="s">
        <v>3400</v>
      </c>
      <c r="R70" s="29" t="s">
        <v>3400</v>
      </c>
      <c r="S70" s="29" t="s">
        <v>3400</v>
      </c>
      <c r="T70" s="29" t="s">
        <v>3400</v>
      </c>
      <c r="U70" s="57" t="s">
        <v>23</v>
      </c>
      <c r="V70" s="29" t="s">
        <v>3400</v>
      </c>
      <c r="W70" s="29" t="s">
        <v>3400</v>
      </c>
      <c r="X70" s="29" t="s">
        <v>3490</v>
      </c>
      <c r="Y70" s="59" t="s">
        <v>3650</v>
      </c>
      <c r="AM70" s="23"/>
      <c r="AN70" s="24"/>
      <c r="AO70" s="24"/>
      <c r="AP70" s="123"/>
      <c r="AQ70" s="23"/>
      <c r="AR70" s="23"/>
      <c r="AS70" s="23"/>
    </row>
    <row r="71" spans="1:45" ht="15.75" customHeight="1">
      <c r="A71" s="29">
        <v>21810148</v>
      </c>
      <c r="B71" s="29" t="s">
        <v>3405</v>
      </c>
      <c r="C71" s="30" t="s">
        <v>2814</v>
      </c>
      <c r="D71" s="29" t="s">
        <v>3541</v>
      </c>
      <c r="E71" s="29" t="s">
        <v>580</v>
      </c>
      <c r="F71" s="29" t="s">
        <v>74</v>
      </c>
      <c r="G71" s="29" t="s">
        <v>3528</v>
      </c>
      <c r="H71" s="29" t="s">
        <v>3393</v>
      </c>
      <c r="I71" s="29" t="s">
        <v>3394</v>
      </c>
      <c r="J71" s="29">
        <v>10</v>
      </c>
      <c r="K71" s="29">
        <v>2</v>
      </c>
      <c r="L71" s="29">
        <v>8</v>
      </c>
      <c r="M71" s="29">
        <v>1</v>
      </c>
      <c r="N71" s="29">
        <v>4</v>
      </c>
      <c r="O71" s="60">
        <f t="shared" si="9"/>
        <v>0.5</v>
      </c>
      <c r="P71" s="29"/>
      <c r="Q71" s="29">
        <v>9</v>
      </c>
      <c r="R71" s="29">
        <v>1</v>
      </c>
      <c r="S71" s="29">
        <v>20</v>
      </c>
      <c r="T71" s="29" t="s">
        <v>3542</v>
      </c>
      <c r="U71" s="57" t="s">
        <v>23</v>
      </c>
      <c r="V71" s="29" t="s">
        <v>3400</v>
      </c>
      <c r="W71" s="29" t="s">
        <v>3543</v>
      </c>
      <c r="X71" s="29" t="s">
        <v>3401</v>
      </c>
      <c r="Y71" s="29">
        <v>200</v>
      </c>
      <c r="AM71" s="23"/>
      <c r="AN71" s="24"/>
      <c r="AO71" s="24"/>
      <c r="AP71" s="123"/>
      <c r="AQ71" s="23"/>
      <c r="AR71" s="23"/>
      <c r="AS71" s="23"/>
    </row>
    <row r="72" spans="1:45" ht="15.75" customHeight="1">
      <c r="A72" s="29">
        <v>21810148</v>
      </c>
      <c r="B72" s="29" t="s">
        <v>3405</v>
      </c>
      <c r="C72" s="30" t="s">
        <v>2814</v>
      </c>
      <c r="D72" s="29" t="s">
        <v>3541</v>
      </c>
      <c r="E72" s="29" t="s">
        <v>580</v>
      </c>
      <c r="F72" s="29" t="s">
        <v>74</v>
      </c>
      <c r="G72" s="29" t="s">
        <v>3528</v>
      </c>
      <c r="H72" s="29" t="s">
        <v>3409</v>
      </c>
      <c r="I72" s="29" t="s">
        <v>3394</v>
      </c>
      <c r="J72" s="29">
        <v>10</v>
      </c>
      <c r="K72" s="29">
        <v>2</v>
      </c>
      <c r="L72" s="29">
        <v>8</v>
      </c>
      <c r="M72" s="29">
        <v>1</v>
      </c>
      <c r="N72" s="29">
        <v>3</v>
      </c>
      <c r="O72" s="60">
        <f t="shared" si="9"/>
        <v>0.4</v>
      </c>
      <c r="P72" s="29"/>
      <c r="Q72" s="29">
        <v>9</v>
      </c>
      <c r="R72" s="29">
        <v>1</v>
      </c>
      <c r="S72" s="29">
        <v>20</v>
      </c>
      <c r="T72" s="29" t="s">
        <v>3542</v>
      </c>
      <c r="U72" s="57" t="s">
        <v>23</v>
      </c>
      <c r="V72" s="29" t="s">
        <v>3400</v>
      </c>
      <c r="W72" s="29" t="s">
        <v>3543</v>
      </c>
      <c r="X72" s="29" t="s">
        <v>3401</v>
      </c>
      <c r="Y72" s="29">
        <v>200</v>
      </c>
      <c r="AM72" s="23"/>
      <c r="AN72" s="24"/>
      <c r="AO72" s="24"/>
      <c r="AP72" s="123"/>
      <c r="AQ72" s="23"/>
      <c r="AR72" s="23"/>
      <c r="AS72" s="23"/>
    </row>
    <row r="73" spans="1:45" ht="15.75" customHeight="1">
      <c r="A73" s="29">
        <v>21810148</v>
      </c>
      <c r="B73" s="29" t="s">
        <v>3405</v>
      </c>
      <c r="C73" s="30" t="s">
        <v>2814</v>
      </c>
      <c r="D73" s="29" t="s">
        <v>3541</v>
      </c>
      <c r="E73" s="29" t="s">
        <v>580</v>
      </c>
      <c r="F73" s="29" t="s">
        <v>74</v>
      </c>
      <c r="G73" s="29" t="s">
        <v>3528</v>
      </c>
      <c r="H73" s="29" t="s">
        <v>3410</v>
      </c>
      <c r="I73" s="29" t="s">
        <v>3394</v>
      </c>
      <c r="J73" s="29">
        <v>10</v>
      </c>
      <c r="K73" s="29">
        <v>2</v>
      </c>
      <c r="L73" s="29">
        <v>8</v>
      </c>
      <c r="M73" s="29">
        <v>0</v>
      </c>
      <c r="N73" s="29">
        <v>1</v>
      </c>
      <c r="O73" s="60">
        <f t="shared" si="9"/>
        <v>0.1</v>
      </c>
      <c r="P73" s="29"/>
      <c r="Q73" s="29">
        <v>9</v>
      </c>
      <c r="R73" s="29">
        <v>1</v>
      </c>
      <c r="S73" s="29">
        <v>20</v>
      </c>
      <c r="T73" s="29" t="s">
        <v>3542</v>
      </c>
      <c r="U73" s="57" t="s">
        <v>23</v>
      </c>
      <c r="V73" s="29" t="s">
        <v>3400</v>
      </c>
      <c r="W73" s="29" t="s">
        <v>3543</v>
      </c>
      <c r="X73" s="29" t="s">
        <v>3401</v>
      </c>
      <c r="Y73" s="29">
        <v>200</v>
      </c>
      <c r="AM73" s="23"/>
      <c r="AN73" s="24"/>
      <c r="AO73" s="24"/>
      <c r="AP73" s="123"/>
      <c r="AQ73" s="23"/>
      <c r="AR73" s="23"/>
      <c r="AS73" s="23"/>
    </row>
    <row r="74" spans="1:45" ht="15.75" customHeight="1">
      <c r="A74" s="29">
        <v>33533068</v>
      </c>
      <c r="B74" s="29"/>
      <c r="C74" s="31" t="s">
        <v>32</v>
      </c>
      <c r="D74" s="29" t="s">
        <v>3544</v>
      </c>
      <c r="E74" s="29" t="s">
        <v>580</v>
      </c>
      <c r="F74" s="29" t="s">
        <v>74</v>
      </c>
      <c r="G74" s="29" t="s">
        <v>3528</v>
      </c>
      <c r="H74" s="29" t="s">
        <v>3393</v>
      </c>
      <c r="I74" s="29" t="s">
        <v>3394</v>
      </c>
      <c r="J74" s="29">
        <v>277</v>
      </c>
      <c r="K74" s="29">
        <v>38</v>
      </c>
      <c r="L74" s="29">
        <v>239</v>
      </c>
      <c r="M74" s="29">
        <v>11</v>
      </c>
      <c r="N74" s="29">
        <v>59</v>
      </c>
      <c r="O74" s="60">
        <f t="shared" si="9"/>
        <v>0.25270758122743681</v>
      </c>
      <c r="P74" s="29"/>
      <c r="Q74" s="29">
        <v>5.5</v>
      </c>
      <c r="R74" s="29">
        <v>1</v>
      </c>
      <c r="S74" s="29">
        <v>18</v>
      </c>
      <c r="T74" s="29" t="s">
        <v>3545</v>
      </c>
      <c r="U74" s="57" t="s">
        <v>23</v>
      </c>
      <c r="V74" s="29" t="s">
        <v>3400</v>
      </c>
      <c r="W74" s="29" t="s">
        <v>3400</v>
      </c>
      <c r="X74" s="92" t="s">
        <v>3650</v>
      </c>
      <c r="Y74" s="59" t="s">
        <v>3650</v>
      </c>
      <c r="AM74" s="23"/>
      <c r="AN74" s="24"/>
      <c r="AO74" s="24"/>
      <c r="AP74" s="123"/>
      <c r="AQ74" s="23"/>
      <c r="AR74" s="23"/>
      <c r="AS74" s="23"/>
    </row>
    <row r="75" spans="1:45" ht="15.75" customHeight="1">
      <c r="A75" s="29">
        <v>26493843</v>
      </c>
      <c r="B75" s="29" t="s">
        <v>3451</v>
      </c>
      <c r="C75" s="31" t="s">
        <v>2820</v>
      </c>
      <c r="D75" s="29" t="s">
        <v>3546</v>
      </c>
      <c r="E75" s="29" t="s">
        <v>580</v>
      </c>
      <c r="F75" s="29" t="s">
        <v>74</v>
      </c>
      <c r="G75" s="29" t="s">
        <v>3528</v>
      </c>
      <c r="H75" s="29" t="s">
        <v>3393</v>
      </c>
      <c r="I75" s="29" t="s">
        <v>3394</v>
      </c>
      <c r="J75" s="29">
        <v>234</v>
      </c>
      <c r="K75" s="29">
        <v>3</v>
      </c>
      <c r="L75" s="29">
        <v>231</v>
      </c>
      <c r="M75" s="29">
        <v>0</v>
      </c>
      <c r="N75" s="29">
        <v>15</v>
      </c>
      <c r="O75" s="60">
        <f t="shared" si="9"/>
        <v>6.4102564102564097E-2</v>
      </c>
      <c r="P75" s="29"/>
      <c r="Q75" s="29" t="s">
        <v>3400</v>
      </c>
      <c r="R75" s="29" t="s">
        <v>3400</v>
      </c>
      <c r="S75" s="29" t="s">
        <v>3400</v>
      </c>
      <c r="T75" s="29" t="s">
        <v>3400</v>
      </c>
      <c r="U75" s="57" t="s">
        <v>23</v>
      </c>
      <c r="V75" s="29" t="s">
        <v>3400</v>
      </c>
      <c r="W75" s="29" t="s">
        <v>3400</v>
      </c>
      <c r="X75" s="92" t="s">
        <v>3650</v>
      </c>
      <c r="Y75" s="59" t="s">
        <v>3650</v>
      </c>
      <c r="AM75" s="23"/>
      <c r="AN75" s="24"/>
      <c r="AO75" s="24"/>
      <c r="AP75" s="125"/>
      <c r="AQ75" s="23"/>
      <c r="AR75" s="23"/>
      <c r="AS75" s="23"/>
    </row>
    <row r="76" spans="1:45" ht="15.75" customHeight="1">
      <c r="A76" s="29">
        <v>20005968</v>
      </c>
      <c r="B76" s="29" t="s">
        <v>3501</v>
      </c>
      <c r="C76" s="31" t="s">
        <v>2829</v>
      </c>
      <c r="D76" s="29" t="s">
        <v>3547</v>
      </c>
      <c r="E76" s="29" t="s">
        <v>580</v>
      </c>
      <c r="F76" s="29" t="s">
        <v>74</v>
      </c>
      <c r="G76" s="29" t="s">
        <v>3528</v>
      </c>
      <c r="H76" s="29" t="s">
        <v>3393</v>
      </c>
      <c r="I76" s="29" t="s">
        <v>3407</v>
      </c>
      <c r="J76" s="29">
        <v>39</v>
      </c>
      <c r="K76" s="29">
        <v>21</v>
      </c>
      <c r="L76" s="29">
        <v>18</v>
      </c>
      <c r="M76" s="29">
        <v>2</v>
      </c>
      <c r="N76" s="29">
        <v>9</v>
      </c>
      <c r="O76" s="60">
        <f t="shared" si="9"/>
        <v>0.28205128205128205</v>
      </c>
      <c r="P76" s="29"/>
      <c r="Q76" s="29">
        <v>45</v>
      </c>
      <c r="R76" s="29">
        <v>18</v>
      </c>
      <c r="S76" s="29">
        <v>70</v>
      </c>
      <c r="T76" s="29" t="s">
        <v>3548</v>
      </c>
      <c r="U76" s="57" t="s">
        <v>23</v>
      </c>
      <c r="V76" s="29" t="s">
        <v>3549</v>
      </c>
      <c r="W76" s="29" t="s">
        <v>3400</v>
      </c>
      <c r="X76" s="29" t="s">
        <v>3408</v>
      </c>
      <c r="Y76" s="29">
        <v>10</v>
      </c>
      <c r="AM76" s="23"/>
      <c r="AN76" s="24"/>
      <c r="AO76" s="24"/>
      <c r="AP76" s="123"/>
      <c r="AQ76" s="23"/>
      <c r="AR76" s="23"/>
      <c r="AS76" s="23"/>
    </row>
    <row r="77" spans="1:45" ht="15.75" customHeight="1">
      <c r="A77" s="29">
        <v>28783452</v>
      </c>
      <c r="B77" s="29" t="s">
        <v>3416</v>
      </c>
      <c r="C77" s="31" t="s">
        <v>2832</v>
      </c>
      <c r="D77" s="29" t="s">
        <v>3550</v>
      </c>
      <c r="E77" s="29" t="s">
        <v>580</v>
      </c>
      <c r="F77" s="29" t="s">
        <v>78</v>
      </c>
      <c r="G77" s="29" t="s">
        <v>3539</v>
      </c>
      <c r="H77" s="29" t="s">
        <v>3393</v>
      </c>
      <c r="I77" s="29" t="s">
        <v>3425</v>
      </c>
      <c r="J77" s="29">
        <v>37</v>
      </c>
      <c r="K77" s="29">
        <v>4</v>
      </c>
      <c r="L77" s="29">
        <v>33</v>
      </c>
      <c r="M77" s="29">
        <v>0</v>
      </c>
      <c r="N77" s="29">
        <v>6</v>
      </c>
      <c r="O77" s="60">
        <f t="shared" si="9"/>
        <v>0.16216216216216217</v>
      </c>
      <c r="P77" s="29" t="s">
        <v>3551</v>
      </c>
      <c r="Q77" s="29" t="s">
        <v>3400</v>
      </c>
      <c r="R77" s="29" t="s">
        <v>3400</v>
      </c>
      <c r="S77" s="29" t="s">
        <v>3400</v>
      </c>
      <c r="T77" s="29" t="s">
        <v>3400</v>
      </c>
      <c r="U77" s="57" t="s">
        <v>23</v>
      </c>
      <c r="V77" s="29" t="s">
        <v>3552</v>
      </c>
      <c r="W77" s="29" t="s">
        <v>3400</v>
      </c>
      <c r="X77" s="92" t="s">
        <v>3650</v>
      </c>
      <c r="Y77" s="59" t="s">
        <v>3650</v>
      </c>
      <c r="AP77" s="123"/>
    </row>
    <row r="78" spans="1:45" ht="15.75" customHeight="1">
      <c r="A78" s="29">
        <v>32906131</v>
      </c>
      <c r="B78" s="29"/>
      <c r="C78" s="30" t="s">
        <v>2846</v>
      </c>
      <c r="D78" s="29" t="s">
        <v>3553</v>
      </c>
      <c r="E78" s="29" t="s">
        <v>580</v>
      </c>
      <c r="F78" s="29" t="s">
        <v>78</v>
      </c>
      <c r="G78" s="29" t="s">
        <v>3539</v>
      </c>
      <c r="H78" s="29" t="s">
        <v>3393</v>
      </c>
      <c r="I78" s="29" t="s">
        <v>3407</v>
      </c>
      <c r="J78" s="29">
        <v>55</v>
      </c>
      <c r="K78" s="29">
        <v>3</v>
      </c>
      <c r="L78" s="29">
        <v>52</v>
      </c>
      <c r="M78" s="29">
        <v>0</v>
      </c>
      <c r="N78" s="29">
        <v>24</v>
      </c>
      <c r="O78" s="60">
        <f t="shared" si="9"/>
        <v>0.43636363636363634</v>
      </c>
      <c r="P78" s="29"/>
      <c r="Q78" s="29">
        <v>52</v>
      </c>
      <c r="R78" s="29">
        <v>45</v>
      </c>
      <c r="S78" s="29">
        <v>62</v>
      </c>
      <c r="T78" s="29" t="s">
        <v>3503</v>
      </c>
      <c r="U78" s="57" t="s">
        <v>23</v>
      </c>
      <c r="V78" s="29" t="s">
        <v>3554</v>
      </c>
      <c r="W78" s="29" t="s">
        <v>3555</v>
      </c>
      <c r="X78" s="29" t="s">
        <v>3556</v>
      </c>
      <c r="Y78" s="59" t="s">
        <v>3650</v>
      </c>
      <c r="AP78" s="123"/>
    </row>
    <row r="79" spans="1:45" ht="15.75" customHeight="1">
      <c r="A79" s="29">
        <v>32906131</v>
      </c>
      <c r="B79" s="29"/>
      <c r="C79" s="30" t="s">
        <v>2846</v>
      </c>
      <c r="D79" s="29" t="s">
        <v>3553</v>
      </c>
      <c r="E79" s="29" t="s">
        <v>580</v>
      </c>
      <c r="F79" s="29" t="s">
        <v>78</v>
      </c>
      <c r="G79" s="29" t="s">
        <v>3539</v>
      </c>
      <c r="H79" s="29" t="s">
        <v>3409</v>
      </c>
      <c r="I79" s="29" t="s">
        <v>3407</v>
      </c>
      <c r="J79" s="29">
        <v>55</v>
      </c>
      <c r="K79" s="29">
        <v>3</v>
      </c>
      <c r="L79" s="29">
        <v>52</v>
      </c>
      <c r="M79" s="29">
        <v>0</v>
      </c>
      <c r="N79" s="29">
        <v>18</v>
      </c>
      <c r="O79" s="60">
        <f t="shared" si="9"/>
        <v>0.32727272727272727</v>
      </c>
      <c r="P79" s="29"/>
      <c r="Q79" s="29">
        <v>52</v>
      </c>
      <c r="R79" s="29">
        <v>45</v>
      </c>
      <c r="S79" s="29">
        <v>62</v>
      </c>
      <c r="T79" s="29" t="s">
        <v>3503</v>
      </c>
      <c r="U79" s="57" t="s">
        <v>23</v>
      </c>
      <c r="V79" s="29" t="s">
        <v>3554</v>
      </c>
      <c r="W79" s="29" t="s">
        <v>3555</v>
      </c>
      <c r="X79" s="29" t="s">
        <v>3556</v>
      </c>
      <c r="Y79" s="59" t="s">
        <v>3650</v>
      </c>
      <c r="AP79" s="123"/>
    </row>
    <row r="80" spans="1:45" ht="15.75" customHeight="1">
      <c r="A80" s="29">
        <v>32906131</v>
      </c>
      <c r="B80" s="29"/>
      <c r="C80" s="30" t="s">
        <v>2846</v>
      </c>
      <c r="D80" s="29" t="s">
        <v>3553</v>
      </c>
      <c r="E80" s="29" t="s">
        <v>580</v>
      </c>
      <c r="F80" s="29" t="s">
        <v>78</v>
      </c>
      <c r="G80" s="29" t="s">
        <v>3539</v>
      </c>
      <c r="H80" s="29" t="s">
        <v>3410</v>
      </c>
      <c r="I80" s="29" t="s">
        <v>3407</v>
      </c>
      <c r="J80" s="29">
        <v>55</v>
      </c>
      <c r="K80" s="29">
        <v>3</v>
      </c>
      <c r="L80" s="29">
        <v>52</v>
      </c>
      <c r="M80" s="29">
        <v>0</v>
      </c>
      <c r="N80" s="29">
        <v>6</v>
      </c>
      <c r="O80" s="60">
        <f t="shared" si="9"/>
        <v>0.10909090909090909</v>
      </c>
      <c r="P80" s="29"/>
      <c r="Q80" s="29">
        <v>52</v>
      </c>
      <c r="R80" s="29">
        <v>45</v>
      </c>
      <c r="S80" s="29">
        <v>62</v>
      </c>
      <c r="T80" s="29" t="s">
        <v>3503</v>
      </c>
      <c r="U80" s="57" t="s">
        <v>23</v>
      </c>
      <c r="V80" s="29" t="s">
        <v>3554</v>
      </c>
      <c r="W80" s="29" t="s">
        <v>3555</v>
      </c>
      <c r="X80" s="29" t="s">
        <v>3556</v>
      </c>
      <c r="Y80" s="59" t="s">
        <v>3650</v>
      </c>
      <c r="AP80" s="123"/>
    </row>
    <row r="81" spans="1:45" ht="15.75" customHeight="1">
      <c r="A81" s="29">
        <v>32663845</v>
      </c>
      <c r="B81" s="29"/>
      <c r="C81" s="30" t="s">
        <v>2756</v>
      </c>
      <c r="D81" s="29" t="s">
        <v>3557</v>
      </c>
      <c r="E81" s="29" t="s">
        <v>580</v>
      </c>
      <c r="F81" s="29" t="s">
        <v>82</v>
      </c>
      <c r="G81" s="29" t="s">
        <v>3392</v>
      </c>
      <c r="H81" s="29" t="s">
        <v>3393</v>
      </c>
      <c r="I81" s="29"/>
      <c r="J81" s="29">
        <v>39</v>
      </c>
      <c r="K81" s="29">
        <v>10</v>
      </c>
      <c r="L81" s="29">
        <v>29</v>
      </c>
      <c r="M81" s="29">
        <v>0</v>
      </c>
      <c r="N81" s="29" t="s">
        <v>3420</v>
      </c>
      <c r="O81" s="60">
        <f t="shared" si="9"/>
        <v>0</v>
      </c>
      <c r="P81" s="29" t="s">
        <v>3558</v>
      </c>
      <c r="Q81" s="29"/>
      <c r="R81" s="29"/>
      <c r="S81" s="29"/>
      <c r="T81" s="29"/>
      <c r="U81" s="57" t="s">
        <v>23</v>
      </c>
      <c r="V81" s="29"/>
      <c r="W81" s="29"/>
      <c r="X81" s="29"/>
      <c r="Y81" s="29"/>
      <c r="AP81" s="123"/>
    </row>
    <row r="82" spans="1:45" ht="15.75" customHeight="1">
      <c r="A82" s="29">
        <v>28209721</v>
      </c>
      <c r="B82" s="29" t="s">
        <v>3416</v>
      </c>
      <c r="C82" s="31" t="s">
        <v>2762</v>
      </c>
      <c r="D82" s="29" t="s">
        <v>3559</v>
      </c>
      <c r="E82" s="29" t="s">
        <v>580</v>
      </c>
      <c r="F82" s="29" t="s">
        <v>3603</v>
      </c>
      <c r="G82" s="29" t="s">
        <v>3392</v>
      </c>
      <c r="H82" s="29" t="s">
        <v>3393</v>
      </c>
      <c r="I82" s="29"/>
      <c r="J82" s="29">
        <v>126</v>
      </c>
      <c r="K82" s="29">
        <v>58</v>
      </c>
      <c r="L82" s="29">
        <v>68</v>
      </c>
      <c r="M82" s="29" t="s">
        <v>3420</v>
      </c>
      <c r="N82" s="29" t="s">
        <v>3420</v>
      </c>
      <c r="O82" s="60">
        <f t="shared" si="9"/>
        <v>0</v>
      </c>
      <c r="P82" s="29" t="s">
        <v>3558</v>
      </c>
      <c r="Q82" s="29"/>
      <c r="R82" s="29"/>
      <c r="S82" s="29"/>
      <c r="T82" s="29"/>
      <c r="U82" s="57" t="s">
        <v>23</v>
      </c>
      <c r="V82" s="29"/>
      <c r="W82" s="29"/>
      <c r="X82" s="29"/>
      <c r="Y82" s="29"/>
      <c r="AP82" s="123"/>
    </row>
    <row r="83" spans="1:45" ht="15.75" customHeight="1">
      <c r="A83" s="29">
        <v>24315842</v>
      </c>
      <c r="B83" s="29" t="s">
        <v>3390</v>
      </c>
      <c r="C83" s="31" t="s">
        <v>2665</v>
      </c>
      <c r="D83" s="29" t="s">
        <v>3560</v>
      </c>
      <c r="E83" s="29" t="s">
        <v>580</v>
      </c>
      <c r="F83" s="29" t="s">
        <v>82</v>
      </c>
      <c r="G83" s="29" t="s">
        <v>3392</v>
      </c>
      <c r="H83" s="29" t="s">
        <v>3393</v>
      </c>
      <c r="I83" s="29"/>
      <c r="J83" s="29">
        <v>69</v>
      </c>
      <c r="K83" s="29">
        <v>23</v>
      </c>
      <c r="L83" s="29">
        <v>46</v>
      </c>
      <c r="M83" s="29" t="s">
        <v>3420</v>
      </c>
      <c r="N83" s="29" t="s">
        <v>3420</v>
      </c>
      <c r="O83" s="60">
        <f t="shared" si="9"/>
        <v>0</v>
      </c>
      <c r="P83" s="29" t="s">
        <v>3561</v>
      </c>
      <c r="Q83" s="29"/>
      <c r="R83" s="29"/>
      <c r="S83" s="29"/>
      <c r="T83" s="29"/>
      <c r="U83" s="57" t="s">
        <v>23</v>
      </c>
      <c r="V83" s="29"/>
      <c r="W83" s="29"/>
      <c r="X83" s="29"/>
      <c r="Y83" s="29"/>
      <c r="AP83" s="123"/>
    </row>
    <row r="84" spans="1:45" ht="15.75" customHeight="1">
      <c r="A84" s="29">
        <v>9365899</v>
      </c>
      <c r="B84" s="29" t="s">
        <v>3562</v>
      </c>
      <c r="C84" s="30" t="s">
        <v>2682</v>
      </c>
      <c r="D84" s="29" t="s">
        <v>3563</v>
      </c>
      <c r="E84" s="29" t="s">
        <v>580</v>
      </c>
      <c r="F84" s="29" t="s">
        <v>82</v>
      </c>
      <c r="G84" s="29" t="s">
        <v>3392</v>
      </c>
      <c r="H84" s="29" t="s">
        <v>3393</v>
      </c>
      <c r="I84" s="29"/>
      <c r="J84" s="29">
        <v>61</v>
      </c>
      <c r="K84" s="29">
        <v>17</v>
      </c>
      <c r="L84" s="29">
        <v>44</v>
      </c>
      <c r="M84" s="29" t="s">
        <v>3420</v>
      </c>
      <c r="N84" s="29" t="s">
        <v>3420</v>
      </c>
      <c r="O84" s="60">
        <f t="shared" si="9"/>
        <v>0</v>
      </c>
      <c r="P84" s="29" t="s">
        <v>3564</v>
      </c>
      <c r="Q84" s="29"/>
      <c r="R84" s="29"/>
      <c r="S84" s="29"/>
      <c r="T84" s="29"/>
      <c r="U84" s="57" t="s">
        <v>23</v>
      </c>
      <c r="V84" s="29"/>
      <c r="W84" s="29"/>
      <c r="X84" s="29"/>
      <c r="Y84" s="29"/>
      <c r="AP84" s="123"/>
    </row>
    <row r="85" spans="1:45" ht="15.75" customHeight="1">
      <c r="A85" s="29">
        <v>19935727</v>
      </c>
      <c r="B85" s="29" t="s">
        <v>3446</v>
      </c>
      <c r="C85" s="30" t="s">
        <v>2688</v>
      </c>
      <c r="D85" s="29" t="s">
        <v>3565</v>
      </c>
      <c r="E85" s="29" t="s">
        <v>580</v>
      </c>
      <c r="F85" s="29" t="s">
        <v>82</v>
      </c>
      <c r="G85" s="29" t="s">
        <v>3392</v>
      </c>
      <c r="H85" s="29" t="s">
        <v>3393</v>
      </c>
      <c r="I85" s="29"/>
      <c r="J85" s="29">
        <v>55</v>
      </c>
      <c r="K85" s="29">
        <v>29</v>
      </c>
      <c r="L85" s="29">
        <v>26</v>
      </c>
      <c r="M85" s="29">
        <v>0</v>
      </c>
      <c r="N85" s="29" t="s">
        <v>3420</v>
      </c>
      <c r="O85" s="60">
        <f t="shared" si="9"/>
        <v>0</v>
      </c>
      <c r="P85" s="29" t="s">
        <v>3564</v>
      </c>
      <c r="Q85" s="29"/>
      <c r="R85" s="29"/>
      <c r="S85" s="29"/>
      <c r="T85" s="29"/>
      <c r="U85" s="57" t="s">
        <v>23</v>
      </c>
      <c r="V85" s="29"/>
      <c r="W85" s="29"/>
      <c r="X85" s="29"/>
      <c r="Y85" s="29"/>
      <c r="AP85" s="123"/>
    </row>
    <row r="86" spans="1:45" ht="15.75" customHeight="1">
      <c r="A86" s="29">
        <v>33085827</v>
      </c>
      <c r="B86" s="29" t="s">
        <v>3566</v>
      </c>
      <c r="C86" s="30" t="s">
        <v>2700</v>
      </c>
      <c r="D86" s="29" t="s">
        <v>3567</v>
      </c>
      <c r="E86" s="29" t="s">
        <v>580</v>
      </c>
      <c r="F86" s="29" t="s">
        <v>82</v>
      </c>
      <c r="G86" s="29" t="s">
        <v>3392</v>
      </c>
      <c r="H86" s="29" t="s">
        <v>3393</v>
      </c>
      <c r="I86" s="29"/>
      <c r="J86" s="29">
        <v>31</v>
      </c>
      <c r="K86" s="29">
        <v>7</v>
      </c>
      <c r="L86" s="29">
        <v>24</v>
      </c>
      <c r="M86" s="29" t="s">
        <v>3420</v>
      </c>
      <c r="N86" s="29" t="s">
        <v>3420</v>
      </c>
      <c r="O86" s="60">
        <f t="shared" si="9"/>
        <v>0</v>
      </c>
      <c r="P86" s="29" t="s">
        <v>3564</v>
      </c>
      <c r="Q86" s="29"/>
      <c r="R86" s="29"/>
      <c r="S86" s="29"/>
      <c r="T86" s="29"/>
      <c r="U86" s="57" t="s">
        <v>23</v>
      </c>
      <c r="V86" s="29"/>
      <c r="W86" s="29"/>
      <c r="X86" s="29"/>
      <c r="Y86" s="29"/>
      <c r="AP86" s="123"/>
    </row>
    <row r="87" spans="1:45" ht="15.75" customHeight="1">
      <c r="A87" s="29">
        <v>32450288</v>
      </c>
      <c r="B87" s="29"/>
      <c r="C87" s="30" t="s">
        <v>2741</v>
      </c>
      <c r="D87" s="29" t="s">
        <v>3568</v>
      </c>
      <c r="E87" s="29" t="s">
        <v>580</v>
      </c>
      <c r="F87" s="29" t="s">
        <v>82</v>
      </c>
      <c r="G87" s="29" t="s">
        <v>3392</v>
      </c>
      <c r="H87" s="29" t="s">
        <v>3393</v>
      </c>
      <c r="I87" s="29"/>
      <c r="J87" s="29">
        <v>937</v>
      </c>
      <c r="K87" s="29">
        <v>227</v>
      </c>
      <c r="L87" s="29">
        <v>710</v>
      </c>
      <c r="M87" s="29" t="s">
        <v>3420</v>
      </c>
      <c r="N87" s="29" t="s">
        <v>3420</v>
      </c>
      <c r="O87" s="60">
        <f t="shared" si="9"/>
        <v>0</v>
      </c>
      <c r="P87" s="29" t="s">
        <v>3564</v>
      </c>
      <c r="Q87" s="29"/>
      <c r="R87" s="29"/>
      <c r="S87" s="29"/>
      <c r="T87" s="29"/>
      <c r="U87" s="57" t="s">
        <v>23</v>
      </c>
      <c r="V87" s="29"/>
      <c r="W87" s="29"/>
      <c r="X87" s="29"/>
      <c r="Y87" s="29"/>
      <c r="AM87" s="79"/>
      <c r="AN87" s="27"/>
      <c r="AO87" s="27"/>
      <c r="AP87" s="125"/>
      <c r="AQ87" s="27"/>
      <c r="AR87" s="27"/>
      <c r="AS87" s="27"/>
    </row>
    <row r="88" spans="1:45" ht="15.75" customHeight="1">
      <c r="A88" s="29">
        <v>26555946</v>
      </c>
      <c r="B88" s="29" t="s">
        <v>3566</v>
      </c>
      <c r="C88" s="31" t="s">
        <v>2747</v>
      </c>
      <c r="D88" s="29" t="s">
        <v>3569</v>
      </c>
      <c r="E88" s="29" t="s">
        <v>580</v>
      </c>
      <c r="F88" s="29" t="s">
        <v>82</v>
      </c>
      <c r="G88" s="29" t="s">
        <v>3392</v>
      </c>
      <c r="H88" s="29" t="s">
        <v>3409</v>
      </c>
      <c r="I88" s="29"/>
      <c r="J88" s="29">
        <v>79</v>
      </c>
      <c r="K88" s="29">
        <v>18</v>
      </c>
      <c r="L88" s="29">
        <v>61</v>
      </c>
      <c r="M88" s="29" t="s">
        <v>3420</v>
      </c>
      <c r="N88" s="29" t="s">
        <v>3420</v>
      </c>
      <c r="O88" s="60">
        <f t="shared" si="9"/>
        <v>0</v>
      </c>
      <c r="P88" s="29" t="s">
        <v>3564</v>
      </c>
      <c r="Q88" s="29"/>
      <c r="R88" s="29"/>
      <c r="S88" s="29"/>
      <c r="T88" s="29"/>
      <c r="U88" s="57" t="s">
        <v>23</v>
      </c>
      <c r="V88" s="29"/>
      <c r="W88" s="29"/>
      <c r="X88" s="29"/>
      <c r="Y88" s="29"/>
      <c r="AM88" s="79"/>
      <c r="AN88" s="26"/>
      <c r="AO88" s="26"/>
      <c r="AP88" s="123"/>
      <c r="AQ88" s="26"/>
      <c r="AR88" s="26"/>
      <c r="AS88" s="26"/>
    </row>
    <row r="89" spans="1:45" ht="15.75" customHeight="1">
      <c r="A89" s="29">
        <v>24658548</v>
      </c>
      <c r="B89" s="29" t="s">
        <v>3570</v>
      </c>
      <c r="C89" s="30" t="s">
        <v>2793</v>
      </c>
      <c r="D89" s="29" t="s">
        <v>3571</v>
      </c>
      <c r="E89" s="29" t="s">
        <v>580</v>
      </c>
      <c r="F89" s="29" t="s">
        <v>82</v>
      </c>
      <c r="G89" s="29" t="s">
        <v>3392</v>
      </c>
      <c r="H89" s="29" t="s">
        <v>3393</v>
      </c>
      <c r="I89" s="29"/>
      <c r="J89" s="29">
        <v>15</v>
      </c>
      <c r="K89" s="29">
        <v>8</v>
      </c>
      <c r="L89" s="29">
        <v>7</v>
      </c>
      <c r="M89" s="29" t="s">
        <v>3420</v>
      </c>
      <c r="N89" s="29" t="s">
        <v>3420</v>
      </c>
      <c r="O89" s="60">
        <f t="shared" si="9"/>
        <v>0</v>
      </c>
      <c r="P89" s="29" t="s">
        <v>3564</v>
      </c>
      <c r="Q89" s="29"/>
      <c r="R89" s="29"/>
      <c r="S89" s="29"/>
      <c r="T89" s="29"/>
      <c r="U89" s="57" t="s">
        <v>23</v>
      </c>
      <c r="V89" s="29"/>
      <c r="W89" s="29"/>
      <c r="X89" s="29"/>
      <c r="Y89" s="29"/>
      <c r="AM89" s="79"/>
      <c r="AN89" s="26"/>
      <c r="AO89" s="26"/>
      <c r="AP89" s="123"/>
      <c r="AQ89" s="26"/>
      <c r="AR89" s="26"/>
      <c r="AS89" s="26"/>
    </row>
    <row r="90" spans="1:45" ht="15.75" customHeight="1">
      <c r="A90" s="29">
        <v>26518057</v>
      </c>
      <c r="B90" s="29" t="s">
        <v>3446</v>
      </c>
      <c r="C90" s="31" t="s">
        <v>2808</v>
      </c>
      <c r="D90" s="29" t="s">
        <v>3572</v>
      </c>
      <c r="E90" s="29" t="s">
        <v>580</v>
      </c>
      <c r="F90" s="29" t="s">
        <v>82</v>
      </c>
      <c r="G90" s="29" t="s">
        <v>3392</v>
      </c>
      <c r="H90" s="29" t="s">
        <v>3393</v>
      </c>
      <c r="I90" s="29"/>
      <c r="J90" s="29">
        <v>231</v>
      </c>
      <c r="K90" s="29">
        <v>51</v>
      </c>
      <c r="L90" s="29">
        <v>180</v>
      </c>
      <c r="M90" s="29" t="s">
        <v>3420</v>
      </c>
      <c r="N90" s="29" t="s">
        <v>3420</v>
      </c>
      <c r="O90" s="60">
        <f t="shared" si="9"/>
        <v>0</v>
      </c>
      <c r="P90" s="29" t="s">
        <v>3564</v>
      </c>
      <c r="Q90" s="29"/>
      <c r="R90" s="29"/>
      <c r="S90" s="29"/>
      <c r="T90" s="29"/>
      <c r="U90" s="57" t="s">
        <v>23</v>
      </c>
      <c r="V90" s="29"/>
      <c r="W90" s="29"/>
      <c r="X90" s="29"/>
      <c r="Y90" s="29"/>
      <c r="AM90" s="79"/>
      <c r="AN90" s="26"/>
      <c r="AO90" s="26"/>
      <c r="AP90" s="123"/>
      <c r="AQ90" s="26"/>
      <c r="AR90" s="26"/>
      <c r="AS90" s="26"/>
    </row>
    <row r="91" spans="1:45" ht="15.75" customHeight="1">
      <c r="A91" s="29">
        <v>34298243</v>
      </c>
      <c r="B91" s="29"/>
      <c r="C91" s="31" t="s">
        <v>22</v>
      </c>
      <c r="D91" s="29" t="s">
        <v>3573</v>
      </c>
      <c r="E91" s="29" t="s">
        <v>580</v>
      </c>
      <c r="F91" s="29" t="s">
        <v>82</v>
      </c>
      <c r="G91" s="29" t="s">
        <v>3392</v>
      </c>
      <c r="H91" s="29" t="s">
        <v>3393</v>
      </c>
      <c r="I91" s="29"/>
      <c r="J91" s="29">
        <v>52</v>
      </c>
      <c r="K91" s="29">
        <v>39</v>
      </c>
      <c r="L91" s="29">
        <v>13</v>
      </c>
      <c r="M91" s="29" t="s">
        <v>3420</v>
      </c>
      <c r="N91" s="29" t="s">
        <v>3420</v>
      </c>
      <c r="O91" s="60">
        <f t="shared" si="9"/>
        <v>0</v>
      </c>
      <c r="P91" s="29" t="s">
        <v>3564</v>
      </c>
      <c r="Q91" s="29"/>
      <c r="R91" s="29"/>
      <c r="S91" s="29"/>
      <c r="T91" s="29"/>
      <c r="U91" s="57" t="s">
        <v>23</v>
      </c>
      <c r="V91" s="29"/>
      <c r="W91" s="29"/>
      <c r="X91" s="29"/>
      <c r="Y91" s="29"/>
      <c r="AM91" s="79"/>
      <c r="AN91" s="26"/>
      <c r="AO91" s="26"/>
      <c r="AP91" s="123"/>
      <c r="AQ91" s="26"/>
      <c r="AR91" s="26"/>
      <c r="AS91" s="26"/>
    </row>
    <row r="92" spans="1:45" ht="15.75" customHeight="1">
      <c r="A92" s="29">
        <v>24881673</v>
      </c>
      <c r="B92" s="29" t="s">
        <v>3562</v>
      </c>
      <c r="C92" s="31" t="s">
        <v>2744</v>
      </c>
      <c r="D92" s="29" t="s">
        <v>3574</v>
      </c>
      <c r="E92" s="29" t="s">
        <v>580</v>
      </c>
      <c r="F92" s="29" t="s">
        <v>82</v>
      </c>
      <c r="G92" s="29" t="s">
        <v>3528</v>
      </c>
      <c r="H92" s="29" t="s">
        <v>3410</v>
      </c>
      <c r="I92" s="29"/>
      <c r="J92" s="29">
        <v>63</v>
      </c>
      <c r="K92" s="29">
        <v>6</v>
      </c>
      <c r="L92" s="29">
        <v>57</v>
      </c>
      <c r="M92" s="29">
        <v>0</v>
      </c>
      <c r="N92" s="29" t="s">
        <v>3420</v>
      </c>
      <c r="O92" s="60">
        <f t="shared" si="9"/>
        <v>0</v>
      </c>
      <c r="P92" s="29" t="s">
        <v>3564</v>
      </c>
      <c r="Q92" s="29"/>
      <c r="R92" s="29"/>
      <c r="S92" s="29"/>
      <c r="T92" s="29"/>
      <c r="U92" s="57" t="s">
        <v>23</v>
      </c>
      <c r="V92" s="29"/>
      <c r="W92" s="29"/>
      <c r="X92" s="29"/>
      <c r="Y92" s="29"/>
      <c r="AM92" s="79"/>
      <c r="AN92" s="26"/>
      <c r="AO92" s="26"/>
      <c r="AP92" s="123"/>
      <c r="AQ92" s="26"/>
      <c r="AR92" s="26"/>
      <c r="AS92" s="26"/>
    </row>
    <row r="93" spans="1:45" ht="15.75" customHeight="1">
      <c r="A93" s="29">
        <v>24881673</v>
      </c>
      <c r="B93" s="29" t="s">
        <v>3562</v>
      </c>
      <c r="C93" s="31" t="s">
        <v>2744</v>
      </c>
      <c r="D93" s="29" t="s">
        <v>3574</v>
      </c>
      <c r="E93" s="29" t="s">
        <v>580</v>
      </c>
      <c r="F93" s="29" t="s">
        <v>82</v>
      </c>
      <c r="G93" s="29" t="s">
        <v>3528</v>
      </c>
      <c r="H93" s="29" t="s">
        <v>3409</v>
      </c>
      <c r="I93" s="29"/>
      <c r="J93" s="29">
        <v>63</v>
      </c>
      <c r="K93" s="29">
        <v>6</v>
      </c>
      <c r="L93" s="29">
        <v>57</v>
      </c>
      <c r="M93" s="29">
        <v>1</v>
      </c>
      <c r="N93" s="29" t="s">
        <v>3420</v>
      </c>
      <c r="O93" s="60">
        <f t="shared" si="9"/>
        <v>1.5873015873015872E-2</v>
      </c>
      <c r="P93" s="29" t="s">
        <v>3564</v>
      </c>
      <c r="Q93" s="29"/>
      <c r="R93" s="29"/>
      <c r="S93" s="29"/>
      <c r="T93" s="29"/>
      <c r="U93" s="57" t="s">
        <v>23</v>
      </c>
      <c r="V93" s="29"/>
      <c r="W93" s="29"/>
      <c r="X93" s="29"/>
      <c r="Y93" s="29"/>
      <c r="AM93" s="79"/>
      <c r="AN93" s="26"/>
      <c r="AO93" s="26"/>
      <c r="AP93" s="123"/>
      <c r="AQ93" s="26"/>
      <c r="AR93" s="26"/>
      <c r="AS93" s="26"/>
    </row>
    <row r="94" spans="1:45" ht="15.75" customHeight="1">
      <c r="A94" s="29">
        <v>22048789</v>
      </c>
      <c r="B94" s="29" t="s">
        <v>3575</v>
      </c>
      <c r="C94" s="30" t="s">
        <v>2790</v>
      </c>
      <c r="D94" s="29" t="s">
        <v>3576</v>
      </c>
      <c r="E94" s="29" t="s">
        <v>580</v>
      </c>
      <c r="F94" s="29" t="s">
        <v>82</v>
      </c>
      <c r="G94" s="29" t="s">
        <v>3528</v>
      </c>
      <c r="H94" s="29" t="s">
        <v>3393</v>
      </c>
      <c r="I94" s="29"/>
      <c r="J94" s="29">
        <v>50</v>
      </c>
      <c r="K94" s="29">
        <v>31</v>
      </c>
      <c r="L94" s="29">
        <v>19</v>
      </c>
      <c r="M94" s="29" t="s">
        <v>3420</v>
      </c>
      <c r="N94" s="29" t="s">
        <v>3420</v>
      </c>
      <c r="O94" s="60">
        <f t="shared" si="9"/>
        <v>0</v>
      </c>
      <c r="P94" s="29" t="s">
        <v>3564</v>
      </c>
      <c r="Q94" s="29"/>
      <c r="R94" s="29"/>
      <c r="S94" s="29"/>
      <c r="T94" s="29"/>
      <c r="U94" s="57" t="s">
        <v>23</v>
      </c>
      <c r="V94" s="29"/>
      <c r="W94" s="29"/>
      <c r="X94" s="29"/>
      <c r="Y94" s="29"/>
      <c r="AM94" s="79"/>
      <c r="AN94" s="26"/>
      <c r="AO94" s="26"/>
      <c r="AP94" s="123"/>
      <c r="AQ94" s="26"/>
      <c r="AR94" s="26"/>
      <c r="AS94" s="26"/>
    </row>
    <row r="95" spans="1:45" ht="15.75" customHeight="1">
      <c r="A95" s="29">
        <v>23331378</v>
      </c>
      <c r="B95" s="29" t="s">
        <v>3405</v>
      </c>
      <c r="C95" s="30" t="s">
        <v>2817</v>
      </c>
      <c r="D95" s="29" t="s">
        <v>3577</v>
      </c>
      <c r="E95" s="29" t="s">
        <v>580</v>
      </c>
      <c r="F95" s="29" t="s">
        <v>82</v>
      </c>
      <c r="G95" s="29" t="s">
        <v>3528</v>
      </c>
      <c r="H95" s="29" t="s">
        <v>3393</v>
      </c>
      <c r="I95" s="29"/>
      <c r="J95" s="29">
        <v>140</v>
      </c>
      <c r="K95" s="29">
        <v>22</v>
      </c>
      <c r="L95" s="29">
        <v>118</v>
      </c>
      <c r="M95" s="29" t="s">
        <v>3420</v>
      </c>
      <c r="N95" s="29" t="s">
        <v>3420</v>
      </c>
      <c r="O95" s="60">
        <f t="shared" si="9"/>
        <v>0</v>
      </c>
      <c r="P95" s="29" t="s">
        <v>3564</v>
      </c>
      <c r="Q95" s="29"/>
      <c r="R95" s="29"/>
      <c r="S95" s="29"/>
      <c r="T95" s="29"/>
      <c r="U95" s="57" t="s">
        <v>23</v>
      </c>
      <c r="V95" s="29"/>
      <c r="W95" s="29"/>
      <c r="X95" s="29"/>
      <c r="Y95" s="29"/>
      <c r="AM95" s="79"/>
      <c r="AN95" s="26"/>
      <c r="AO95" s="26"/>
      <c r="AP95" s="123"/>
      <c r="AQ95" s="26"/>
      <c r="AR95" s="26"/>
      <c r="AS95" s="26"/>
    </row>
    <row r="96" spans="1:45" ht="15.75" customHeight="1">
      <c r="A96" s="29">
        <v>11035370</v>
      </c>
      <c r="B96" s="29" t="s">
        <v>3575</v>
      </c>
      <c r="C96" s="31" t="s">
        <v>2676</v>
      </c>
      <c r="D96" s="29" t="s">
        <v>3578</v>
      </c>
      <c r="E96" s="29" t="s">
        <v>580</v>
      </c>
      <c r="F96" s="29" t="s">
        <v>82</v>
      </c>
      <c r="G96" s="29" t="s">
        <v>3392</v>
      </c>
      <c r="H96" s="29" t="s">
        <v>3393</v>
      </c>
      <c r="I96" s="29"/>
      <c r="J96" s="29">
        <v>23</v>
      </c>
      <c r="K96" s="29">
        <v>8</v>
      </c>
      <c r="L96" s="29">
        <v>15</v>
      </c>
      <c r="M96" s="29" t="s">
        <v>3420</v>
      </c>
      <c r="N96" s="29" t="s">
        <v>3420</v>
      </c>
      <c r="O96" s="60">
        <f t="shared" si="9"/>
        <v>0</v>
      </c>
      <c r="P96" s="29" t="s">
        <v>3579</v>
      </c>
      <c r="Q96" s="29"/>
      <c r="R96" s="29"/>
      <c r="S96" s="29"/>
      <c r="T96" s="29"/>
      <c r="U96" s="57" t="s">
        <v>23</v>
      </c>
      <c r="V96" s="29"/>
      <c r="W96" s="29"/>
      <c r="X96" s="29"/>
      <c r="Y96" s="29"/>
      <c r="AM96" s="79"/>
      <c r="AN96" s="26"/>
      <c r="AO96" s="26"/>
      <c r="AP96" s="123"/>
      <c r="AQ96" s="26"/>
      <c r="AR96" s="26"/>
      <c r="AS96" s="26"/>
    </row>
    <row r="97" spans="1:42" ht="15.75" customHeight="1">
      <c r="A97" s="29">
        <v>31075291</v>
      </c>
      <c r="B97" s="29" t="s">
        <v>3446</v>
      </c>
      <c r="C97" s="31" t="s">
        <v>2659</v>
      </c>
      <c r="D97" s="29" t="s">
        <v>3580</v>
      </c>
      <c r="E97" s="29" t="s">
        <v>580</v>
      </c>
      <c r="F97" s="29" t="s">
        <v>86</v>
      </c>
      <c r="G97" s="29"/>
      <c r="H97" s="29" t="s">
        <v>3393</v>
      </c>
      <c r="I97" s="29"/>
      <c r="J97" s="29">
        <v>196</v>
      </c>
      <c r="K97" s="29">
        <v>22</v>
      </c>
      <c r="L97" s="29">
        <v>174</v>
      </c>
      <c r="M97" s="29">
        <v>0</v>
      </c>
      <c r="N97" s="29">
        <v>0</v>
      </c>
      <c r="O97" s="60">
        <f t="shared" si="9"/>
        <v>0</v>
      </c>
      <c r="P97" s="29" t="s">
        <v>3581</v>
      </c>
      <c r="Q97" s="29"/>
      <c r="R97" s="29"/>
      <c r="S97" s="29"/>
      <c r="T97" s="29"/>
      <c r="U97" s="57" t="s">
        <v>23</v>
      </c>
      <c r="V97" s="29"/>
      <c r="W97" s="29"/>
      <c r="X97" s="29"/>
      <c r="Y97" s="29"/>
      <c r="AP97" s="123"/>
    </row>
    <row r="98" spans="1:42" ht="15.75" customHeight="1">
      <c r="A98" s="29">
        <v>32017805</v>
      </c>
      <c r="B98" s="29" t="s">
        <v>3575</v>
      </c>
      <c r="C98" s="31" t="s">
        <v>2731</v>
      </c>
      <c r="D98" s="29" t="s">
        <v>3582</v>
      </c>
      <c r="E98" s="29" t="s">
        <v>580</v>
      </c>
      <c r="F98" s="29" t="s">
        <v>86</v>
      </c>
      <c r="G98" s="29"/>
      <c r="H98" s="29" t="s">
        <v>3409</v>
      </c>
      <c r="I98" s="29"/>
      <c r="J98" s="29">
        <v>107</v>
      </c>
      <c r="K98" s="29">
        <v>36</v>
      </c>
      <c r="L98" s="29">
        <v>71</v>
      </c>
      <c r="M98" s="29">
        <v>0</v>
      </c>
      <c r="N98" s="29">
        <v>0</v>
      </c>
      <c r="O98" s="60">
        <f t="shared" si="9"/>
        <v>0</v>
      </c>
      <c r="P98" s="29" t="s">
        <v>3581</v>
      </c>
      <c r="Q98" s="29"/>
      <c r="R98" s="29"/>
      <c r="S98" s="29"/>
      <c r="T98" s="29"/>
      <c r="U98" s="57" t="s">
        <v>23</v>
      </c>
      <c r="V98" s="29"/>
      <c r="W98" s="29"/>
      <c r="X98" s="29"/>
      <c r="Y98" s="29"/>
      <c r="AN98" s="28"/>
      <c r="AO98" s="28"/>
      <c r="AP98" s="123"/>
    </row>
    <row r="99" spans="1:42" ht="15.75" customHeight="1">
      <c r="A99" s="29">
        <v>10998432</v>
      </c>
      <c r="B99" s="29" t="s">
        <v>3405</v>
      </c>
      <c r="C99" s="30" t="s">
        <v>2799</v>
      </c>
      <c r="D99" s="29" t="s">
        <v>3583</v>
      </c>
      <c r="E99" s="29" t="s">
        <v>580</v>
      </c>
      <c r="F99" s="29" t="s">
        <v>86</v>
      </c>
      <c r="G99" s="29"/>
      <c r="H99" s="29" t="s">
        <v>3393</v>
      </c>
      <c r="I99" s="29"/>
      <c r="J99" s="29">
        <v>20</v>
      </c>
      <c r="K99" s="29">
        <v>2</v>
      </c>
      <c r="L99" s="29">
        <v>18</v>
      </c>
      <c r="M99" s="29">
        <v>0</v>
      </c>
      <c r="N99" s="29">
        <v>0</v>
      </c>
      <c r="O99" s="60">
        <f t="shared" si="9"/>
        <v>0</v>
      </c>
      <c r="P99" s="29" t="s">
        <v>3581</v>
      </c>
      <c r="Q99" s="29"/>
      <c r="R99" s="29"/>
      <c r="S99" s="29"/>
      <c r="T99" s="29"/>
      <c r="U99" s="57" t="s">
        <v>23</v>
      </c>
      <c r="V99" s="29"/>
      <c r="W99" s="29"/>
      <c r="X99" s="29"/>
      <c r="Y99" s="29"/>
      <c r="AN99" s="28"/>
      <c r="AO99" s="28"/>
      <c r="AP99" s="123"/>
    </row>
    <row r="100" spans="1:42" ht="15.75" customHeight="1">
      <c r="A100" s="29">
        <v>37279857</v>
      </c>
      <c r="B100" s="29"/>
      <c r="C100" s="31" t="s">
        <v>28</v>
      </c>
      <c r="D100" s="29" t="s">
        <v>3584</v>
      </c>
      <c r="E100" s="29" t="s">
        <v>580</v>
      </c>
      <c r="F100" s="29" t="s">
        <v>86</v>
      </c>
      <c r="G100" s="29"/>
      <c r="H100" s="29" t="s">
        <v>3410</v>
      </c>
      <c r="I100" s="29"/>
      <c r="J100" s="29">
        <v>12</v>
      </c>
      <c r="K100" s="29">
        <v>6</v>
      </c>
      <c r="L100" s="29">
        <v>6</v>
      </c>
      <c r="M100" s="29">
        <v>0</v>
      </c>
      <c r="N100" s="29">
        <v>0</v>
      </c>
      <c r="O100" s="60">
        <f t="shared" si="9"/>
        <v>0</v>
      </c>
      <c r="P100" s="29" t="s">
        <v>3581</v>
      </c>
      <c r="Q100" s="29"/>
      <c r="R100" s="29"/>
      <c r="S100" s="29"/>
      <c r="T100" s="29"/>
      <c r="U100" s="57" t="s">
        <v>23</v>
      </c>
      <c r="V100" s="29"/>
      <c r="W100" s="29"/>
      <c r="X100" s="29"/>
      <c r="Y100" s="29"/>
      <c r="AP100" s="123"/>
    </row>
    <row r="101" spans="1:42" ht="15.75" customHeight="1">
      <c r="A101" s="29">
        <v>37279857</v>
      </c>
      <c r="B101" s="29"/>
      <c r="C101" s="31" t="s">
        <v>28</v>
      </c>
      <c r="D101" s="29" t="s">
        <v>3584</v>
      </c>
      <c r="E101" s="29" t="s">
        <v>580</v>
      </c>
      <c r="F101" s="29" t="s">
        <v>86</v>
      </c>
      <c r="G101" s="29"/>
      <c r="H101" s="29" t="s">
        <v>3409</v>
      </c>
      <c r="I101" s="29"/>
      <c r="J101" s="29">
        <v>12</v>
      </c>
      <c r="K101" s="29">
        <v>6</v>
      </c>
      <c r="L101" s="29">
        <v>6</v>
      </c>
      <c r="M101" s="29">
        <v>0</v>
      </c>
      <c r="N101" s="29">
        <v>0</v>
      </c>
      <c r="O101" s="60">
        <f t="shared" si="9"/>
        <v>0</v>
      </c>
      <c r="P101" s="29" t="s">
        <v>3581</v>
      </c>
      <c r="Q101" s="29"/>
      <c r="R101" s="29"/>
      <c r="S101" s="29"/>
      <c r="T101" s="29"/>
      <c r="U101" s="57" t="s">
        <v>23</v>
      </c>
      <c r="V101" s="29"/>
      <c r="W101" s="29"/>
      <c r="X101" s="29"/>
      <c r="Y101" s="29"/>
      <c r="AP101" s="123"/>
    </row>
    <row r="102" spans="1:42" ht="15.75" customHeight="1">
      <c r="A102" s="29">
        <v>34547554</v>
      </c>
      <c r="B102" s="29"/>
      <c r="C102" s="29"/>
      <c r="D102" s="29" t="s">
        <v>3585</v>
      </c>
      <c r="E102" s="36" t="s">
        <v>580</v>
      </c>
      <c r="F102" s="29"/>
      <c r="G102" s="29"/>
      <c r="H102" s="29" t="s">
        <v>3393</v>
      </c>
      <c r="I102" s="29"/>
      <c r="J102" s="29">
        <v>364</v>
      </c>
      <c r="K102" s="29">
        <v>38</v>
      </c>
      <c r="L102" s="29">
        <v>326</v>
      </c>
      <c r="M102" s="29">
        <v>29</v>
      </c>
      <c r="N102" s="29">
        <v>185</v>
      </c>
      <c r="O102" s="60">
        <f t="shared" si="9"/>
        <v>0.58791208791208793</v>
      </c>
      <c r="P102" s="29" t="s">
        <v>3586</v>
      </c>
      <c r="Q102" s="29"/>
      <c r="R102" s="29"/>
      <c r="S102" s="29"/>
      <c r="T102" s="29"/>
      <c r="U102" s="57" t="s">
        <v>23</v>
      </c>
      <c r="V102" s="29"/>
      <c r="W102" s="29"/>
      <c r="X102" s="29"/>
      <c r="AP102" s="123"/>
    </row>
    <row r="103" spans="1:42" ht="15.75" customHeight="1">
      <c r="B103" s="18"/>
      <c r="C103" s="21"/>
      <c r="P103" s="1"/>
      <c r="Y103" s="19"/>
      <c r="AP103" s="123"/>
    </row>
    <row r="104" spans="1:42" ht="15.75" customHeight="1">
      <c r="B104" s="18"/>
      <c r="C104" s="21"/>
      <c r="P104" s="1"/>
      <c r="Y104" s="19"/>
      <c r="AP104" s="123"/>
    </row>
    <row r="105" spans="1:42" ht="15.75" customHeight="1">
      <c r="B105" s="18"/>
      <c r="C105" s="21"/>
      <c r="P105" s="1"/>
      <c r="Y105" s="19"/>
      <c r="AP105" s="123"/>
    </row>
    <row r="106" spans="1:42" ht="15.75" customHeight="1">
      <c r="B106" s="18"/>
      <c r="C106" s="21"/>
      <c r="P106" s="1"/>
      <c r="Y106" s="19"/>
      <c r="AP106" s="123"/>
    </row>
    <row r="107" spans="1:42" ht="15.75" customHeight="1">
      <c r="B107" s="18"/>
      <c r="C107" s="21"/>
      <c r="Y107" s="19"/>
      <c r="AP107" s="123"/>
    </row>
    <row r="108" spans="1:42" ht="15.75" customHeight="1">
      <c r="B108" s="18"/>
      <c r="C108" s="21"/>
      <c r="Y108" s="19"/>
      <c r="AP108" s="123"/>
    </row>
    <row r="109" spans="1:42" ht="15.75" customHeight="1">
      <c r="B109" s="18"/>
      <c r="C109" s="21"/>
      <c r="Y109" s="19"/>
      <c r="AP109" s="123"/>
    </row>
    <row r="110" spans="1:42" ht="15.75" customHeight="1">
      <c r="B110" s="3"/>
      <c r="C110" s="18"/>
      <c r="Y110" s="19"/>
      <c r="AP110" s="125"/>
    </row>
    <row r="111" spans="1:42" ht="15.75" customHeight="1">
      <c r="B111" s="18"/>
      <c r="C111" s="18"/>
      <c r="Y111" s="19"/>
      <c r="AP111" s="125"/>
    </row>
    <row r="112" spans="1:42" ht="15.75" customHeight="1">
      <c r="B112" s="18"/>
      <c r="C112" s="21"/>
      <c r="Y112" s="19"/>
      <c r="AP112" s="125"/>
    </row>
    <row r="113" spans="2:42" ht="15.75" customHeight="1">
      <c r="B113" s="18"/>
      <c r="C113" s="18"/>
      <c r="Y113" s="19"/>
      <c r="AP113" s="125"/>
    </row>
    <row r="114" spans="2:42" ht="15.75" customHeight="1">
      <c r="B114" s="18"/>
      <c r="C114" s="18"/>
      <c r="Y114" s="19"/>
      <c r="AP114" s="125"/>
    </row>
    <row r="115" spans="2:42" ht="15.75" customHeight="1">
      <c r="B115" s="18"/>
      <c r="C115" s="18"/>
      <c r="Y115" s="19"/>
      <c r="AP115" s="125"/>
    </row>
    <row r="116" spans="2:42" ht="15.75" customHeight="1">
      <c r="B116" s="18"/>
      <c r="C116" s="18"/>
      <c r="Y116" s="19"/>
      <c r="AP116" s="125"/>
    </row>
    <row r="117" spans="2:42" ht="15.75" customHeight="1">
      <c r="B117" s="18"/>
      <c r="C117" s="18"/>
      <c r="Y117" s="19"/>
      <c r="AP117" s="125"/>
    </row>
    <row r="118" spans="2:42" ht="15.75" customHeight="1">
      <c r="B118" s="3"/>
      <c r="C118" s="21"/>
      <c r="Y118" s="19"/>
      <c r="AP118" s="123"/>
    </row>
    <row r="119" spans="2:42" ht="15.75" customHeight="1">
      <c r="B119" s="18"/>
      <c r="C119" s="21"/>
      <c r="Y119" s="19"/>
      <c r="AP119" s="125"/>
    </row>
    <row r="120" spans="2:42" ht="15.75" customHeight="1">
      <c r="B120" s="18"/>
      <c r="C120" s="21"/>
      <c r="Y120" s="19"/>
      <c r="AP120" s="125"/>
    </row>
    <row r="121" spans="2:42" ht="15.75" customHeight="1">
      <c r="B121" s="18"/>
      <c r="C121" s="21"/>
      <c r="Y121" s="19"/>
      <c r="AP121" s="125"/>
    </row>
    <row r="122" spans="2:42" ht="15.75" customHeight="1">
      <c r="B122" s="18"/>
      <c r="C122" s="18"/>
      <c r="Y122" s="19"/>
      <c r="AP122" s="125"/>
    </row>
    <row r="123" spans="2:42" ht="15.75" customHeight="1">
      <c r="B123" s="3"/>
      <c r="C123" s="21"/>
      <c r="Y123" s="19"/>
      <c r="AP123" s="125"/>
    </row>
    <row r="124" spans="2:42" ht="15.75" customHeight="1">
      <c r="B124" s="18"/>
      <c r="C124" s="18"/>
      <c r="Y124" s="19"/>
      <c r="AP124" s="125"/>
    </row>
    <row r="125" spans="2:42" ht="15.75" customHeight="1">
      <c r="B125" s="18"/>
      <c r="C125" s="18"/>
      <c r="Y125" s="19"/>
      <c r="AP125" s="125"/>
    </row>
    <row r="126" spans="2:42" ht="15.75" customHeight="1">
      <c r="B126" s="18"/>
      <c r="C126" s="21"/>
      <c r="Y126" s="19"/>
      <c r="AP126" s="123"/>
    </row>
    <row r="127" spans="2:42" ht="15.75" customHeight="1">
      <c r="B127" s="3"/>
      <c r="C127" s="18"/>
      <c r="Y127" s="19"/>
      <c r="AP127" s="125"/>
    </row>
    <row r="128" spans="2:42" ht="15.75" customHeight="1">
      <c r="B128" s="18"/>
      <c r="C128" s="21"/>
      <c r="P128" s="3"/>
      <c r="Y128" s="19"/>
      <c r="AP128" s="125"/>
    </row>
    <row r="129" spans="2:42" ht="15.75" customHeight="1">
      <c r="B129" s="18"/>
      <c r="C129" s="21"/>
      <c r="Y129" s="19"/>
      <c r="AP129" s="123"/>
    </row>
    <row r="130" spans="2:42" ht="15.75" customHeight="1">
      <c r="B130" s="18"/>
      <c r="C130" s="21"/>
      <c r="Y130" s="19"/>
      <c r="AP130" s="125"/>
    </row>
    <row r="131" spans="2:42" ht="15.75" customHeight="1">
      <c r="B131" s="18"/>
      <c r="C131" s="18"/>
      <c r="Y131" s="19"/>
      <c r="AP131" s="125"/>
    </row>
    <row r="132" spans="2:42" ht="15.75" customHeight="1">
      <c r="B132" s="18"/>
      <c r="C132" s="18"/>
      <c r="Y132" s="19"/>
      <c r="AP132" s="125"/>
    </row>
    <row r="133" spans="2:42" ht="15.75" customHeight="1">
      <c r="B133" s="3"/>
      <c r="C133" s="21"/>
      <c r="Y133" s="19"/>
      <c r="AP133" s="125"/>
    </row>
    <row r="134" spans="2:42" ht="15.75" customHeight="1">
      <c r="B134" s="18"/>
      <c r="C134" s="21"/>
      <c r="Y134" s="19"/>
      <c r="AP134" s="125"/>
    </row>
    <row r="135" spans="2:42" ht="15.75" customHeight="1">
      <c r="B135" s="18"/>
      <c r="C135" s="21"/>
      <c r="Y135" s="19"/>
      <c r="AP135" s="125"/>
    </row>
    <row r="136" spans="2:42" ht="15.75" customHeight="1">
      <c r="B136" s="18"/>
      <c r="C136" s="21"/>
      <c r="Y136" s="19"/>
      <c r="AP136" s="123"/>
    </row>
    <row r="137" spans="2:42" ht="15.75" customHeight="1">
      <c r="B137" s="18"/>
      <c r="C137" s="21"/>
      <c r="Y137" s="19"/>
      <c r="AP137" s="123"/>
    </row>
    <row r="138" spans="2:42" ht="15.75" customHeight="1">
      <c r="B138" s="18"/>
      <c r="C138" s="18"/>
      <c r="Y138" s="19"/>
      <c r="AP138" s="125"/>
    </row>
    <row r="139" spans="2:42" ht="15.75" customHeight="1">
      <c r="B139" s="3"/>
      <c r="C139" s="21"/>
      <c r="Y139" s="19"/>
      <c r="AP139" s="125"/>
    </row>
    <row r="140" spans="2:42" ht="15.75" customHeight="1">
      <c r="B140" s="18"/>
      <c r="C140" s="21"/>
      <c r="Y140" s="19"/>
      <c r="AP140" s="125"/>
    </row>
    <row r="141" spans="2:42" ht="15.75" customHeight="1">
      <c r="B141" s="3"/>
      <c r="C141" s="21"/>
      <c r="Y141" s="19"/>
      <c r="AP141" s="125"/>
    </row>
    <row r="142" spans="2:42" ht="15.75" customHeight="1">
      <c r="B142" s="18"/>
      <c r="C142" s="18"/>
      <c r="Y142" s="19"/>
      <c r="AP142" s="125"/>
    </row>
    <row r="143" spans="2:42" ht="15.75" customHeight="1">
      <c r="B143" s="18"/>
      <c r="C143" s="21"/>
      <c r="Y143" s="19"/>
      <c r="AP143" s="123"/>
    </row>
    <row r="144" spans="2:42" ht="15.75" customHeight="1">
      <c r="B144" s="18"/>
      <c r="C144" s="21"/>
      <c r="Y144" s="19"/>
      <c r="AP144" s="125"/>
    </row>
    <row r="145" spans="2:42" ht="15.75" customHeight="1">
      <c r="B145" s="3"/>
      <c r="C145" s="18"/>
      <c r="Y145" s="19"/>
      <c r="AP145" s="125"/>
    </row>
    <row r="146" spans="2:42" ht="15.75" customHeight="1">
      <c r="B146" s="18"/>
      <c r="C146" s="18"/>
      <c r="Y146" s="19"/>
      <c r="AP146" s="125"/>
    </row>
    <row r="147" spans="2:42" ht="15.75" customHeight="1">
      <c r="B147" s="18"/>
      <c r="C147" s="18"/>
      <c r="Y147" s="19"/>
      <c r="AP147" s="125"/>
    </row>
    <row r="148" spans="2:42" ht="15.75" customHeight="1">
      <c r="B148" s="18"/>
      <c r="C148" s="21"/>
      <c r="Y148" s="19"/>
      <c r="AP148" s="125"/>
    </row>
    <row r="149" spans="2:42" ht="15.75" customHeight="1">
      <c r="B149" s="18"/>
      <c r="C149" s="21"/>
      <c r="Y149" s="19"/>
      <c r="AP149" s="125"/>
    </row>
    <row r="150" spans="2:42" ht="15.75" customHeight="1">
      <c r="B150" s="3"/>
      <c r="C150" s="21"/>
      <c r="Y150" s="19"/>
      <c r="AP150" s="125"/>
    </row>
    <row r="151" spans="2:42" ht="15.75" customHeight="1">
      <c r="B151" s="18"/>
      <c r="C151" s="18"/>
      <c r="Y151" s="19"/>
      <c r="AP151" s="125"/>
    </row>
    <row r="152" spans="2:42" ht="15.75" customHeight="1">
      <c r="B152" s="18"/>
      <c r="C152" s="21"/>
      <c r="Y152" s="19"/>
      <c r="AP152" s="123"/>
    </row>
    <row r="153" spans="2:42" ht="15.75" customHeight="1">
      <c r="B153" s="18"/>
      <c r="C153" s="21"/>
      <c r="Y153" s="19"/>
      <c r="AP153" s="125"/>
    </row>
    <row r="154" spans="2:42" ht="15.75" customHeight="1">
      <c r="B154" s="18"/>
      <c r="C154" s="21"/>
      <c r="Y154" s="19"/>
      <c r="AP154" s="125"/>
    </row>
    <row r="155" spans="2:42" ht="15.75" customHeight="1">
      <c r="B155" s="18"/>
      <c r="C155" s="21"/>
      <c r="Y155" s="19"/>
      <c r="AP155" s="125"/>
    </row>
    <row r="156" spans="2:42" ht="15.75" customHeight="1">
      <c r="B156" s="18"/>
      <c r="C156" s="21"/>
      <c r="Y156" s="19"/>
      <c r="AP156" s="125"/>
    </row>
    <row r="157" spans="2:42" ht="15.75" customHeight="1">
      <c r="B157" s="18"/>
      <c r="C157" s="18"/>
      <c r="Y157" s="19"/>
      <c r="AP157" s="125"/>
    </row>
    <row r="158" spans="2:42" ht="15.75" customHeight="1">
      <c r="B158" s="18"/>
      <c r="C158" s="21"/>
      <c r="Y158" s="19"/>
      <c r="AP158" s="125"/>
    </row>
    <row r="159" spans="2:42" ht="15.75" customHeight="1">
      <c r="B159" s="18"/>
      <c r="C159" s="18"/>
      <c r="Y159" s="19"/>
      <c r="AP159" s="125"/>
    </row>
    <row r="160" spans="2:42" ht="15.75" customHeight="1">
      <c r="B160" s="18"/>
      <c r="C160" s="18"/>
      <c r="Y160" s="19"/>
      <c r="AP160" s="125"/>
    </row>
    <row r="161" spans="2:42" ht="15.75" customHeight="1">
      <c r="B161" s="18"/>
      <c r="C161" s="18"/>
      <c r="Y161" s="19"/>
      <c r="AP161" s="125"/>
    </row>
    <row r="162" spans="2:42" ht="15.75" customHeight="1">
      <c r="B162" s="18"/>
      <c r="C162" s="21"/>
      <c r="Y162" s="19"/>
      <c r="AP162" s="125"/>
    </row>
    <row r="163" spans="2:42" ht="15.75" customHeight="1">
      <c r="B163" s="18"/>
      <c r="C163" s="21"/>
      <c r="Y163" s="19"/>
      <c r="AP163" s="123"/>
    </row>
    <row r="164" spans="2:42" ht="15.75" customHeight="1">
      <c r="B164" s="18"/>
      <c r="C164" s="21"/>
      <c r="Y164" s="19"/>
      <c r="AP164" s="123"/>
    </row>
    <row r="165" spans="2:42" ht="15.75" customHeight="1">
      <c r="B165" s="18"/>
      <c r="C165" s="21"/>
      <c r="Y165" s="19"/>
      <c r="AP165" s="125"/>
    </row>
    <row r="166" spans="2:42" ht="15.75" customHeight="1">
      <c r="B166" s="18"/>
      <c r="C166" s="18"/>
      <c r="Y166" s="19"/>
      <c r="AP166" s="123"/>
    </row>
    <row r="167" spans="2:42" ht="15.75" customHeight="1">
      <c r="B167" s="18"/>
      <c r="C167" s="21"/>
      <c r="Y167" s="19"/>
      <c r="AP167" s="125"/>
    </row>
    <row r="168" spans="2:42" ht="15.75" customHeight="1">
      <c r="B168" s="18"/>
      <c r="C168" s="21"/>
      <c r="Y168" s="19"/>
      <c r="AP168" s="125"/>
    </row>
    <row r="169" spans="2:42" ht="15.75" customHeight="1">
      <c r="B169" s="18"/>
      <c r="C169" s="21"/>
      <c r="Y169" s="19"/>
      <c r="AP169" s="125"/>
    </row>
    <row r="170" spans="2:42" ht="15.75" customHeight="1">
      <c r="B170" s="3"/>
      <c r="C170" s="18"/>
      <c r="Y170" s="19"/>
      <c r="AP170" s="123"/>
    </row>
    <row r="171" spans="2:42" ht="15.75" customHeight="1">
      <c r="B171" s="18"/>
      <c r="C171" s="18"/>
      <c r="Y171" s="19"/>
      <c r="AP171" s="125"/>
    </row>
    <row r="172" spans="2:42" ht="15.75" customHeight="1">
      <c r="B172" s="18"/>
      <c r="C172" s="21"/>
      <c r="Y172" s="19"/>
      <c r="AP172" s="125"/>
    </row>
    <row r="173" spans="2:42" ht="15.75" customHeight="1">
      <c r="B173" s="18"/>
      <c r="C173" s="21"/>
      <c r="Y173" s="19"/>
      <c r="AP173" s="125"/>
    </row>
    <row r="174" spans="2:42" ht="15.75" customHeight="1">
      <c r="B174" s="18"/>
      <c r="C174" s="21"/>
      <c r="Y174" s="19"/>
      <c r="AP174" s="125"/>
    </row>
    <row r="175" spans="2:42" ht="15.75" customHeight="1">
      <c r="B175" s="18"/>
      <c r="C175" s="21"/>
      <c r="Y175" s="19"/>
      <c r="AP175" s="123"/>
    </row>
    <row r="176" spans="2:42" ht="15.75" customHeight="1">
      <c r="B176" s="3"/>
      <c r="C176" s="21"/>
      <c r="Y176" s="19"/>
      <c r="AP176" s="123"/>
    </row>
    <row r="177" spans="2:42" ht="15.75" customHeight="1">
      <c r="B177" s="18"/>
      <c r="C177" s="21"/>
      <c r="Y177" s="19"/>
      <c r="AP177" s="123"/>
    </row>
    <row r="178" spans="2:42" ht="15.75" customHeight="1">
      <c r="B178" s="18"/>
      <c r="C178" s="18"/>
      <c r="Y178" s="19"/>
      <c r="AP178" s="123"/>
    </row>
    <row r="179" spans="2:42" ht="15.75" customHeight="1">
      <c r="B179" s="18"/>
      <c r="C179" s="18"/>
      <c r="Y179" s="19"/>
      <c r="AP179" s="123"/>
    </row>
    <row r="180" spans="2:42" ht="15.75" customHeight="1">
      <c r="B180" s="18"/>
      <c r="C180" s="18"/>
      <c r="Y180" s="19"/>
      <c r="AP180" s="125"/>
    </row>
    <row r="181" spans="2:42" ht="15.75" customHeight="1">
      <c r="B181" s="3"/>
      <c r="C181" s="18"/>
      <c r="Y181" s="19"/>
      <c r="AP181" s="125"/>
    </row>
    <row r="182" spans="2:42" ht="15.75" customHeight="1">
      <c r="B182" s="18"/>
      <c r="C182" s="21"/>
      <c r="Y182" s="19"/>
      <c r="AP182" s="125"/>
    </row>
    <row r="183" spans="2:42" ht="15.75" customHeight="1">
      <c r="B183" s="18"/>
      <c r="C183" s="21"/>
      <c r="Y183" s="19"/>
      <c r="AP183" s="125"/>
    </row>
    <row r="184" spans="2:42" ht="15.75" customHeight="1">
      <c r="B184" s="18"/>
      <c r="C184" s="21"/>
      <c r="Y184" s="19"/>
      <c r="AP184" s="125"/>
    </row>
    <row r="185" spans="2:42" ht="15.75" customHeight="1">
      <c r="B185" s="18"/>
      <c r="C185" s="21"/>
      <c r="Y185" s="19"/>
      <c r="AP185" s="125"/>
    </row>
    <row r="186" spans="2:42" ht="15.75" customHeight="1">
      <c r="B186" s="18"/>
      <c r="C186" s="21"/>
      <c r="Y186" s="19"/>
      <c r="AP186" s="125"/>
    </row>
    <row r="187" spans="2:42" ht="15.75" customHeight="1">
      <c r="B187" s="18"/>
      <c r="C187" s="18"/>
      <c r="Y187" s="19"/>
      <c r="AP187" s="125"/>
    </row>
    <row r="188" spans="2:42" ht="15.75" customHeight="1">
      <c r="B188" s="18"/>
      <c r="C188" s="18"/>
      <c r="Y188" s="19"/>
      <c r="AP188" s="125"/>
    </row>
    <row r="189" spans="2:42" ht="15.75" customHeight="1">
      <c r="B189" s="18"/>
      <c r="C189" s="18"/>
      <c r="Y189" s="19"/>
      <c r="AP189" s="125"/>
    </row>
    <row r="190" spans="2:42" ht="15.75" customHeight="1">
      <c r="B190" s="18"/>
      <c r="C190" s="18"/>
      <c r="Y190" s="19"/>
      <c r="AP190" s="125"/>
    </row>
    <row r="191" spans="2:42" ht="15.75" customHeight="1">
      <c r="B191" s="18"/>
      <c r="C191" s="21"/>
      <c r="Y191" s="19"/>
      <c r="AP191" s="125"/>
    </row>
    <row r="192" spans="2:42" ht="15.75" customHeight="1">
      <c r="B192" s="18"/>
      <c r="C192" s="21"/>
      <c r="Y192" s="19"/>
      <c r="AP192" s="125"/>
    </row>
    <row r="193" spans="2:42" ht="15.75" customHeight="1">
      <c r="B193" s="18"/>
      <c r="C193" s="18"/>
      <c r="Y193" s="19"/>
      <c r="AP193" s="125"/>
    </row>
    <row r="194" spans="2:42" ht="15.75" customHeight="1">
      <c r="B194" s="18"/>
      <c r="C194" s="18"/>
      <c r="Y194" s="19"/>
      <c r="AP194" s="125"/>
    </row>
    <row r="195" spans="2:42" ht="15.75" customHeight="1">
      <c r="B195" s="18"/>
      <c r="C195" s="18"/>
      <c r="Y195" s="19"/>
      <c r="AP195" s="125"/>
    </row>
    <row r="196" spans="2:42" ht="15.75" customHeight="1">
      <c r="B196" s="18"/>
      <c r="C196" s="18"/>
      <c r="Y196" s="19"/>
      <c r="AP196" s="125"/>
    </row>
    <row r="197" spans="2:42" ht="15.75" customHeight="1">
      <c r="B197" s="18"/>
      <c r="C197" s="18"/>
      <c r="Y197" s="19"/>
      <c r="AP197" s="125"/>
    </row>
    <row r="198" spans="2:42" ht="15.75" customHeight="1">
      <c r="B198" s="18"/>
      <c r="C198" s="18"/>
      <c r="Y198" s="19"/>
      <c r="AP198" s="125"/>
    </row>
    <row r="199" spans="2:42" ht="15.75" customHeight="1">
      <c r="B199" s="18"/>
      <c r="C199" s="18"/>
      <c r="Y199" s="19"/>
      <c r="AP199" s="125"/>
    </row>
    <row r="200" spans="2:42" ht="15.75" customHeight="1">
      <c r="B200" s="18"/>
      <c r="C200" s="21"/>
      <c r="Y200" s="19"/>
      <c r="AP200" s="125"/>
    </row>
    <row r="201" spans="2:42" ht="15.75" customHeight="1">
      <c r="B201" s="3"/>
      <c r="C201" s="21"/>
      <c r="Y201" s="19"/>
      <c r="AP201" s="125"/>
    </row>
    <row r="202" spans="2:42" ht="15.75" customHeight="1">
      <c r="B202" s="18"/>
      <c r="C202" s="18"/>
      <c r="Y202" s="19"/>
      <c r="AP202" s="125"/>
    </row>
    <row r="203" spans="2:42" ht="15.75" customHeight="1">
      <c r="B203" s="18"/>
      <c r="C203" s="18"/>
      <c r="Y203" s="19"/>
      <c r="AP203" s="123"/>
    </row>
    <row r="204" spans="2:42" ht="15.75" customHeight="1">
      <c r="B204" s="18"/>
      <c r="C204" s="21"/>
      <c r="Y204" s="19"/>
      <c r="AP204" s="123"/>
    </row>
    <row r="205" spans="2:42" ht="15.75" customHeight="1">
      <c r="B205" s="3"/>
      <c r="C205" s="21"/>
      <c r="Y205" s="19"/>
      <c r="AP205" s="125"/>
    </row>
    <row r="206" spans="2:42" ht="15.75" customHeight="1">
      <c r="B206" s="18"/>
      <c r="C206" s="18"/>
      <c r="Y206" s="19"/>
      <c r="AP206" s="125"/>
    </row>
    <row r="207" spans="2:42" ht="15.75" customHeight="1">
      <c r="B207" s="18"/>
      <c r="C207" s="21"/>
      <c r="Y207" s="19"/>
      <c r="AP207" s="123"/>
    </row>
    <row r="208" spans="2:42" ht="15.75" customHeight="1">
      <c r="B208" s="18"/>
      <c r="C208" s="18"/>
      <c r="Y208" s="19"/>
      <c r="AP208" s="125"/>
    </row>
    <row r="209" spans="2:42" ht="15.75" customHeight="1">
      <c r="B209" s="18"/>
      <c r="C209" s="18"/>
      <c r="Y209" s="19"/>
      <c r="AP209" s="125"/>
    </row>
    <row r="210" spans="2:42" ht="15.75" customHeight="1">
      <c r="B210" s="18"/>
      <c r="C210" s="18"/>
      <c r="Y210" s="19"/>
      <c r="AP210" s="123"/>
    </row>
    <row r="211" spans="2:42" ht="15.75" customHeight="1">
      <c r="B211" s="18"/>
      <c r="C211" s="18"/>
      <c r="Y211" s="19"/>
      <c r="AP211" s="123"/>
    </row>
    <row r="212" spans="2:42" ht="15.75" customHeight="1">
      <c r="B212" s="18"/>
      <c r="C212" s="21"/>
      <c r="Y212" s="19"/>
      <c r="AP212" s="123"/>
    </row>
    <row r="213" spans="2:42" ht="15.75" customHeight="1">
      <c r="B213" s="3"/>
      <c r="C213" s="21"/>
      <c r="Y213" s="19"/>
      <c r="AP213" s="123"/>
    </row>
    <row r="214" spans="2:42" ht="15.75" customHeight="1">
      <c r="B214" s="18"/>
      <c r="C214" s="21"/>
      <c r="Y214" s="19"/>
      <c r="AP214" s="123"/>
    </row>
    <row r="215" spans="2:42" ht="15.75" customHeight="1">
      <c r="B215" s="18"/>
      <c r="C215" s="21"/>
      <c r="Y215" s="19"/>
      <c r="AP215" s="123"/>
    </row>
    <row r="216" spans="2:42" ht="15.75" customHeight="1">
      <c r="B216" s="18"/>
      <c r="C216" s="21"/>
      <c r="Y216" s="19"/>
      <c r="AP216" s="125"/>
    </row>
    <row r="217" spans="2:42" ht="15.75" customHeight="1">
      <c r="B217" s="18"/>
      <c r="C217" s="21"/>
      <c r="Y217" s="19"/>
      <c r="AP217" s="125"/>
    </row>
    <row r="218" spans="2:42" ht="15.75" customHeight="1">
      <c r="B218" s="18"/>
      <c r="C218" s="18"/>
      <c r="Y218" s="19"/>
      <c r="AP218" s="125"/>
    </row>
    <row r="219" spans="2:42" ht="15.75" customHeight="1">
      <c r="B219" s="18"/>
      <c r="C219" s="18"/>
      <c r="Y219" s="19"/>
      <c r="AP219" s="125"/>
    </row>
    <row r="220" spans="2:42" ht="15.75" customHeight="1">
      <c r="B220" s="18"/>
      <c r="C220" s="21"/>
      <c r="Y220" s="19"/>
      <c r="AP220" s="125"/>
    </row>
    <row r="221" spans="2:42" ht="15.75" customHeight="1">
      <c r="B221" s="3"/>
      <c r="C221" s="18"/>
      <c r="Y221" s="19"/>
      <c r="AP221" s="123"/>
    </row>
    <row r="222" spans="2:42" ht="15.75" customHeight="1">
      <c r="B222" s="18"/>
      <c r="C222" s="18"/>
      <c r="Y222" s="19"/>
      <c r="AP222" s="125"/>
    </row>
    <row r="223" spans="2:42" ht="15.75" customHeight="1">
      <c r="B223" s="18"/>
      <c r="C223" s="18"/>
      <c r="Y223" s="19"/>
      <c r="AP223" s="125"/>
    </row>
    <row r="224" spans="2:42" ht="15.75" customHeight="1">
      <c r="B224" s="18"/>
      <c r="C224" s="18"/>
      <c r="Y224" s="19"/>
      <c r="AP224" s="125"/>
    </row>
    <row r="225" spans="2:42" ht="15.75" customHeight="1">
      <c r="B225" s="18"/>
      <c r="C225" s="18"/>
      <c r="Y225" s="19"/>
      <c r="AP225" s="125"/>
    </row>
    <row r="226" spans="2:42" ht="15.75" customHeight="1">
      <c r="B226" s="18"/>
      <c r="C226" s="21"/>
      <c r="Y226" s="19"/>
      <c r="AP226" s="123"/>
    </row>
    <row r="227" spans="2:42" ht="15.75" customHeight="1">
      <c r="B227" s="18"/>
      <c r="C227" s="18"/>
      <c r="Y227" s="19"/>
      <c r="AP227" s="125"/>
    </row>
    <row r="228" spans="2:42" ht="15.75" customHeight="1">
      <c r="B228" s="18"/>
      <c r="C228" s="21"/>
      <c r="Y228" s="19"/>
      <c r="AP228" s="123"/>
    </row>
    <row r="229" spans="2:42" ht="15.75" customHeight="1">
      <c r="B229" s="18"/>
      <c r="C229" s="21"/>
      <c r="Y229" s="19"/>
      <c r="AP229" s="123"/>
    </row>
    <row r="230" spans="2:42" ht="15.75" customHeight="1">
      <c r="B230" s="18"/>
      <c r="C230" s="18"/>
      <c r="Y230" s="19"/>
      <c r="AP230" s="123"/>
    </row>
    <row r="231" spans="2:42" ht="15.75" customHeight="1">
      <c r="B231" s="18"/>
      <c r="C231" s="18"/>
      <c r="Y231" s="19"/>
      <c r="AP231" s="123"/>
    </row>
    <row r="232" spans="2:42" ht="15.75" customHeight="1">
      <c r="B232" s="18"/>
      <c r="C232" s="18"/>
      <c r="Y232" s="19"/>
      <c r="AP232" s="123"/>
    </row>
    <row r="233" spans="2:42" ht="15.75" customHeight="1">
      <c r="B233" s="18"/>
      <c r="C233" s="18"/>
      <c r="Y233" s="19"/>
      <c r="AP233" s="123"/>
    </row>
    <row r="234" spans="2:42" ht="15.75" customHeight="1">
      <c r="B234" s="18"/>
      <c r="C234" s="18"/>
      <c r="Y234" s="19"/>
      <c r="AP234" s="123"/>
    </row>
    <row r="235" spans="2:42" ht="15.75" customHeight="1">
      <c r="B235" s="18"/>
      <c r="C235" s="21"/>
      <c r="Y235" s="19"/>
      <c r="AP235" s="123"/>
    </row>
    <row r="236" spans="2:42" ht="15.75" customHeight="1">
      <c r="B236" s="18"/>
      <c r="C236" s="18"/>
      <c r="Y236" s="19"/>
      <c r="AP236" s="123"/>
    </row>
    <row r="237" spans="2:42" ht="15.75" customHeight="1">
      <c r="B237" s="18"/>
      <c r="C237" s="21"/>
      <c r="D237" s="22"/>
      <c r="Y237" s="19"/>
      <c r="AP237" s="125"/>
    </row>
    <row r="238" spans="2:42" ht="15.75" customHeight="1">
      <c r="B238" s="18"/>
      <c r="C238" s="21"/>
      <c r="D238" s="22"/>
      <c r="Y238" s="19"/>
      <c r="AP238" s="123"/>
    </row>
    <row r="239" spans="2:42" ht="15.75" customHeight="1">
      <c r="B239" s="18"/>
      <c r="C239" s="18"/>
      <c r="D239" s="22"/>
      <c r="Y239" s="19"/>
      <c r="AP239" s="123"/>
    </row>
    <row r="240" spans="2:42" ht="15.75" customHeight="1">
      <c r="B240" s="18"/>
      <c r="C240" s="21"/>
      <c r="D240" s="22"/>
      <c r="Y240" s="19"/>
      <c r="AP240" s="123"/>
    </row>
    <row r="241" spans="2:42" ht="15.75" customHeight="1">
      <c r="B241" s="18"/>
      <c r="C241" s="21"/>
      <c r="D241" s="22"/>
      <c r="Y241" s="19"/>
      <c r="AP241" s="123"/>
    </row>
    <row r="242" spans="2:42" ht="15.75" customHeight="1">
      <c r="B242" s="18"/>
      <c r="C242" s="21"/>
      <c r="D242" s="22"/>
      <c r="Y242" s="19"/>
      <c r="AP242" s="123"/>
    </row>
    <row r="243" spans="2:42" ht="15.75" customHeight="1">
      <c r="B243" s="18"/>
      <c r="C243" s="18"/>
      <c r="Y243" s="19"/>
      <c r="AP243" s="123"/>
    </row>
    <row r="244" spans="2:42" ht="15.75" customHeight="1">
      <c r="B244" s="18"/>
      <c r="C244" s="18"/>
      <c r="Y244" s="19"/>
      <c r="AP244" s="123"/>
    </row>
    <row r="245" spans="2:42" ht="15.75" customHeight="1">
      <c r="B245" s="18"/>
      <c r="C245" s="18"/>
      <c r="Y245" s="19"/>
      <c r="AP245" s="123"/>
    </row>
    <row r="246" spans="2:42" ht="15.75" customHeight="1">
      <c r="B246" s="18"/>
      <c r="C246" s="21"/>
      <c r="Y246" s="19"/>
      <c r="AP246" s="123"/>
    </row>
    <row r="247" spans="2:42" ht="15.75" customHeight="1">
      <c r="B247" s="18"/>
      <c r="C247" s="18"/>
      <c r="Y247" s="19"/>
      <c r="AP247" s="123"/>
    </row>
    <row r="248" spans="2:42" ht="15.75" customHeight="1">
      <c r="B248" s="18"/>
      <c r="C248" s="21"/>
      <c r="Y248" s="19"/>
      <c r="AP248" s="123"/>
    </row>
    <row r="249" spans="2:42" ht="15.75" customHeight="1">
      <c r="B249" s="18"/>
      <c r="C249" s="21"/>
      <c r="Y249" s="19"/>
      <c r="AP249" s="125"/>
    </row>
    <row r="250" spans="2:42" ht="15.75" customHeight="1">
      <c r="B250" s="18"/>
      <c r="C250" s="18"/>
      <c r="Y250" s="19"/>
    </row>
    <row r="251" spans="2:42" ht="15.75" customHeight="1">
      <c r="B251" s="18"/>
      <c r="C251" s="18"/>
      <c r="Y251" s="19"/>
    </row>
    <row r="252" spans="2:42" ht="15.75" customHeight="1">
      <c r="B252" s="18"/>
      <c r="C252" s="18"/>
      <c r="Y252" s="19"/>
    </row>
    <row r="253" spans="2:42" ht="15.75" customHeight="1">
      <c r="B253" s="18"/>
      <c r="C253" s="21"/>
      <c r="Y253" s="19"/>
    </row>
    <row r="254" spans="2:42" ht="15.75" customHeight="1">
      <c r="B254" s="18"/>
      <c r="C254" s="21"/>
      <c r="Y254" s="19"/>
    </row>
    <row r="255" spans="2:42" ht="15.75" customHeight="1">
      <c r="B255" s="18"/>
      <c r="C255" s="21"/>
      <c r="Y255" s="19"/>
    </row>
    <row r="256" spans="2:42" ht="15.75" customHeight="1">
      <c r="B256" s="18"/>
      <c r="C256" s="21"/>
      <c r="Y256" s="19"/>
    </row>
    <row r="257" spans="2:25" ht="15.75" customHeight="1">
      <c r="B257" s="18"/>
      <c r="C257" s="21"/>
      <c r="Y257" s="19"/>
    </row>
    <row r="258" spans="2:25" ht="15.75" customHeight="1">
      <c r="B258" s="18"/>
      <c r="C258" s="18"/>
      <c r="Y258" s="19"/>
    </row>
    <row r="259" spans="2:25" ht="15.75" customHeight="1">
      <c r="B259" s="18"/>
      <c r="C259" s="18"/>
      <c r="Y259" s="19"/>
    </row>
    <row r="260" spans="2:25" ht="15.75" customHeight="1">
      <c r="B260" s="18"/>
      <c r="C260" s="21"/>
      <c r="Y260" s="19"/>
    </row>
    <row r="261" spans="2:25" ht="15.75" customHeight="1">
      <c r="B261" s="3"/>
      <c r="C261" s="18"/>
      <c r="Y261" s="19"/>
    </row>
    <row r="262" spans="2:25" ht="15.75" customHeight="1">
      <c r="B262" s="18"/>
      <c r="C262" s="21"/>
      <c r="Y262" s="19"/>
    </row>
    <row r="263" spans="2:25" ht="15.75" customHeight="1">
      <c r="B263" s="18"/>
      <c r="C263" s="21"/>
      <c r="Y263" s="19"/>
    </row>
    <row r="264" spans="2:25" ht="15.75" customHeight="1">
      <c r="B264" s="18"/>
      <c r="C264" s="21"/>
      <c r="Y264" s="19"/>
    </row>
    <row r="265" spans="2:25" ht="15.75" customHeight="1">
      <c r="B265" s="18"/>
      <c r="C265" s="18"/>
      <c r="Y265" s="19"/>
    </row>
    <row r="266" spans="2:25" ht="15.75" customHeight="1">
      <c r="B266" s="18"/>
      <c r="C266" s="21"/>
      <c r="Y266" s="19"/>
    </row>
    <row r="267" spans="2:25" ht="15.75" customHeight="1">
      <c r="B267" s="18"/>
      <c r="C267" s="21"/>
      <c r="Y267" s="19"/>
    </row>
    <row r="268" spans="2:25" ht="15.75" customHeight="1">
      <c r="B268" s="18"/>
      <c r="C268" s="21"/>
      <c r="M268" s="3"/>
      <c r="N268" s="3"/>
      <c r="O268" s="3"/>
      <c r="Y268" s="19"/>
    </row>
    <row r="269" spans="2:25" ht="15.75" customHeight="1">
      <c r="B269" s="18"/>
      <c r="C269" s="18"/>
      <c r="N269" s="3"/>
      <c r="O269" s="3"/>
      <c r="Y269" s="19"/>
    </row>
    <row r="270" spans="2:25" ht="15.75" customHeight="1">
      <c r="B270" s="3"/>
      <c r="C270" s="21"/>
      <c r="Y270" s="19"/>
    </row>
    <row r="271" spans="2:25" ht="15.75" customHeight="1">
      <c r="B271" s="18"/>
      <c r="C271" s="18"/>
      <c r="Y271" s="19"/>
    </row>
    <row r="272" spans="2:25" ht="15.75" customHeight="1">
      <c r="B272" s="18"/>
      <c r="C272" s="18"/>
      <c r="Y272" s="19"/>
    </row>
    <row r="273" spans="2:25" ht="15.75" customHeight="1">
      <c r="B273" s="18"/>
      <c r="C273" s="21"/>
      <c r="Y273" s="19"/>
    </row>
    <row r="274" spans="2:25" ht="15.75" customHeight="1">
      <c r="B274" s="18"/>
      <c r="C274" s="18"/>
      <c r="M274" s="3"/>
      <c r="N274" s="3"/>
      <c r="O274" s="3"/>
      <c r="Y274" s="19"/>
    </row>
    <row r="275" spans="2:25" ht="15.75" customHeight="1">
      <c r="Y275" s="19"/>
    </row>
    <row r="276" spans="2:25" ht="15.75" customHeight="1">
      <c r="Y276" s="19"/>
    </row>
    <row r="277" spans="2:25" ht="15.75" customHeight="1">
      <c r="Y277" s="19"/>
    </row>
    <row r="278" spans="2:25" ht="15.75" customHeight="1">
      <c r="Y278" s="19"/>
    </row>
    <row r="279" spans="2:25" ht="15.75" customHeight="1">
      <c r="Y279" s="19"/>
    </row>
    <row r="280" spans="2:25" ht="15.75" customHeight="1">
      <c r="Y280" s="19"/>
    </row>
    <row r="281" spans="2:25" ht="15.75" customHeight="1">
      <c r="Y281" s="19"/>
    </row>
    <row r="282" spans="2:25" ht="15.75" customHeight="1">
      <c r="Y282" s="19"/>
    </row>
    <row r="283" spans="2:25" ht="15.75" customHeight="1">
      <c r="Y283" s="19"/>
    </row>
    <row r="284" spans="2:25" ht="15.75" customHeight="1">
      <c r="Y284" s="19"/>
    </row>
    <row r="285" spans="2:25" ht="15.75" customHeight="1">
      <c r="Y285" s="19"/>
    </row>
    <row r="286" spans="2:25" ht="15.75" customHeight="1">
      <c r="Y286" s="19"/>
    </row>
    <row r="287" spans="2:25" ht="15.75" customHeight="1">
      <c r="Y287" s="19"/>
    </row>
    <row r="288" spans="2:25" ht="15.75" customHeight="1">
      <c r="Y288" s="19"/>
    </row>
    <row r="289" spans="25:25" ht="15.75" customHeight="1">
      <c r="Y289" s="19"/>
    </row>
    <row r="290" spans="25:25" ht="15.75" customHeight="1">
      <c r="Y290" s="19"/>
    </row>
    <row r="291" spans="25:25" ht="15.75" customHeight="1">
      <c r="Y291" s="19"/>
    </row>
    <row r="292" spans="25:25" ht="15.75" customHeight="1">
      <c r="Y292" s="19"/>
    </row>
    <row r="293" spans="25:25" ht="15.75" customHeight="1">
      <c r="Y293" s="19"/>
    </row>
    <row r="294" spans="25:25" ht="15.75" customHeight="1">
      <c r="Y294" s="19"/>
    </row>
    <row r="295" spans="25:25" ht="15.75" customHeight="1">
      <c r="Y295" s="19"/>
    </row>
    <row r="296" spans="25:25" ht="15.75" customHeight="1">
      <c r="Y296" s="19"/>
    </row>
    <row r="297" spans="25:25" ht="15.75" customHeight="1">
      <c r="Y297" s="19"/>
    </row>
    <row r="298" spans="25:25" ht="15.75" customHeight="1">
      <c r="Y298" s="19"/>
    </row>
    <row r="299" spans="25:25" ht="15.75" customHeight="1">
      <c r="Y299" s="19"/>
    </row>
    <row r="300" spans="25:25" ht="15.75" customHeight="1">
      <c r="Y300" s="19"/>
    </row>
    <row r="301" spans="25:25" ht="15.75" customHeight="1">
      <c r="Y301" s="19"/>
    </row>
    <row r="302" spans="25:25" ht="15.75" customHeight="1">
      <c r="Y302" s="19"/>
    </row>
    <row r="303" spans="25:25" ht="15.75" customHeight="1">
      <c r="Y303" s="19"/>
    </row>
    <row r="304" spans="25:25" ht="15.75" customHeight="1">
      <c r="Y304" s="19"/>
    </row>
    <row r="305" spans="25:25" ht="15.75" customHeight="1">
      <c r="Y305" s="19"/>
    </row>
    <row r="306" spans="25:25" ht="15.75" customHeight="1">
      <c r="Y306" s="19"/>
    </row>
    <row r="307" spans="25:25" ht="15.75" customHeight="1">
      <c r="Y307" s="19"/>
    </row>
    <row r="308" spans="25:25" ht="15.75" customHeight="1">
      <c r="Y308" s="19"/>
    </row>
    <row r="309" spans="25:25" ht="15.75" customHeight="1">
      <c r="Y309" s="19"/>
    </row>
    <row r="310" spans="25:25" ht="15.75" customHeight="1">
      <c r="Y310" s="19"/>
    </row>
    <row r="311" spans="25:25" ht="15.75" customHeight="1">
      <c r="Y311" s="19"/>
    </row>
    <row r="312" spans="25:25" ht="15.75" customHeight="1">
      <c r="Y312" s="19"/>
    </row>
    <row r="313" spans="25:25" ht="15.75" customHeight="1">
      <c r="Y313" s="19"/>
    </row>
    <row r="314" spans="25:25" ht="15.75" customHeight="1">
      <c r="Y314" s="19"/>
    </row>
    <row r="315" spans="25:25" ht="15.75" customHeight="1">
      <c r="Y315" s="19"/>
    </row>
    <row r="316" spans="25:25" ht="15.75" customHeight="1">
      <c r="Y316" s="19"/>
    </row>
    <row r="317" spans="25:25" ht="15.75" customHeight="1">
      <c r="Y317" s="19"/>
    </row>
    <row r="318" spans="25:25" ht="15.75" customHeight="1">
      <c r="Y318" s="19"/>
    </row>
    <row r="319" spans="25:25" ht="15.75" customHeight="1">
      <c r="Y319" s="19"/>
    </row>
    <row r="320" spans="25:25" ht="15.75" customHeight="1">
      <c r="Y320" s="19"/>
    </row>
    <row r="321" spans="25:25" ht="15.75" customHeight="1">
      <c r="Y321" s="19"/>
    </row>
    <row r="322" spans="25:25" ht="15.75" customHeight="1">
      <c r="Y322" s="19"/>
    </row>
    <row r="323" spans="25:25" ht="15.75" customHeight="1">
      <c r="Y323" s="19"/>
    </row>
    <row r="324" spans="25:25" ht="15.75" customHeight="1">
      <c r="Y324" s="19"/>
    </row>
    <row r="325" spans="25:25" ht="15.75" customHeight="1">
      <c r="Y325" s="19"/>
    </row>
    <row r="326" spans="25:25" ht="15.75" customHeight="1">
      <c r="Y326" s="19"/>
    </row>
    <row r="327" spans="25:25" ht="15.75" customHeight="1">
      <c r="Y327" s="19"/>
    </row>
    <row r="328" spans="25:25" ht="15.75" customHeight="1">
      <c r="Y328" s="19"/>
    </row>
    <row r="329" spans="25:25" ht="15.75" customHeight="1">
      <c r="Y329" s="19"/>
    </row>
    <row r="330" spans="25:25" ht="15.75" customHeight="1">
      <c r="Y330" s="19"/>
    </row>
    <row r="331" spans="25:25" ht="15.75" customHeight="1">
      <c r="Y331" s="19"/>
    </row>
    <row r="332" spans="25:25" ht="15.75" customHeight="1">
      <c r="Y332" s="19"/>
    </row>
    <row r="333" spans="25:25" ht="15.75" customHeight="1">
      <c r="Y333" s="19"/>
    </row>
    <row r="334" spans="25:25" ht="15.75" customHeight="1">
      <c r="Y334" s="19"/>
    </row>
    <row r="335" spans="25:25" ht="15.75" customHeight="1">
      <c r="Y335" s="19"/>
    </row>
    <row r="336" spans="25:25" ht="15.75" customHeight="1">
      <c r="Y336" s="19"/>
    </row>
    <row r="337" spans="25:25" ht="15.75" customHeight="1">
      <c r="Y337" s="19"/>
    </row>
    <row r="338" spans="25:25" ht="15.75" customHeight="1">
      <c r="Y338" s="19"/>
    </row>
    <row r="339" spans="25:25" ht="15.75" customHeight="1">
      <c r="Y339" s="19"/>
    </row>
    <row r="340" spans="25:25" ht="15.75" customHeight="1">
      <c r="Y340" s="19"/>
    </row>
    <row r="341" spans="25:25" ht="15.75" customHeight="1">
      <c r="Y341" s="19"/>
    </row>
    <row r="342" spans="25:25" ht="15.75" customHeight="1">
      <c r="Y342" s="19"/>
    </row>
    <row r="343" spans="25:25" ht="15.75" customHeight="1">
      <c r="Y343" s="19"/>
    </row>
    <row r="344" spans="25:25" ht="15.75" customHeight="1">
      <c r="Y344" s="19"/>
    </row>
    <row r="345" spans="25:25" ht="15.75" customHeight="1">
      <c r="Y345" s="19"/>
    </row>
    <row r="346" spans="25:25" ht="15.75" customHeight="1">
      <c r="Y346" s="19"/>
    </row>
    <row r="347" spans="25:25" ht="15.75" customHeight="1">
      <c r="Y347" s="19"/>
    </row>
    <row r="348" spans="25:25" ht="15.75" customHeight="1">
      <c r="Y348" s="19"/>
    </row>
    <row r="349" spans="25:25" ht="15.75" customHeight="1">
      <c r="Y349" s="19"/>
    </row>
    <row r="350" spans="25:25" ht="15.75" customHeight="1">
      <c r="Y350" s="19"/>
    </row>
    <row r="351" spans="25:25" ht="15.75" customHeight="1">
      <c r="Y351" s="19"/>
    </row>
    <row r="352" spans="25:25" ht="15.75" customHeight="1">
      <c r="Y352" s="19"/>
    </row>
    <row r="353" spans="25:25" ht="15.75" customHeight="1">
      <c r="Y353" s="19"/>
    </row>
    <row r="354" spans="25:25" ht="15.75" customHeight="1">
      <c r="Y354" s="19"/>
    </row>
    <row r="355" spans="25:25" ht="15.75" customHeight="1">
      <c r="Y355" s="19"/>
    </row>
    <row r="356" spans="25:25" ht="15.75" customHeight="1">
      <c r="Y356" s="19"/>
    </row>
    <row r="357" spans="25:25" ht="15.75" customHeight="1">
      <c r="Y357" s="19"/>
    </row>
    <row r="358" spans="25:25" ht="15.75" customHeight="1">
      <c r="Y358" s="19"/>
    </row>
    <row r="359" spans="25:25" ht="15.75" customHeight="1">
      <c r="Y359" s="19"/>
    </row>
    <row r="360" spans="25:25" ht="15.75" customHeight="1">
      <c r="Y360" s="19"/>
    </row>
    <row r="361" spans="25:25" ht="15.75" customHeight="1">
      <c r="Y361" s="19"/>
    </row>
    <row r="362" spans="25:25" ht="15.75" customHeight="1">
      <c r="Y362" s="19"/>
    </row>
    <row r="363" spans="25:25" ht="15.75" customHeight="1">
      <c r="Y363" s="19"/>
    </row>
    <row r="364" spans="25:25" ht="15.75" customHeight="1">
      <c r="Y364" s="19"/>
    </row>
    <row r="365" spans="25:25" ht="15.75" customHeight="1">
      <c r="Y365" s="19"/>
    </row>
    <row r="366" spans="25:25" ht="15.75" customHeight="1">
      <c r="Y366" s="19"/>
    </row>
    <row r="367" spans="25:25" ht="15.75" customHeight="1">
      <c r="Y367" s="19"/>
    </row>
    <row r="368" spans="25:25" ht="15.75" customHeight="1">
      <c r="Y368" s="19"/>
    </row>
    <row r="369" spans="25:25" ht="15.75" customHeight="1">
      <c r="Y369" s="19"/>
    </row>
    <row r="370" spans="25:25" ht="15.75" customHeight="1">
      <c r="Y370" s="19"/>
    </row>
    <row r="371" spans="25:25" ht="15.75" customHeight="1">
      <c r="Y371" s="19"/>
    </row>
    <row r="372" spans="25:25" ht="15.75" customHeight="1">
      <c r="Y372" s="19"/>
    </row>
    <row r="373" spans="25:25" ht="15.75" customHeight="1">
      <c r="Y373" s="19"/>
    </row>
    <row r="374" spans="25:25" ht="15.75" customHeight="1">
      <c r="Y374" s="19"/>
    </row>
    <row r="375" spans="25:25" ht="15.75" customHeight="1">
      <c r="Y375" s="19"/>
    </row>
    <row r="376" spans="25:25" ht="15.75" customHeight="1">
      <c r="Y376" s="19"/>
    </row>
    <row r="377" spans="25:25" ht="15.75" customHeight="1">
      <c r="Y377" s="19"/>
    </row>
    <row r="378" spans="25:25" ht="15.75" customHeight="1">
      <c r="Y378" s="19"/>
    </row>
    <row r="379" spans="25:25" ht="15.75" customHeight="1">
      <c r="Y379" s="19"/>
    </row>
    <row r="380" spans="25:25" ht="15.75" customHeight="1">
      <c r="Y380" s="19"/>
    </row>
    <row r="381" spans="25:25" ht="15.75" customHeight="1">
      <c r="Y381" s="19"/>
    </row>
    <row r="382" spans="25:25" ht="15.75" customHeight="1">
      <c r="Y382" s="19"/>
    </row>
    <row r="383" spans="25:25" ht="15.75" customHeight="1">
      <c r="Y383" s="19"/>
    </row>
    <row r="384" spans="25:25" ht="15.75" customHeight="1">
      <c r="Y384" s="19"/>
    </row>
    <row r="385" spans="25:25" ht="15.75" customHeight="1">
      <c r="Y385" s="19"/>
    </row>
    <row r="386" spans="25:25" ht="15.75" customHeight="1">
      <c r="Y386" s="19"/>
    </row>
    <row r="387" spans="25:25" ht="15.75" customHeight="1">
      <c r="Y387" s="19"/>
    </row>
    <row r="388" spans="25:25" ht="15.75" customHeight="1">
      <c r="Y388" s="19"/>
    </row>
    <row r="389" spans="25:25" ht="15.75" customHeight="1">
      <c r="Y389" s="19"/>
    </row>
    <row r="390" spans="25:25" ht="15.75" customHeight="1">
      <c r="Y390" s="19"/>
    </row>
    <row r="391" spans="25:25" ht="15.75" customHeight="1">
      <c r="Y391" s="19"/>
    </row>
    <row r="392" spans="25:25" ht="15.75" customHeight="1">
      <c r="Y392" s="19"/>
    </row>
    <row r="393" spans="25:25" ht="15.75" customHeight="1">
      <c r="Y393" s="19"/>
    </row>
    <row r="394" spans="25:25" ht="15.75" customHeight="1">
      <c r="Y394" s="19"/>
    </row>
    <row r="395" spans="25:25" ht="15.75" customHeight="1">
      <c r="Y395" s="19"/>
    </row>
    <row r="396" spans="25:25" ht="15.75" customHeight="1">
      <c r="Y396" s="19"/>
    </row>
    <row r="397" spans="25:25" ht="15.75" customHeight="1">
      <c r="Y397" s="19"/>
    </row>
    <row r="398" spans="25:25" ht="15.75" customHeight="1">
      <c r="Y398" s="19"/>
    </row>
    <row r="399" spans="25:25" ht="15.75" customHeight="1">
      <c r="Y399" s="19"/>
    </row>
    <row r="400" spans="25:25" ht="15.75" customHeight="1">
      <c r="Y400" s="19"/>
    </row>
    <row r="401" spans="25:25" ht="15.75" customHeight="1">
      <c r="Y401" s="19"/>
    </row>
    <row r="402" spans="25:25" ht="15.75" customHeight="1">
      <c r="Y402" s="19"/>
    </row>
    <row r="403" spans="25:25" ht="15.75" customHeight="1">
      <c r="Y403" s="19"/>
    </row>
    <row r="404" spans="25:25" ht="15.75" customHeight="1">
      <c r="Y404" s="19"/>
    </row>
    <row r="405" spans="25:25" ht="15.75" customHeight="1">
      <c r="Y405" s="19"/>
    </row>
    <row r="406" spans="25:25" ht="15.75" customHeight="1">
      <c r="Y406" s="19"/>
    </row>
    <row r="407" spans="25:25" ht="15.75" customHeight="1">
      <c r="Y407" s="19"/>
    </row>
    <row r="408" spans="25:25" ht="15.75" customHeight="1">
      <c r="Y408" s="19"/>
    </row>
    <row r="409" spans="25:25" ht="15.75" customHeight="1">
      <c r="Y409" s="19"/>
    </row>
    <row r="410" spans="25:25" ht="15.75" customHeight="1">
      <c r="Y410" s="19"/>
    </row>
    <row r="411" spans="25:25" ht="15.75" customHeight="1">
      <c r="Y411" s="19"/>
    </row>
    <row r="412" spans="25:25" ht="15.75" customHeight="1">
      <c r="Y412" s="19"/>
    </row>
    <row r="413" spans="25:25" ht="15.75" customHeight="1">
      <c r="Y413" s="19"/>
    </row>
    <row r="414" spans="25:25" ht="15.75" customHeight="1">
      <c r="Y414" s="19"/>
    </row>
    <row r="415" spans="25:25" ht="15.75" customHeight="1">
      <c r="Y415" s="19"/>
    </row>
    <row r="416" spans="25:25" ht="15.75" customHeight="1">
      <c r="Y416" s="19"/>
    </row>
    <row r="417" spans="25:25" ht="15.75" customHeight="1">
      <c r="Y417" s="19"/>
    </row>
    <row r="418" spans="25:25" ht="15.75" customHeight="1">
      <c r="Y418" s="19"/>
    </row>
    <row r="419" spans="25:25" ht="15.75" customHeight="1">
      <c r="Y419" s="19"/>
    </row>
    <row r="420" spans="25:25" ht="15.75" customHeight="1">
      <c r="Y420" s="19"/>
    </row>
    <row r="421" spans="25:25" ht="15.75" customHeight="1">
      <c r="Y421" s="19"/>
    </row>
    <row r="422" spans="25:25" ht="15.75" customHeight="1">
      <c r="Y422" s="19"/>
    </row>
    <row r="423" spans="25:25" ht="15.75" customHeight="1">
      <c r="Y423" s="19"/>
    </row>
    <row r="424" spans="25:25" ht="15.75" customHeight="1">
      <c r="Y424" s="19"/>
    </row>
    <row r="425" spans="25:25" ht="15.75" customHeight="1">
      <c r="Y425" s="19"/>
    </row>
    <row r="426" spans="25:25" ht="15.75" customHeight="1">
      <c r="Y426" s="19"/>
    </row>
    <row r="427" spans="25:25" ht="15.75" customHeight="1">
      <c r="Y427" s="19"/>
    </row>
    <row r="428" spans="25:25" ht="15.75" customHeight="1">
      <c r="Y428" s="19"/>
    </row>
    <row r="429" spans="25:25" ht="15.75" customHeight="1">
      <c r="Y429" s="19"/>
    </row>
    <row r="430" spans="25:25" ht="15.75" customHeight="1">
      <c r="Y430" s="19"/>
    </row>
    <row r="431" spans="25:25" ht="15.75" customHeight="1">
      <c r="Y431" s="19"/>
    </row>
    <row r="432" spans="25:25" ht="15.75" customHeight="1">
      <c r="Y432" s="19"/>
    </row>
    <row r="433" spans="25:25" ht="15.75" customHeight="1">
      <c r="Y433" s="19"/>
    </row>
    <row r="434" spans="25:25" ht="15.75" customHeight="1">
      <c r="Y434" s="19"/>
    </row>
    <row r="435" spans="25:25" ht="15.75" customHeight="1">
      <c r="Y435" s="19"/>
    </row>
    <row r="436" spans="25:25" ht="15.75" customHeight="1">
      <c r="Y436" s="19"/>
    </row>
    <row r="437" spans="25:25" ht="15.75" customHeight="1">
      <c r="Y437" s="19"/>
    </row>
    <row r="438" spans="25:25" ht="15.75" customHeight="1">
      <c r="Y438" s="19"/>
    </row>
    <row r="439" spans="25:25" ht="15.75" customHeight="1">
      <c r="Y439" s="19"/>
    </row>
    <row r="440" spans="25:25" ht="15.75" customHeight="1">
      <c r="Y440" s="19"/>
    </row>
    <row r="441" spans="25:25" ht="15.75" customHeight="1">
      <c r="Y441" s="19"/>
    </row>
    <row r="442" spans="25:25" ht="15.75" customHeight="1">
      <c r="Y442" s="19"/>
    </row>
    <row r="443" spans="25:25" ht="15.75" customHeight="1">
      <c r="Y443" s="19"/>
    </row>
    <row r="444" spans="25:25" ht="15.75" customHeight="1">
      <c r="Y444" s="19"/>
    </row>
    <row r="445" spans="25:25" ht="15.75" customHeight="1">
      <c r="Y445" s="19"/>
    </row>
    <row r="446" spans="25:25" ht="15.75" customHeight="1">
      <c r="Y446" s="19"/>
    </row>
    <row r="447" spans="25:25" ht="15.75" customHeight="1">
      <c r="Y447" s="19"/>
    </row>
    <row r="448" spans="25:25" ht="15.75" customHeight="1">
      <c r="Y448" s="19"/>
    </row>
    <row r="449" spans="25:25" ht="15.75" customHeight="1">
      <c r="Y449" s="19"/>
    </row>
    <row r="450" spans="25:25" ht="15.75" customHeight="1">
      <c r="Y450" s="19"/>
    </row>
    <row r="451" spans="25:25" ht="15.75" customHeight="1">
      <c r="Y451" s="19"/>
    </row>
    <row r="452" spans="25:25" ht="15.75" customHeight="1">
      <c r="Y452" s="19"/>
    </row>
    <row r="453" spans="25:25" ht="15.75" customHeight="1">
      <c r="Y453" s="19"/>
    </row>
    <row r="454" spans="25:25" ht="15.75" customHeight="1">
      <c r="Y454" s="19"/>
    </row>
    <row r="455" spans="25:25" ht="15.75" customHeight="1">
      <c r="Y455" s="19"/>
    </row>
    <row r="456" spans="25:25" ht="15.75" customHeight="1">
      <c r="Y456" s="19"/>
    </row>
    <row r="457" spans="25:25" ht="15.75" customHeight="1">
      <c r="Y457" s="19"/>
    </row>
    <row r="458" spans="25:25" ht="15.75" customHeight="1">
      <c r="Y458" s="19"/>
    </row>
    <row r="459" spans="25:25" ht="15.75" customHeight="1">
      <c r="Y459" s="19"/>
    </row>
    <row r="460" spans="25:25" ht="15.75" customHeight="1">
      <c r="Y460" s="19"/>
    </row>
    <row r="461" spans="25:25" ht="15.75" customHeight="1">
      <c r="Y461" s="19"/>
    </row>
    <row r="462" spans="25:25" ht="15.75" customHeight="1">
      <c r="Y462" s="19"/>
    </row>
    <row r="463" spans="25:25" ht="15.75" customHeight="1">
      <c r="Y463" s="19"/>
    </row>
    <row r="464" spans="25:25" ht="15.75" customHeight="1">
      <c r="Y464" s="19"/>
    </row>
    <row r="465" spans="25:25" ht="15.75" customHeight="1">
      <c r="Y465" s="19"/>
    </row>
    <row r="466" spans="25:25" ht="15.75" customHeight="1">
      <c r="Y466" s="19"/>
    </row>
    <row r="467" spans="25:25" ht="15.75" customHeight="1">
      <c r="Y467" s="19"/>
    </row>
    <row r="468" spans="25:25" ht="15.75" customHeight="1">
      <c r="Y468" s="19"/>
    </row>
    <row r="469" spans="25:25" ht="15.75" customHeight="1">
      <c r="Y469" s="19"/>
    </row>
    <row r="470" spans="25:25" ht="15.75" customHeight="1">
      <c r="Y470" s="19"/>
    </row>
    <row r="471" spans="25:25" ht="15.75" customHeight="1">
      <c r="Y471" s="19"/>
    </row>
    <row r="472" spans="25:25" ht="15.75" customHeight="1">
      <c r="Y472" s="19"/>
    </row>
    <row r="473" spans="25:25" ht="15.75" customHeight="1">
      <c r="Y473" s="19"/>
    </row>
    <row r="474" spans="25:25" ht="15.75" customHeight="1">
      <c r="Y474" s="19"/>
    </row>
    <row r="475" spans="25:25" ht="15.75" customHeight="1">
      <c r="Y475" s="19"/>
    </row>
    <row r="476" spans="25:25" ht="15.75" customHeight="1">
      <c r="Y476" s="19"/>
    </row>
    <row r="477" spans="25:25" ht="15.75" customHeight="1">
      <c r="Y477" s="19"/>
    </row>
    <row r="478" spans="25:25" ht="15.75" customHeight="1">
      <c r="Y478" s="19"/>
    </row>
    <row r="479" spans="25:25" ht="15.75" customHeight="1">
      <c r="Y479" s="19"/>
    </row>
    <row r="480" spans="25:25" ht="15.75" customHeight="1">
      <c r="Y480" s="19"/>
    </row>
    <row r="481" spans="25:25" ht="15.75" customHeight="1">
      <c r="Y481" s="19"/>
    </row>
    <row r="482" spans="25:25" ht="15.75" customHeight="1">
      <c r="Y482" s="19"/>
    </row>
    <row r="483" spans="25:25" ht="15.75" customHeight="1">
      <c r="Y483" s="19"/>
    </row>
    <row r="484" spans="25:25" ht="15.75" customHeight="1">
      <c r="Y484" s="19"/>
    </row>
    <row r="485" spans="25:25" ht="15.75" customHeight="1">
      <c r="Y485" s="19"/>
    </row>
    <row r="486" spans="25:25" ht="15.75" customHeight="1">
      <c r="Y486" s="19"/>
    </row>
    <row r="487" spans="25:25" ht="15.75" customHeight="1">
      <c r="Y487" s="19"/>
    </row>
    <row r="488" spans="25:25" ht="15.75" customHeight="1">
      <c r="Y488" s="19"/>
    </row>
    <row r="489" spans="25:25" ht="15.75" customHeight="1">
      <c r="Y489" s="19"/>
    </row>
    <row r="490" spans="25:25" ht="15.75" customHeight="1">
      <c r="Y490" s="19"/>
    </row>
    <row r="491" spans="25:25" ht="15.75" customHeight="1">
      <c r="Y491" s="19"/>
    </row>
    <row r="492" spans="25:25" ht="15.75" customHeight="1">
      <c r="Y492" s="19"/>
    </row>
    <row r="493" spans="25:25" ht="15.75" customHeight="1">
      <c r="Y493" s="19"/>
    </row>
    <row r="494" spans="25:25" ht="15.75" customHeight="1">
      <c r="Y494" s="19"/>
    </row>
    <row r="495" spans="25:25" ht="15.75" customHeight="1">
      <c r="Y495" s="19"/>
    </row>
    <row r="496" spans="25:25" ht="15.75" customHeight="1">
      <c r="Y496" s="19"/>
    </row>
    <row r="497" spans="25:25" ht="15.75" customHeight="1">
      <c r="Y497" s="19"/>
    </row>
    <row r="498" spans="25:25" ht="15.75" customHeight="1">
      <c r="Y498" s="19"/>
    </row>
    <row r="499" spans="25:25" ht="15.75" customHeight="1">
      <c r="Y499" s="19"/>
    </row>
    <row r="500" spans="25:25" ht="15.75" customHeight="1">
      <c r="Y500" s="19"/>
    </row>
    <row r="501" spans="25:25" ht="15.75" customHeight="1">
      <c r="Y501" s="19"/>
    </row>
    <row r="502" spans="25:25" ht="15.75" customHeight="1">
      <c r="Y502" s="19"/>
    </row>
    <row r="503" spans="25:25" ht="15.75" customHeight="1">
      <c r="Y503" s="19"/>
    </row>
    <row r="504" spans="25:25" ht="15.75" customHeight="1">
      <c r="Y504" s="19"/>
    </row>
    <row r="505" spans="25:25" ht="15.75" customHeight="1">
      <c r="Y505" s="19"/>
    </row>
    <row r="506" spans="25:25" ht="15.75" customHeight="1">
      <c r="Y506" s="19"/>
    </row>
    <row r="507" spans="25:25" ht="15.75" customHeight="1">
      <c r="Y507" s="19"/>
    </row>
    <row r="508" spans="25:25" ht="15.75" customHeight="1">
      <c r="Y508" s="19"/>
    </row>
    <row r="509" spans="25:25" ht="15.75" customHeight="1">
      <c r="Y509" s="19"/>
    </row>
    <row r="510" spans="25:25" ht="15.75" customHeight="1">
      <c r="Y510" s="19"/>
    </row>
    <row r="511" spans="25:25" ht="15.75" customHeight="1">
      <c r="Y511" s="19"/>
    </row>
    <row r="512" spans="25:25" ht="15.75" customHeight="1">
      <c r="Y512" s="19"/>
    </row>
    <row r="513" spans="25:25" ht="15.75" customHeight="1">
      <c r="Y513" s="19"/>
    </row>
    <row r="514" spans="25:25" ht="15.75" customHeight="1">
      <c r="Y514" s="19"/>
    </row>
    <row r="515" spans="25:25" ht="15.75" customHeight="1">
      <c r="Y515" s="19"/>
    </row>
    <row r="516" spans="25:25" ht="15.75" customHeight="1">
      <c r="Y516" s="19"/>
    </row>
    <row r="517" spans="25:25" ht="15.75" customHeight="1">
      <c r="Y517" s="19"/>
    </row>
    <row r="518" spans="25:25" ht="15.75" customHeight="1">
      <c r="Y518" s="19"/>
    </row>
    <row r="519" spans="25:25" ht="15.75" customHeight="1">
      <c r="Y519" s="19"/>
    </row>
    <row r="520" spans="25:25" ht="15.75" customHeight="1">
      <c r="Y520" s="19"/>
    </row>
    <row r="521" spans="25:25" ht="15.75" customHeight="1">
      <c r="Y521" s="19"/>
    </row>
    <row r="522" spans="25:25" ht="15.75" customHeight="1">
      <c r="Y522" s="19"/>
    </row>
    <row r="523" spans="25:25" ht="15.75" customHeight="1">
      <c r="Y523" s="19"/>
    </row>
    <row r="524" spans="25:25" ht="15.75" customHeight="1">
      <c r="Y524" s="19"/>
    </row>
    <row r="525" spans="25:25" ht="15.75" customHeight="1">
      <c r="Y525" s="19"/>
    </row>
    <row r="526" spans="25:25" ht="15.75" customHeight="1">
      <c r="Y526" s="19"/>
    </row>
    <row r="527" spans="25:25" ht="15.75" customHeight="1">
      <c r="Y527" s="19"/>
    </row>
    <row r="528" spans="25:25" ht="15.75" customHeight="1">
      <c r="Y528" s="19"/>
    </row>
    <row r="529" spans="25:25" ht="15.75" customHeight="1">
      <c r="Y529" s="19"/>
    </row>
    <row r="530" spans="25:25" ht="15.75" customHeight="1">
      <c r="Y530" s="19"/>
    </row>
    <row r="531" spans="25:25" ht="15.75" customHeight="1">
      <c r="Y531" s="19"/>
    </row>
    <row r="532" spans="25:25" ht="15.75" customHeight="1">
      <c r="Y532" s="19"/>
    </row>
    <row r="533" spans="25:25" ht="15.75" customHeight="1">
      <c r="Y533" s="19"/>
    </row>
    <row r="534" spans="25:25" ht="15.75" customHeight="1">
      <c r="Y534" s="19"/>
    </row>
    <row r="535" spans="25:25" ht="15.75" customHeight="1">
      <c r="Y535" s="19"/>
    </row>
    <row r="536" spans="25:25" ht="15.75" customHeight="1">
      <c r="Y536" s="19"/>
    </row>
    <row r="537" spans="25:25" ht="15.75" customHeight="1">
      <c r="Y537" s="19"/>
    </row>
    <row r="538" spans="25:25" ht="15.75" customHeight="1">
      <c r="Y538" s="19"/>
    </row>
    <row r="539" spans="25:25" ht="15.75" customHeight="1">
      <c r="Y539" s="19"/>
    </row>
    <row r="540" spans="25:25" ht="15.75" customHeight="1">
      <c r="Y540" s="19"/>
    </row>
    <row r="541" spans="25:25" ht="15.75" customHeight="1">
      <c r="Y541" s="19"/>
    </row>
    <row r="542" spans="25:25" ht="15.75" customHeight="1">
      <c r="Y542" s="19"/>
    </row>
    <row r="543" spans="25:25" ht="15.75" customHeight="1">
      <c r="Y543" s="19"/>
    </row>
    <row r="544" spans="25:25" ht="15.75" customHeight="1">
      <c r="Y544" s="19"/>
    </row>
    <row r="545" spans="25:25" ht="15.75" customHeight="1">
      <c r="Y545" s="19"/>
    </row>
    <row r="546" spans="25:25" ht="15.75" customHeight="1">
      <c r="Y546" s="19"/>
    </row>
    <row r="547" spans="25:25" ht="15.75" customHeight="1">
      <c r="Y547" s="19"/>
    </row>
    <row r="548" spans="25:25" ht="15.75" customHeight="1">
      <c r="Y548" s="19"/>
    </row>
    <row r="549" spans="25:25" ht="15.75" customHeight="1">
      <c r="Y549" s="19"/>
    </row>
    <row r="550" spans="25:25" ht="15.75" customHeight="1">
      <c r="Y550" s="19"/>
    </row>
    <row r="551" spans="25:25" ht="15.75" customHeight="1">
      <c r="Y551" s="19"/>
    </row>
    <row r="552" spans="25:25" ht="15.75" customHeight="1">
      <c r="Y552" s="19"/>
    </row>
    <row r="553" spans="25:25" ht="15.75" customHeight="1">
      <c r="Y553" s="19"/>
    </row>
    <row r="554" spans="25:25" ht="15.75" customHeight="1">
      <c r="Y554" s="19"/>
    </row>
    <row r="555" spans="25:25" ht="15.75" customHeight="1">
      <c r="Y555" s="19"/>
    </row>
    <row r="556" spans="25:25" ht="15.75" customHeight="1">
      <c r="Y556" s="19"/>
    </row>
    <row r="557" spans="25:25" ht="15.75" customHeight="1">
      <c r="Y557" s="19"/>
    </row>
    <row r="558" spans="25:25" ht="15.75" customHeight="1">
      <c r="Y558" s="19"/>
    </row>
    <row r="559" spans="25:25" ht="15.75" customHeight="1">
      <c r="Y559" s="19"/>
    </row>
    <row r="560" spans="25:25" ht="15.75" customHeight="1">
      <c r="Y560" s="19"/>
    </row>
    <row r="561" spans="25:25" ht="15.75" customHeight="1">
      <c r="Y561" s="19"/>
    </row>
    <row r="562" spans="25:25" ht="15.75" customHeight="1">
      <c r="Y562" s="19"/>
    </row>
    <row r="563" spans="25:25" ht="15.75" customHeight="1">
      <c r="Y563" s="19"/>
    </row>
    <row r="564" spans="25:25" ht="15.75" customHeight="1">
      <c r="Y564" s="19"/>
    </row>
    <row r="565" spans="25:25" ht="15.75" customHeight="1">
      <c r="Y565" s="19"/>
    </row>
    <row r="566" spans="25:25" ht="15.75" customHeight="1">
      <c r="Y566" s="19"/>
    </row>
    <row r="567" spans="25:25" ht="15.75" customHeight="1">
      <c r="Y567" s="19"/>
    </row>
    <row r="568" spans="25:25" ht="15.75" customHeight="1">
      <c r="Y568" s="19"/>
    </row>
    <row r="569" spans="25:25" ht="15.75" customHeight="1">
      <c r="Y569" s="19"/>
    </row>
    <row r="570" spans="25:25" ht="15.75" customHeight="1">
      <c r="Y570" s="19"/>
    </row>
    <row r="571" spans="25:25" ht="15.75" customHeight="1">
      <c r="Y571" s="19"/>
    </row>
    <row r="572" spans="25:25" ht="15.75" customHeight="1">
      <c r="Y572" s="19"/>
    </row>
    <row r="573" spans="25:25" ht="15.75" customHeight="1">
      <c r="Y573" s="19"/>
    </row>
    <row r="574" spans="25:25" ht="15.75" customHeight="1">
      <c r="Y574" s="19"/>
    </row>
    <row r="575" spans="25:25" ht="15.75" customHeight="1">
      <c r="Y575" s="19"/>
    </row>
    <row r="576" spans="25:25" ht="15.75" customHeight="1">
      <c r="Y576" s="19"/>
    </row>
    <row r="577" spans="25:25" ht="15.75" customHeight="1">
      <c r="Y577" s="19"/>
    </row>
    <row r="578" spans="25:25" ht="15.75" customHeight="1">
      <c r="Y578" s="19"/>
    </row>
    <row r="579" spans="25:25" ht="15.75" customHeight="1">
      <c r="Y579" s="19"/>
    </row>
    <row r="580" spans="25:25" ht="15.75" customHeight="1">
      <c r="Y580" s="19"/>
    </row>
    <row r="581" spans="25:25" ht="15.75" customHeight="1">
      <c r="Y581" s="19"/>
    </row>
    <row r="582" spans="25:25" ht="15.75" customHeight="1">
      <c r="Y582" s="19"/>
    </row>
    <row r="583" spans="25:25" ht="15.75" customHeight="1">
      <c r="Y583" s="19"/>
    </row>
    <row r="584" spans="25:25" ht="15.75" customHeight="1">
      <c r="Y584" s="19"/>
    </row>
    <row r="585" spans="25:25" ht="15.75" customHeight="1">
      <c r="Y585" s="19"/>
    </row>
    <row r="586" spans="25:25" ht="15.75" customHeight="1">
      <c r="Y586" s="19"/>
    </row>
    <row r="587" spans="25:25" ht="15.75" customHeight="1">
      <c r="Y587" s="19"/>
    </row>
    <row r="588" spans="25:25" ht="15.75" customHeight="1">
      <c r="Y588" s="19"/>
    </row>
    <row r="589" spans="25:25" ht="15.75" customHeight="1">
      <c r="Y589" s="19"/>
    </row>
    <row r="590" spans="25:25" ht="15.75" customHeight="1">
      <c r="Y590" s="19"/>
    </row>
    <row r="591" spans="25:25" ht="15.75" customHeight="1">
      <c r="Y591" s="19"/>
    </row>
    <row r="592" spans="25:25" ht="15.75" customHeight="1">
      <c r="Y592" s="19"/>
    </row>
    <row r="593" spans="25:25" ht="15.75" customHeight="1">
      <c r="Y593" s="19"/>
    </row>
    <row r="594" spans="25:25" ht="15.75" customHeight="1">
      <c r="Y594" s="19"/>
    </row>
    <row r="595" spans="25:25" ht="15.75" customHeight="1">
      <c r="Y595" s="19"/>
    </row>
    <row r="596" spans="25:25" ht="15.75" customHeight="1">
      <c r="Y596" s="19"/>
    </row>
    <row r="597" spans="25:25" ht="15.75" customHeight="1">
      <c r="Y597" s="19"/>
    </row>
    <row r="598" spans="25:25" ht="15.75" customHeight="1">
      <c r="Y598" s="19"/>
    </row>
    <row r="599" spans="25:25" ht="15.75" customHeight="1">
      <c r="Y599" s="19"/>
    </row>
    <row r="600" spans="25:25" ht="15.75" customHeight="1">
      <c r="Y600" s="19"/>
    </row>
    <row r="601" spans="25:25" ht="15.75" customHeight="1">
      <c r="Y601" s="19"/>
    </row>
    <row r="602" spans="25:25" ht="15.75" customHeight="1">
      <c r="Y602" s="19"/>
    </row>
    <row r="603" spans="25:25" ht="15.75" customHeight="1">
      <c r="Y603" s="19"/>
    </row>
    <row r="604" spans="25:25" ht="15.75" customHeight="1">
      <c r="Y604" s="19"/>
    </row>
    <row r="605" spans="25:25" ht="15.75" customHeight="1">
      <c r="Y605" s="19"/>
    </row>
    <row r="606" spans="25:25" ht="15.75" customHeight="1">
      <c r="Y606" s="19"/>
    </row>
    <row r="607" spans="25:25" ht="15.75" customHeight="1">
      <c r="Y607" s="19"/>
    </row>
    <row r="608" spans="25:25" ht="15.75" customHeight="1">
      <c r="Y608" s="19"/>
    </row>
    <row r="609" spans="25:25" ht="15.75" customHeight="1">
      <c r="Y609" s="19"/>
    </row>
    <row r="610" spans="25:25" ht="15.75" customHeight="1">
      <c r="Y610" s="19"/>
    </row>
    <row r="611" spans="25:25" ht="15.75" customHeight="1">
      <c r="Y611" s="19"/>
    </row>
    <row r="612" spans="25:25" ht="15.75" customHeight="1">
      <c r="Y612" s="19"/>
    </row>
    <row r="613" spans="25:25" ht="15.75" customHeight="1">
      <c r="Y613" s="19"/>
    </row>
    <row r="614" spans="25:25" ht="15.75" customHeight="1">
      <c r="Y614" s="19"/>
    </row>
    <row r="615" spans="25:25" ht="15.75" customHeight="1">
      <c r="Y615" s="19"/>
    </row>
    <row r="616" spans="25:25" ht="15.75" customHeight="1">
      <c r="Y616" s="19"/>
    </row>
    <row r="617" spans="25:25" ht="15.75" customHeight="1">
      <c r="Y617" s="19"/>
    </row>
    <row r="618" spans="25:25" ht="15.75" customHeight="1">
      <c r="Y618" s="19"/>
    </row>
    <row r="619" spans="25:25" ht="15.75" customHeight="1">
      <c r="Y619" s="19"/>
    </row>
    <row r="620" spans="25:25" ht="15.75" customHeight="1">
      <c r="Y620" s="19"/>
    </row>
    <row r="621" spans="25:25" ht="15.75" customHeight="1">
      <c r="Y621" s="19"/>
    </row>
    <row r="622" spans="25:25" ht="15.75" customHeight="1">
      <c r="Y622" s="19"/>
    </row>
    <row r="623" spans="25:25" ht="15.75" customHeight="1">
      <c r="Y623" s="19"/>
    </row>
    <row r="624" spans="25:25" ht="15.75" customHeight="1">
      <c r="Y624" s="19"/>
    </row>
    <row r="625" spans="25:25" ht="15.75" customHeight="1">
      <c r="Y625" s="19"/>
    </row>
    <row r="626" spans="25:25" ht="15.75" customHeight="1">
      <c r="Y626" s="19"/>
    </row>
    <row r="627" spans="25:25" ht="15.75" customHeight="1">
      <c r="Y627" s="19"/>
    </row>
    <row r="628" spans="25:25" ht="15.75" customHeight="1">
      <c r="Y628" s="19"/>
    </row>
    <row r="629" spans="25:25" ht="15.75" customHeight="1">
      <c r="Y629" s="19"/>
    </row>
    <row r="630" spans="25:25" ht="15.75" customHeight="1">
      <c r="Y630" s="19"/>
    </row>
    <row r="631" spans="25:25" ht="15.75" customHeight="1">
      <c r="Y631" s="19"/>
    </row>
    <row r="632" spans="25:25" ht="15.75" customHeight="1">
      <c r="Y632" s="19"/>
    </row>
    <row r="633" spans="25:25" ht="15.75" customHeight="1">
      <c r="Y633" s="19"/>
    </row>
    <row r="634" spans="25:25" ht="15.75" customHeight="1">
      <c r="Y634" s="19"/>
    </row>
    <row r="635" spans="25:25" ht="15.75" customHeight="1">
      <c r="Y635" s="19"/>
    </row>
    <row r="636" spans="25:25" ht="15.75" customHeight="1">
      <c r="Y636" s="19"/>
    </row>
    <row r="637" spans="25:25" ht="15.75" customHeight="1">
      <c r="Y637" s="19"/>
    </row>
    <row r="638" spans="25:25" ht="15.75" customHeight="1">
      <c r="Y638" s="19"/>
    </row>
    <row r="639" spans="25:25" ht="15.75" customHeight="1">
      <c r="Y639" s="19"/>
    </row>
    <row r="640" spans="25:25" ht="15.75" customHeight="1">
      <c r="Y640" s="19"/>
    </row>
    <row r="641" spans="25:25" ht="15.75" customHeight="1">
      <c r="Y641" s="19"/>
    </row>
    <row r="642" spans="25:25" ht="15.75" customHeight="1">
      <c r="Y642" s="19"/>
    </row>
    <row r="643" spans="25:25" ht="15.75" customHeight="1">
      <c r="Y643" s="19"/>
    </row>
    <row r="644" spans="25:25" ht="15.75" customHeight="1">
      <c r="Y644" s="19"/>
    </row>
    <row r="645" spans="25:25" ht="15.75" customHeight="1">
      <c r="Y645" s="19"/>
    </row>
    <row r="646" spans="25:25" ht="15.75" customHeight="1">
      <c r="Y646" s="19"/>
    </row>
    <row r="647" spans="25:25" ht="15.75" customHeight="1">
      <c r="Y647" s="19"/>
    </row>
    <row r="648" spans="25:25" ht="15.75" customHeight="1">
      <c r="Y648" s="19"/>
    </row>
    <row r="649" spans="25:25" ht="15.75" customHeight="1">
      <c r="Y649" s="19"/>
    </row>
    <row r="650" spans="25:25" ht="15.75" customHeight="1">
      <c r="Y650" s="19"/>
    </row>
    <row r="651" spans="25:25" ht="15.75" customHeight="1">
      <c r="Y651" s="19"/>
    </row>
    <row r="652" spans="25:25" ht="15.75" customHeight="1">
      <c r="Y652" s="19"/>
    </row>
    <row r="653" spans="25:25" ht="15.75" customHeight="1">
      <c r="Y653" s="19"/>
    </row>
    <row r="654" spans="25:25" ht="15.75" customHeight="1">
      <c r="Y654" s="19"/>
    </row>
    <row r="655" spans="25:25" ht="15.75" customHeight="1">
      <c r="Y655" s="19"/>
    </row>
    <row r="656" spans="25:25" ht="15.75" customHeight="1">
      <c r="Y656" s="19"/>
    </row>
    <row r="657" spans="25:25" ht="15.75" customHeight="1">
      <c r="Y657" s="19"/>
    </row>
    <row r="658" spans="25:25" ht="15.75" customHeight="1">
      <c r="Y658" s="19"/>
    </row>
    <row r="659" spans="25:25" ht="15.75" customHeight="1">
      <c r="Y659" s="19"/>
    </row>
    <row r="660" spans="25:25" ht="15.75" customHeight="1">
      <c r="Y660" s="19"/>
    </row>
    <row r="661" spans="25:25" ht="15.75" customHeight="1">
      <c r="Y661" s="19"/>
    </row>
    <row r="662" spans="25:25" ht="15.75" customHeight="1">
      <c r="Y662" s="19"/>
    </row>
    <row r="663" spans="25:25" ht="15.75" customHeight="1">
      <c r="Y663" s="19"/>
    </row>
    <row r="664" spans="25:25" ht="15.75" customHeight="1">
      <c r="Y664" s="19"/>
    </row>
    <row r="665" spans="25:25" ht="15.75" customHeight="1">
      <c r="Y665" s="19"/>
    </row>
    <row r="666" spans="25:25" ht="15.75" customHeight="1">
      <c r="Y666" s="19"/>
    </row>
    <row r="667" spans="25:25" ht="15.75" customHeight="1">
      <c r="Y667" s="19"/>
    </row>
    <row r="668" spans="25:25" ht="15.75" customHeight="1">
      <c r="Y668" s="19"/>
    </row>
    <row r="669" spans="25:25" ht="15.75" customHeight="1">
      <c r="Y669" s="19"/>
    </row>
    <row r="670" spans="25:25" ht="15.75" customHeight="1">
      <c r="Y670" s="19"/>
    </row>
    <row r="671" spans="25:25" ht="15.75" customHeight="1">
      <c r="Y671" s="19"/>
    </row>
    <row r="672" spans="25:25" ht="15.75" customHeight="1">
      <c r="Y672" s="19"/>
    </row>
    <row r="673" spans="25:25" ht="15.75" customHeight="1">
      <c r="Y673" s="19"/>
    </row>
    <row r="674" spans="25:25" ht="15.75" customHeight="1">
      <c r="Y674" s="19"/>
    </row>
    <row r="675" spans="25:25" ht="15.75" customHeight="1">
      <c r="Y675" s="19"/>
    </row>
    <row r="676" spans="25:25" ht="15.75" customHeight="1">
      <c r="Y676" s="19"/>
    </row>
    <row r="677" spans="25:25" ht="15.75" customHeight="1">
      <c r="Y677" s="19"/>
    </row>
    <row r="678" spans="25:25" ht="15.75" customHeight="1">
      <c r="Y678" s="19"/>
    </row>
    <row r="679" spans="25:25" ht="15.75" customHeight="1">
      <c r="Y679" s="19"/>
    </row>
    <row r="680" spans="25:25" ht="15.75" customHeight="1">
      <c r="Y680" s="19"/>
    </row>
    <row r="681" spans="25:25" ht="15.75" customHeight="1">
      <c r="Y681" s="19"/>
    </row>
    <row r="682" spans="25:25" ht="15.75" customHeight="1">
      <c r="Y682" s="19"/>
    </row>
    <row r="683" spans="25:25" ht="15.75" customHeight="1">
      <c r="Y683" s="19"/>
    </row>
    <row r="684" spans="25:25" ht="15.75" customHeight="1">
      <c r="Y684" s="19"/>
    </row>
    <row r="685" spans="25:25" ht="15.75" customHeight="1">
      <c r="Y685" s="19"/>
    </row>
    <row r="686" spans="25:25" ht="15.75" customHeight="1">
      <c r="Y686" s="19"/>
    </row>
    <row r="687" spans="25:25" ht="15.75" customHeight="1">
      <c r="Y687" s="19"/>
    </row>
    <row r="688" spans="25:25" ht="15.75" customHeight="1">
      <c r="Y688" s="19"/>
    </row>
    <row r="689" spans="25:25" ht="15.75" customHeight="1">
      <c r="Y689" s="19"/>
    </row>
    <row r="690" spans="25:25" ht="15.75" customHeight="1">
      <c r="Y690" s="19"/>
    </row>
    <row r="691" spans="25:25" ht="15.75" customHeight="1">
      <c r="Y691" s="19"/>
    </row>
    <row r="692" spans="25:25" ht="15.75" customHeight="1">
      <c r="Y692" s="19"/>
    </row>
    <row r="693" spans="25:25" ht="15.75" customHeight="1">
      <c r="Y693" s="19"/>
    </row>
    <row r="694" spans="25:25" ht="15.75" customHeight="1">
      <c r="Y694" s="19"/>
    </row>
    <row r="695" spans="25:25" ht="15.75" customHeight="1">
      <c r="Y695" s="19"/>
    </row>
    <row r="696" spans="25:25" ht="15.75" customHeight="1">
      <c r="Y696" s="19"/>
    </row>
    <row r="697" spans="25:25" ht="15.75" customHeight="1">
      <c r="Y697" s="19"/>
    </row>
    <row r="698" spans="25:25" ht="15.75" customHeight="1">
      <c r="Y698" s="19"/>
    </row>
    <row r="699" spans="25:25" ht="15.75" customHeight="1">
      <c r="Y699" s="19"/>
    </row>
    <row r="700" spans="25:25" ht="15.75" customHeight="1">
      <c r="Y700" s="19"/>
    </row>
    <row r="701" spans="25:25" ht="15.75" customHeight="1">
      <c r="Y701" s="19"/>
    </row>
    <row r="702" spans="25:25" ht="15.75" customHeight="1">
      <c r="Y702" s="19"/>
    </row>
    <row r="703" spans="25:25" ht="15.75" customHeight="1">
      <c r="Y703" s="19"/>
    </row>
    <row r="704" spans="25:25" ht="15.75" customHeight="1">
      <c r="Y704" s="19"/>
    </row>
    <row r="705" spans="25:25" ht="15.75" customHeight="1">
      <c r="Y705" s="19"/>
    </row>
    <row r="706" spans="25:25" ht="15.75" customHeight="1">
      <c r="Y706" s="19"/>
    </row>
    <row r="707" spans="25:25" ht="15.75" customHeight="1">
      <c r="Y707" s="19"/>
    </row>
    <row r="708" spans="25:25" ht="15.75" customHeight="1">
      <c r="Y708" s="19"/>
    </row>
    <row r="709" spans="25:25" ht="15.75" customHeight="1">
      <c r="Y709" s="19"/>
    </row>
    <row r="710" spans="25:25" ht="15.75" customHeight="1">
      <c r="Y710" s="19"/>
    </row>
    <row r="711" spans="25:25" ht="15.75" customHeight="1">
      <c r="Y711" s="19"/>
    </row>
    <row r="712" spans="25:25" ht="15.75" customHeight="1">
      <c r="Y712" s="19"/>
    </row>
    <row r="713" spans="25:25" ht="15.75" customHeight="1">
      <c r="Y713" s="19"/>
    </row>
    <row r="714" spans="25:25" ht="15.75" customHeight="1">
      <c r="Y714" s="19"/>
    </row>
    <row r="715" spans="25:25" ht="15.75" customHeight="1">
      <c r="Y715" s="19"/>
    </row>
    <row r="716" spans="25:25" ht="15.75" customHeight="1">
      <c r="Y716" s="19"/>
    </row>
    <row r="717" spans="25:25" ht="15.75" customHeight="1">
      <c r="Y717" s="19"/>
    </row>
    <row r="718" spans="25:25" ht="15.75" customHeight="1">
      <c r="Y718" s="19"/>
    </row>
    <row r="719" spans="25:25" ht="15.75" customHeight="1">
      <c r="Y719" s="19"/>
    </row>
    <row r="720" spans="25:25" ht="15.75" customHeight="1">
      <c r="Y720" s="19"/>
    </row>
    <row r="721" spans="25:25" ht="15.75" customHeight="1">
      <c r="Y721" s="19"/>
    </row>
    <row r="722" spans="25:25" ht="15.75" customHeight="1">
      <c r="Y722" s="19"/>
    </row>
    <row r="723" spans="25:25" ht="15.75" customHeight="1">
      <c r="Y723" s="19"/>
    </row>
    <row r="724" spans="25:25" ht="15.75" customHeight="1">
      <c r="Y724" s="19"/>
    </row>
    <row r="725" spans="25:25" ht="15.75" customHeight="1">
      <c r="Y725" s="19"/>
    </row>
    <row r="726" spans="25:25" ht="15.75" customHeight="1">
      <c r="Y726" s="19"/>
    </row>
    <row r="727" spans="25:25" ht="15.75" customHeight="1">
      <c r="Y727" s="19"/>
    </row>
    <row r="728" spans="25:25" ht="15.75" customHeight="1">
      <c r="Y728" s="19"/>
    </row>
    <row r="729" spans="25:25" ht="15.75" customHeight="1">
      <c r="Y729" s="19"/>
    </row>
    <row r="730" spans="25:25" ht="15.75" customHeight="1">
      <c r="Y730" s="19"/>
    </row>
    <row r="731" spans="25:25" ht="15.75" customHeight="1">
      <c r="Y731" s="19"/>
    </row>
    <row r="732" spans="25:25" ht="15.75" customHeight="1">
      <c r="Y732" s="19"/>
    </row>
    <row r="733" spans="25:25" ht="15.75" customHeight="1">
      <c r="Y733" s="19"/>
    </row>
    <row r="734" spans="25:25" ht="15.75" customHeight="1">
      <c r="Y734" s="19"/>
    </row>
    <row r="735" spans="25:25" ht="15.75" customHeight="1">
      <c r="Y735" s="19"/>
    </row>
    <row r="736" spans="25:25" ht="15.75" customHeight="1">
      <c r="Y736" s="19"/>
    </row>
    <row r="737" spans="25:25" ht="15.75" customHeight="1">
      <c r="Y737" s="19"/>
    </row>
    <row r="738" spans="25:25" ht="15.75" customHeight="1">
      <c r="Y738" s="19"/>
    </row>
    <row r="739" spans="25:25" ht="15.75" customHeight="1">
      <c r="Y739" s="19"/>
    </row>
    <row r="740" spans="25:25" ht="15.75" customHeight="1">
      <c r="Y740" s="19"/>
    </row>
    <row r="741" spans="25:25" ht="15.75" customHeight="1">
      <c r="Y741" s="19"/>
    </row>
    <row r="742" spans="25:25" ht="15.75" customHeight="1">
      <c r="Y742" s="19"/>
    </row>
    <row r="743" spans="25:25" ht="15.75" customHeight="1">
      <c r="Y743" s="19"/>
    </row>
    <row r="744" spans="25:25" ht="15.75" customHeight="1">
      <c r="Y744" s="19"/>
    </row>
    <row r="745" spans="25:25" ht="15.75" customHeight="1">
      <c r="Y745" s="19"/>
    </row>
    <row r="746" spans="25:25" ht="15.75" customHeight="1">
      <c r="Y746" s="19"/>
    </row>
    <row r="747" spans="25:25" ht="15.75" customHeight="1">
      <c r="Y747" s="19"/>
    </row>
    <row r="748" spans="25:25" ht="15.75" customHeight="1">
      <c r="Y748" s="19"/>
    </row>
    <row r="749" spans="25:25" ht="15.75" customHeight="1">
      <c r="Y749" s="19"/>
    </row>
    <row r="750" spans="25:25" ht="15.75" customHeight="1">
      <c r="Y750" s="19"/>
    </row>
    <row r="751" spans="25:25" ht="15.75" customHeight="1">
      <c r="Y751" s="19"/>
    </row>
    <row r="752" spans="25:25" ht="15.75" customHeight="1">
      <c r="Y752" s="19"/>
    </row>
    <row r="753" spans="25:25" ht="15.75" customHeight="1">
      <c r="Y753" s="19"/>
    </row>
    <row r="754" spans="25:25" ht="15.75" customHeight="1">
      <c r="Y754" s="19"/>
    </row>
    <row r="755" spans="25:25" ht="15.75" customHeight="1">
      <c r="Y755" s="19"/>
    </row>
    <row r="756" spans="25:25" ht="15.75" customHeight="1">
      <c r="Y756" s="19"/>
    </row>
    <row r="757" spans="25:25" ht="15.75" customHeight="1">
      <c r="Y757" s="19"/>
    </row>
    <row r="758" spans="25:25" ht="15.75" customHeight="1">
      <c r="Y758" s="19"/>
    </row>
    <row r="759" spans="25:25" ht="15.75" customHeight="1">
      <c r="Y759" s="19"/>
    </row>
    <row r="760" spans="25:25" ht="15.75" customHeight="1">
      <c r="Y760" s="19"/>
    </row>
    <row r="761" spans="25:25" ht="15.75" customHeight="1">
      <c r="Y761" s="19"/>
    </row>
    <row r="762" spans="25:25" ht="15.75" customHeight="1">
      <c r="Y762" s="19"/>
    </row>
    <row r="763" spans="25:25" ht="15.75" customHeight="1">
      <c r="Y763" s="19"/>
    </row>
    <row r="764" spans="25:25" ht="15.75" customHeight="1">
      <c r="Y764" s="19"/>
    </row>
    <row r="765" spans="25:25" ht="15.75" customHeight="1">
      <c r="Y765" s="19"/>
    </row>
    <row r="766" spans="25:25" ht="15.75" customHeight="1">
      <c r="Y766" s="19"/>
    </row>
    <row r="767" spans="25:25" ht="15.75" customHeight="1">
      <c r="Y767" s="19"/>
    </row>
    <row r="768" spans="25:25" ht="15.75" customHeight="1">
      <c r="Y768" s="19"/>
    </row>
    <row r="769" spans="25:25" ht="15.75" customHeight="1">
      <c r="Y769" s="19"/>
    </row>
    <row r="770" spans="25:25" ht="15.75" customHeight="1">
      <c r="Y770" s="19"/>
    </row>
    <row r="771" spans="25:25" ht="15.75" customHeight="1">
      <c r="Y771" s="19"/>
    </row>
    <row r="772" spans="25:25" ht="15.75" customHeight="1">
      <c r="Y772" s="19"/>
    </row>
    <row r="773" spans="25:25" ht="15.75" customHeight="1">
      <c r="Y773" s="19"/>
    </row>
    <row r="774" spans="25:25" ht="15.75" customHeight="1">
      <c r="Y774" s="19"/>
    </row>
    <row r="775" spans="25:25" ht="15.75" customHeight="1">
      <c r="Y775" s="19"/>
    </row>
    <row r="776" spans="25:25" ht="15.75" customHeight="1">
      <c r="Y776" s="19"/>
    </row>
    <row r="777" spans="25:25" ht="15.75" customHeight="1">
      <c r="Y777" s="19"/>
    </row>
    <row r="778" spans="25:25" ht="15.75" customHeight="1">
      <c r="Y778" s="19"/>
    </row>
    <row r="779" spans="25:25" ht="15.75" customHeight="1">
      <c r="Y779" s="19"/>
    </row>
    <row r="780" spans="25:25" ht="15.75" customHeight="1">
      <c r="Y780" s="19"/>
    </row>
    <row r="781" spans="25:25" ht="15.75" customHeight="1">
      <c r="Y781" s="19"/>
    </row>
    <row r="782" spans="25:25" ht="15.75" customHeight="1">
      <c r="Y782" s="19"/>
    </row>
    <row r="783" spans="25:25" ht="15.75" customHeight="1">
      <c r="Y783" s="19"/>
    </row>
    <row r="784" spans="25:25" ht="15.75" customHeight="1">
      <c r="Y784" s="19"/>
    </row>
    <row r="785" spans="25:25" ht="15.75" customHeight="1">
      <c r="Y785" s="19"/>
    </row>
    <row r="786" spans="25:25" ht="15.75" customHeight="1">
      <c r="Y786" s="19"/>
    </row>
    <row r="787" spans="25:25" ht="15.75" customHeight="1">
      <c r="Y787" s="19"/>
    </row>
    <row r="788" spans="25:25" ht="15.75" customHeight="1">
      <c r="Y788" s="19"/>
    </row>
    <row r="789" spans="25:25" ht="15.75" customHeight="1">
      <c r="Y789" s="19"/>
    </row>
    <row r="790" spans="25:25" ht="15.75" customHeight="1">
      <c r="Y790" s="19"/>
    </row>
    <row r="791" spans="25:25" ht="15.75" customHeight="1">
      <c r="Y791" s="19"/>
    </row>
    <row r="792" spans="25:25" ht="15.75" customHeight="1">
      <c r="Y792" s="19"/>
    </row>
    <row r="793" spans="25:25" ht="15.75" customHeight="1">
      <c r="Y793" s="19"/>
    </row>
    <row r="794" spans="25:25" ht="15.75" customHeight="1">
      <c r="Y794" s="19"/>
    </row>
    <row r="795" spans="25:25" ht="15.75" customHeight="1">
      <c r="Y795" s="19"/>
    </row>
    <row r="796" spans="25:25" ht="15.75" customHeight="1">
      <c r="Y796" s="19"/>
    </row>
    <row r="797" spans="25:25" ht="15.75" customHeight="1">
      <c r="Y797" s="19"/>
    </row>
    <row r="798" spans="25:25" ht="15.75" customHeight="1">
      <c r="Y798" s="19"/>
    </row>
    <row r="799" spans="25:25" ht="15.75" customHeight="1">
      <c r="Y799" s="19"/>
    </row>
    <row r="800" spans="25:25" ht="15.75" customHeight="1">
      <c r="Y800" s="19"/>
    </row>
    <row r="801" spans="25:25" ht="15.75" customHeight="1">
      <c r="Y801" s="19"/>
    </row>
    <row r="802" spans="25:25" ht="15.75" customHeight="1">
      <c r="Y802" s="19"/>
    </row>
    <row r="803" spans="25:25" ht="15.75" customHeight="1">
      <c r="Y803" s="19"/>
    </row>
    <row r="804" spans="25:25" ht="15.75" customHeight="1">
      <c r="Y804" s="19"/>
    </row>
    <row r="805" spans="25:25" ht="15.75" customHeight="1">
      <c r="Y805" s="19"/>
    </row>
    <row r="806" spans="25:25" ht="15.75" customHeight="1">
      <c r="Y806" s="19"/>
    </row>
    <row r="807" spans="25:25" ht="15.75" customHeight="1">
      <c r="Y807" s="19"/>
    </row>
    <row r="808" spans="25:25" ht="15.75" customHeight="1">
      <c r="Y808" s="19"/>
    </row>
    <row r="809" spans="25:25" ht="15.75" customHeight="1">
      <c r="Y809" s="19"/>
    </row>
    <row r="810" spans="25:25" ht="15.75" customHeight="1">
      <c r="Y810" s="19"/>
    </row>
    <row r="811" spans="25:25" ht="15.75" customHeight="1">
      <c r="Y811" s="19"/>
    </row>
    <row r="812" spans="25:25" ht="15.75" customHeight="1">
      <c r="Y812" s="19"/>
    </row>
    <row r="813" spans="25:25" ht="15.75" customHeight="1">
      <c r="Y813" s="19"/>
    </row>
    <row r="814" spans="25:25" ht="15.75" customHeight="1">
      <c r="Y814" s="19"/>
    </row>
    <row r="815" spans="25:25" ht="15.75" customHeight="1">
      <c r="Y815" s="19"/>
    </row>
    <row r="816" spans="25:25" ht="15.75" customHeight="1">
      <c r="Y816" s="19"/>
    </row>
    <row r="817" spans="25:25" ht="15.75" customHeight="1">
      <c r="Y817" s="19"/>
    </row>
    <row r="818" spans="25:25" ht="15.75" customHeight="1">
      <c r="Y818" s="19"/>
    </row>
    <row r="819" spans="25:25" ht="15.75" customHeight="1">
      <c r="Y819" s="19"/>
    </row>
    <row r="820" spans="25:25" ht="15.75" customHeight="1">
      <c r="Y820" s="19"/>
    </row>
    <row r="821" spans="25:25" ht="15.75" customHeight="1">
      <c r="Y821" s="19"/>
    </row>
    <row r="822" spans="25:25" ht="15.75" customHeight="1">
      <c r="Y822" s="19"/>
    </row>
    <row r="823" spans="25:25" ht="15.75" customHeight="1">
      <c r="Y823" s="19"/>
    </row>
    <row r="824" spans="25:25" ht="15.75" customHeight="1">
      <c r="Y824" s="19"/>
    </row>
    <row r="825" spans="25:25" ht="15.75" customHeight="1">
      <c r="Y825" s="19"/>
    </row>
    <row r="826" spans="25:25" ht="15.75" customHeight="1">
      <c r="Y826" s="19"/>
    </row>
    <row r="827" spans="25:25" ht="15.75" customHeight="1">
      <c r="Y827" s="19"/>
    </row>
    <row r="828" spans="25:25" ht="15.75" customHeight="1">
      <c r="Y828" s="19"/>
    </row>
    <row r="829" spans="25:25" ht="15.75" customHeight="1">
      <c r="Y829" s="19"/>
    </row>
    <row r="830" spans="25:25" ht="15.75" customHeight="1">
      <c r="Y830" s="19"/>
    </row>
    <row r="831" spans="25:25" ht="15.75" customHeight="1">
      <c r="Y831" s="19"/>
    </row>
    <row r="832" spans="25:25" ht="15.75" customHeight="1">
      <c r="Y832" s="19"/>
    </row>
    <row r="833" spans="25:25" ht="15.75" customHeight="1">
      <c r="Y833" s="19"/>
    </row>
    <row r="834" spans="25:25" ht="15.75" customHeight="1">
      <c r="Y834" s="19"/>
    </row>
    <row r="835" spans="25:25" ht="15.75" customHeight="1">
      <c r="Y835" s="19"/>
    </row>
    <row r="836" spans="25:25" ht="15.75" customHeight="1">
      <c r="Y836" s="19"/>
    </row>
    <row r="837" spans="25:25" ht="15.75" customHeight="1">
      <c r="Y837" s="19"/>
    </row>
    <row r="838" spans="25:25" ht="15.75" customHeight="1">
      <c r="Y838" s="19"/>
    </row>
    <row r="839" spans="25:25" ht="15.75" customHeight="1">
      <c r="Y839" s="19"/>
    </row>
    <row r="840" spans="25:25" ht="15.75" customHeight="1">
      <c r="Y840" s="19"/>
    </row>
    <row r="841" spans="25:25" ht="15.75" customHeight="1">
      <c r="Y841" s="19"/>
    </row>
    <row r="842" spans="25:25" ht="15.75" customHeight="1">
      <c r="Y842" s="19"/>
    </row>
    <row r="843" spans="25:25" ht="15.75" customHeight="1">
      <c r="Y843" s="19"/>
    </row>
    <row r="844" spans="25:25" ht="15.75" customHeight="1">
      <c r="Y844" s="19"/>
    </row>
    <row r="845" spans="25:25" ht="15.75" customHeight="1">
      <c r="Y845" s="19"/>
    </row>
    <row r="846" spans="25:25" ht="15.75" customHeight="1">
      <c r="Y846" s="19"/>
    </row>
    <row r="847" spans="25:25" ht="15.75" customHeight="1">
      <c r="Y847" s="19"/>
    </row>
    <row r="848" spans="25:25" ht="15.75" customHeight="1">
      <c r="Y848" s="19"/>
    </row>
    <row r="849" spans="25:25" ht="15.75" customHeight="1">
      <c r="Y849" s="19"/>
    </row>
    <row r="850" spans="25:25" ht="15.75" customHeight="1">
      <c r="Y850" s="19"/>
    </row>
    <row r="851" spans="25:25" ht="15.75" customHeight="1">
      <c r="Y851" s="19"/>
    </row>
    <row r="852" spans="25:25" ht="15.75" customHeight="1">
      <c r="Y852" s="19"/>
    </row>
    <row r="853" spans="25:25" ht="15.75" customHeight="1">
      <c r="Y853" s="19"/>
    </row>
    <row r="854" spans="25:25" ht="15.75" customHeight="1">
      <c r="Y854" s="19"/>
    </row>
    <row r="855" spans="25:25" ht="15.75" customHeight="1">
      <c r="Y855" s="19"/>
    </row>
    <row r="856" spans="25:25" ht="15.75" customHeight="1">
      <c r="Y856" s="19"/>
    </row>
    <row r="857" spans="25:25" ht="15.75" customHeight="1">
      <c r="Y857" s="19"/>
    </row>
    <row r="858" spans="25:25" ht="15.75" customHeight="1">
      <c r="Y858" s="19"/>
    </row>
    <row r="859" spans="25:25" ht="15.75" customHeight="1">
      <c r="Y859" s="19"/>
    </row>
    <row r="860" spans="25:25" ht="15.75" customHeight="1">
      <c r="Y860" s="19"/>
    </row>
    <row r="861" spans="25:25" ht="15.75" customHeight="1">
      <c r="Y861" s="19"/>
    </row>
    <row r="862" spans="25:25" ht="15.75" customHeight="1">
      <c r="Y862" s="19"/>
    </row>
    <row r="863" spans="25:25" ht="15.75" customHeight="1">
      <c r="Y863" s="19"/>
    </row>
    <row r="864" spans="25:25" ht="15.75" customHeight="1">
      <c r="Y864" s="19"/>
    </row>
    <row r="865" spans="25:25" ht="15.75" customHeight="1">
      <c r="Y865" s="19"/>
    </row>
    <row r="866" spans="25:25" ht="15.75" customHeight="1">
      <c r="Y866" s="19"/>
    </row>
    <row r="867" spans="25:25" ht="15.75" customHeight="1">
      <c r="Y867" s="19"/>
    </row>
    <row r="868" spans="25:25" ht="15.75" customHeight="1">
      <c r="Y868" s="19"/>
    </row>
    <row r="869" spans="25:25" ht="15.75" customHeight="1">
      <c r="Y869" s="19"/>
    </row>
    <row r="870" spans="25:25" ht="15.75" customHeight="1">
      <c r="Y870" s="19"/>
    </row>
    <row r="871" spans="25:25" ht="15.75" customHeight="1">
      <c r="Y871" s="19"/>
    </row>
    <row r="872" spans="25:25" ht="15.75" customHeight="1">
      <c r="Y872" s="19"/>
    </row>
    <row r="873" spans="25:25" ht="15.75" customHeight="1">
      <c r="Y873" s="19"/>
    </row>
    <row r="874" spans="25:25" ht="15.75" customHeight="1">
      <c r="Y874" s="19"/>
    </row>
    <row r="875" spans="25:25" ht="15.75" customHeight="1">
      <c r="Y875" s="19"/>
    </row>
    <row r="876" spans="25:25" ht="15.75" customHeight="1">
      <c r="Y876" s="19"/>
    </row>
    <row r="877" spans="25:25" ht="15.75" customHeight="1">
      <c r="Y877" s="19"/>
    </row>
    <row r="878" spans="25:25" ht="15.75" customHeight="1">
      <c r="Y878" s="19"/>
    </row>
    <row r="879" spans="25:25" ht="15.75" customHeight="1">
      <c r="Y879" s="19"/>
    </row>
    <row r="880" spans="25:25" ht="15.75" customHeight="1">
      <c r="Y880" s="19"/>
    </row>
    <row r="881" spans="25:25" ht="15.75" customHeight="1">
      <c r="Y881" s="19"/>
    </row>
    <row r="882" spans="25:25" ht="15.75" customHeight="1">
      <c r="Y882" s="19"/>
    </row>
    <row r="883" spans="25:25" ht="15.75" customHeight="1">
      <c r="Y883" s="19"/>
    </row>
    <row r="884" spans="25:25" ht="15.75" customHeight="1">
      <c r="Y884" s="19"/>
    </row>
    <row r="885" spans="25:25" ht="15.75" customHeight="1">
      <c r="Y885" s="19"/>
    </row>
    <row r="886" spans="25:25" ht="15.75" customHeight="1">
      <c r="Y886" s="19"/>
    </row>
    <row r="887" spans="25:25" ht="15.75" customHeight="1">
      <c r="Y887" s="19"/>
    </row>
    <row r="888" spans="25:25" ht="15.75" customHeight="1">
      <c r="Y888" s="19"/>
    </row>
    <row r="889" spans="25:25" ht="15.75" customHeight="1">
      <c r="Y889" s="19"/>
    </row>
    <row r="890" spans="25:25" ht="15.75" customHeight="1">
      <c r="Y890" s="19"/>
    </row>
    <row r="891" spans="25:25" ht="15.75" customHeight="1">
      <c r="Y891" s="19"/>
    </row>
    <row r="892" spans="25:25" ht="15.75" customHeight="1">
      <c r="Y892" s="19"/>
    </row>
    <row r="893" spans="25:25" ht="15.75" customHeight="1">
      <c r="Y893" s="19"/>
    </row>
    <row r="894" spans="25:25" ht="15.75" customHeight="1">
      <c r="Y894" s="19"/>
    </row>
    <row r="895" spans="25:25" ht="15.75" customHeight="1">
      <c r="Y895" s="19"/>
    </row>
    <row r="896" spans="25:25" ht="15.75" customHeight="1">
      <c r="Y896" s="19"/>
    </row>
    <row r="897" spans="25:25" ht="15.75" customHeight="1">
      <c r="Y897" s="19"/>
    </row>
    <row r="898" spans="25:25" ht="15.75" customHeight="1">
      <c r="Y898" s="19"/>
    </row>
    <row r="899" spans="25:25" ht="15.75" customHeight="1">
      <c r="Y899" s="19"/>
    </row>
    <row r="900" spans="25:25" ht="15.75" customHeight="1">
      <c r="Y900" s="19"/>
    </row>
    <row r="901" spans="25:25" ht="15.75" customHeight="1">
      <c r="Y901" s="19"/>
    </row>
    <row r="902" spans="25:25" ht="15.75" customHeight="1">
      <c r="Y902" s="19"/>
    </row>
    <row r="903" spans="25:25" ht="15.75" customHeight="1">
      <c r="Y903" s="19"/>
    </row>
    <row r="904" spans="25:25" ht="15.75" customHeight="1">
      <c r="Y904" s="19"/>
    </row>
    <row r="905" spans="25:25" ht="15.75" customHeight="1">
      <c r="Y905" s="19"/>
    </row>
    <row r="906" spans="25:25" ht="15.75" customHeight="1">
      <c r="Y906" s="19"/>
    </row>
    <row r="907" spans="25:25" ht="15.75" customHeight="1">
      <c r="Y907" s="19"/>
    </row>
    <row r="908" spans="25:25" ht="15.75" customHeight="1">
      <c r="Y908" s="19"/>
    </row>
    <row r="909" spans="25:25" ht="15.75" customHeight="1">
      <c r="Y909" s="19"/>
    </row>
    <row r="910" spans="25:25" ht="15.75" customHeight="1">
      <c r="Y910" s="19"/>
    </row>
    <row r="911" spans="25:25" ht="15.75" customHeight="1">
      <c r="Y911" s="19"/>
    </row>
    <row r="912" spans="25:25" ht="15.75" customHeight="1">
      <c r="Y912" s="19"/>
    </row>
    <row r="913" spans="25:25" ht="15.75" customHeight="1">
      <c r="Y913" s="19"/>
    </row>
    <row r="914" spans="25:25" ht="15.75" customHeight="1">
      <c r="Y914" s="19"/>
    </row>
    <row r="915" spans="25:25" ht="15.75" customHeight="1">
      <c r="Y915" s="19"/>
    </row>
    <row r="916" spans="25:25" ht="15.75" customHeight="1">
      <c r="Y916" s="19"/>
    </row>
    <row r="917" spans="25:25" ht="15.75" customHeight="1">
      <c r="Y917" s="19"/>
    </row>
    <row r="918" spans="25:25" ht="15.75" customHeight="1">
      <c r="Y918" s="19"/>
    </row>
    <row r="919" spans="25:25" ht="15.75" customHeight="1">
      <c r="Y919" s="19"/>
    </row>
    <row r="920" spans="25:25" ht="15.75" customHeight="1">
      <c r="Y920" s="19"/>
    </row>
    <row r="921" spans="25:25" ht="15.75" customHeight="1">
      <c r="Y921" s="19"/>
    </row>
    <row r="922" spans="25:25" ht="15.75" customHeight="1">
      <c r="Y922" s="19"/>
    </row>
    <row r="923" spans="25:25" ht="15.75" customHeight="1">
      <c r="Y923" s="19"/>
    </row>
    <row r="924" spans="25:25" ht="15.75" customHeight="1">
      <c r="Y924" s="19"/>
    </row>
    <row r="925" spans="25:25" ht="15.75" customHeight="1">
      <c r="Y925" s="19"/>
    </row>
    <row r="926" spans="25:25" ht="15.75" customHeight="1">
      <c r="Y926" s="19"/>
    </row>
    <row r="927" spans="25:25" ht="15.75" customHeight="1">
      <c r="Y927" s="19"/>
    </row>
    <row r="928" spans="25:25" ht="15.75" customHeight="1">
      <c r="Y928" s="19"/>
    </row>
    <row r="929" spans="25:25" ht="15.75" customHeight="1">
      <c r="Y929" s="19"/>
    </row>
    <row r="930" spans="25:25" ht="15.75" customHeight="1">
      <c r="Y930" s="19"/>
    </row>
    <row r="931" spans="25:25" ht="15.75" customHeight="1">
      <c r="Y931" s="19"/>
    </row>
    <row r="932" spans="25:25" ht="15.75" customHeight="1">
      <c r="Y932" s="19"/>
    </row>
    <row r="933" spans="25:25" ht="15.75" customHeight="1">
      <c r="Y933" s="19"/>
    </row>
    <row r="934" spans="25:25" ht="15.75" customHeight="1">
      <c r="Y934" s="19"/>
    </row>
    <row r="935" spans="25:25" ht="15.75" customHeight="1">
      <c r="Y935" s="19"/>
    </row>
    <row r="936" spans="25:25" ht="15.75" customHeight="1">
      <c r="Y936" s="19"/>
    </row>
    <row r="937" spans="25:25" ht="15.75" customHeight="1">
      <c r="Y937" s="19"/>
    </row>
    <row r="938" spans="25:25" ht="15.75" customHeight="1">
      <c r="Y938" s="19"/>
    </row>
    <row r="939" spans="25:25" ht="15.75" customHeight="1">
      <c r="Y939" s="19"/>
    </row>
    <row r="940" spans="25:25" ht="15.75" customHeight="1">
      <c r="Y940" s="19"/>
    </row>
    <row r="941" spans="25:25" ht="15.75" customHeight="1">
      <c r="Y941" s="19"/>
    </row>
    <row r="942" spans="25:25" ht="15.75" customHeight="1">
      <c r="Y942" s="19"/>
    </row>
    <row r="943" spans="25:25" ht="15.75" customHeight="1">
      <c r="Y943" s="19"/>
    </row>
    <row r="944" spans="25:25" ht="15.75" customHeight="1">
      <c r="Y944" s="19"/>
    </row>
    <row r="945" spans="25:25" ht="15.75" customHeight="1">
      <c r="Y945" s="19"/>
    </row>
    <row r="946" spans="25:25" ht="15.75" customHeight="1">
      <c r="Y946" s="19"/>
    </row>
    <row r="947" spans="25:25" ht="15.75" customHeight="1">
      <c r="Y947" s="19"/>
    </row>
    <row r="948" spans="25:25" ht="15.75" customHeight="1">
      <c r="Y948" s="19"/>
    </row>
    <row r="949" spans="25:25" ht="15.75" customHeight="1">
      <c r="Y949" s="19"/>
    </row>
    <row r="950" spans="25:25" ht="15.75" customHeight="1">
      <c r="Y950" s="19"/>
    </row>
    <row r="951" spans="25:25" ht="15.75" customHeight="1">
      <c r="Y951" s="19"/>
    </row>
    <row r="952" spans="25:25" ht="15.75" customHeight="1">
      <c r="Y952" s="19"/>
    </row>
    <row r="953" spans="25:25" ht="15.75" customHeight="1">
      <c r="Y953" s="19"/>
    </row>
    <row r="954" spans="25:25" ht="15.75" customHeight="1">
      <c r="Y954" s="19"/>
    </row>
    <row r="955" spans="25:25" ht="15.75" customHeight="1">
      <c r="Y955" s="19"/>
    </row>
    <row r="956" spans="25:25" ht="15.75" customHeight="1">
      <c r="Y956" s="19"/>
    </row>
    <row r="957" spans="25:25" ht="15.75" customHeight="1">
      <c r="Y957" s="19"/>
    </row>
    <row r="958" spans="25:25" ht="15.75" customHeight="1">
      <c r="Y958" s="19"/>
    </row>
    <row r="959" spans="25:25" ht="15.75" customHeight="1">
      <c r="Y959" s="19"/>
    </row>
    <row r="960" spans="25:25" ht="15.75" customHeight="1">
      <c r="Y960" s="19"/>
    </row>
    <row r="961" spans="25:25" ht="15.75" customHeight="1">
      <c r="Y961" s="19"/>
    </row>
    <row r="962" spans="25:25" ht="15.75" customHeight="1">
      <c r="Y962" s="19"/>
    </row>
    <row r="963" spans="25:25" ht="15.75" customHeight="1">
      <c r="Y963" s="19"/>
    </row>
    <row r="964" spans="25:25" ht="15.75" customHeight="1">
      <c r="Y964" s="19"/>
    </row>
    <row r="965" spans="25:25" ht="15.75" customHeight="1">
      <c r="Y965" s="19"/>
    </row>
    <row r="966" spans="25:25" ht="15.75" customHeight="1">
      <c r="Y966" s="19"/>
    </row>
    <row r="967" spans="25:25" ht="15.75" customHeight="1">
      <c r="Y967" s="19"/>
    </row>
    <row r="968" spans="25:25" ht="15.75" customHeight="1">
      <c r="Y968" s="19"/>
    </row>
    <row r="969" spans="25:25" ht="15.75" customHeight="1">
      <c r="Y969" s="19"/>
    </row>
    <row r="970" spans="25:25" ht="15.75" customHeight="1">
      <c r="Y970" s="19"/>
    </row>
    <row r="971" spans="25:25" ht="15.75" customHeight="1">
      <c r="Y971" s="19"/>
    </row>
    <row r="972" spans="25:25" ht="15.75" customHeight="1">
      <c r="Y972" s="19"/>
    </row>
    <row r="973" spans="25:25" ht="15.75" customHeight="1">
      <c r="Y973" s="19"/>
    </row>
    <row r="974" spans="25:25" ht="15.75" customHeight="1">
      <c r="Y974" s="19"/>
    </row>
    <row r="975" spans="25:25" ht="15.75" customHeight="1">
      <c r="Y975" s="19"/>
    </row>
    <row r="976" spans="25:25" ht="15.75" customHeight="1">
      <c r="Y976" s="19"/>
    </row>
    <row r="977" spans="25:25" ht="15.75" customHeight="1">
      <c r="Y977" s="19"/>
    </row>
    <row r="978" spans="25:25" ht="15.75" customHeight="1">
      <c r="Y978" s="19"/>
    </row>
    <row r="979" spans="25:25" ht="15.75" customHeight="1">
      <c r="Y979" s="19"/>
    </row>
    <row r="980" spans="25:25" ht="15.75" customHeight="1">
      <c r="Y980" s="19"/>
    </row>
    <row r="981" spans="25:25" ht="15.75" customHeight="1">
      <c r="Y981" s="19"/>
    </row>
    <row r="982" spans="25:25" ht="15.75" customHeight="1">
      <c r="Y982" s="19"/>
    </row>
    <row r="983" spans="25:25" ht="15.75" customHeight="1">
      <c r="Y983" s="19"/>
    </row>
    <row r="984" spans="25:25" ht="15.75" customHeight="1">
      <c r="Y984" s="19"/>
    </row>
    <row r="985" spans="25:25" ht="15.75" customHeight="1">
      <c r="Y985" s="19"/>
    </row>
    <row r="986" spans="25:25" ht="15.75" customHeight="1">
      <c r="Y986" s="19"/>
    </row>
    <row r="987" spans="25:25" ht="15.75" customHeight="1">
      <c r="Y987" s="19"/>
    </row>
    <row r="988" spans="25:25" ht="15.75" customHeight="1">
      <c r="Y988" s="19"/>
    </row>
    <row r="989" spans="25:25" ht="15.75" customHeight="1">
      <c r="Y989" s="19"/>
    </row>
    <row r="990" spans="25:25" ht="15.75" customHeight="1">
      <c r="Y990" s="19"/>
    </row>
    <row r="991" spans="25:25" ht="15.75" customHeight="1">
      <c r="Y991" s="19"/>
    </row>
    <row r="992" spans="25:25" ht="15.75" customHeight="1">
      <c r="Y992" s="19"/>
    </row>
    <row r="993" spans="25:25" ht="15.75" customHeight="1">
      <c r="Y993" s="19"/>
    </row>
    <row r="994" spans="25:25" ht="15.75" customHeight="1">
      <c r="Y994" s="19"/>
    </row>
    <row r="995" spans="25:25" ht="15.75" customHeight="1">
      <c r="Y995" s="19"/>
    </row>
    <row r="996" spans="25:25" ht="15.75" customHeight="1">
      <c r="Y996" s="19"/>
    </row>
    <row r="997" spans="25:25" ht="15.75" customHeight="1">
      <c r="Y997" s="19"/>
    </row>
    <row r="998" spans="25:25" ht="15.75" customHeight="1">
      <c r="Y998" s="19"/>
    </row>
    <row r="999" spans="25:25" ht="15.75" customHeight="1">
      <c r="Y999" s="19"/>
    </row>
    <row r="1000" spans="25:25" ht="15.75" customHeight="1">
      <c r="Y1000" s="19"/>
    </row>
    <row r="1001" spans="25:25" ht="15.75" customHeight="1">
      <c r="Y1001" s="19"/>
    </row>
    <row r="1002" spans="25:25" ht="15.75" customHeight="1">
      <c r="Y1002" s="19"/>
    </row>
    <row r="1003" spans="25:25" ht="15.75" customHeight="1">
      <c r="Y1003" s="19"/>
    </row>
    <row r="1004" spans="25:25" ht="15.75" customHeight="1">
      <c r="Y1004" s="19"/>
    </row>
    <row r="1005" spans="25:25" ht="15.75" customHeight="1">
      <c r="Y1005" s="19"/>
    </row>
    <row r="1006" spans="25:25" ht="15.75" customHeight="1">
      <c r="Y1006" s="19"/>
    </row>
    <row r="1007" spans="25:25" ht="15.75" customHeight="1">
      <c r="Y1007" s="19"/>
    </row>
    <row r="1008" spans="25:25" ht="15.75" customHeight="1">
      <c r="Y1008" s="19"/>
    </row>
    <row r="1009" spans="25:25" ht="15.75" customHeight="1">
      <c r="Y1009" s="19"/>
    </row>
    <row r="1010" spans="25:25" ht="15.75" customHeight="1">
      <c r="Y1010" s="19"/>
    </row>
    <row r="1011" spans="25:25" ht="15.75" customHeight="1">
      <c r="Y1011" s="19"/>
    </row>
    <row r="1012" spans="25:25" ht="15.75" customHeight="1">
      <c r="Y1012" s="19"/>
    </row>
    <row r="1013" spans="25:25" ht="15.75" customHeight="1">
      <c r="Y1013" s="19"/>
    </row>
    <row r="1014" spans="25:25" ht="15.75" customHeight="1">
      <c r="Y1014" s="19"/>
    </row>
    <row r="1015" spans="25:25" ht="15.75" customHeight="1">
      <c r="Y1015" s="19"/>
    </row>
    <row r="1016" spans="25:25" ht="15.75" customHeight="1">
      <c r="Y1016" s="19"/>
    </row>
    <row r="1017" spans="25:25" ht="15.75" customHeight="1">
      <c r="Y1017" s="19"/>
    </row>
    <row r="1018" spans="25:25" ht="15.75" customHeight="1">
      <c r="Y1018" s="19"/>
    </row>
    <row r="1019" spans="25:25" ht="15.75" customHeight="1">
      <c r="Y1019" s="19"/>
    </row>
    <row r="1020" spans="25:25" ht="15.75" customHeight="1">
      <c r="Y1020" s="19"/>
    </row>
    <row r="1021" spans="25:25" ht="15.75" customHeight="1">
      <c r="Y1021" s="19"/>
    </row>
  </sheetData>
  <sortState xmlns:xlrd2="http://schemas.microsoft.com/office/spreadsheetml/2017/richdata2" ref="A2:Y58">
    <sortCondition ref="E2:E58"/>
  </sortState>
  <conditionalFormatting sqref="C103:C274 E103:H274">
    <cfRule type="containsText" dxfId="2" priority="4" operator="containsText" text="Exclude">
      <formula>NOT(ISERROR(SEARCH(("Exclude"),(C103))))</formula>
    </cfRule>
  </conditionalFormatting>
  <conditionalFormatting sqref="C103:C274">
    <cfRule type="containsText" dxfId="1" priority="5" operator="containsText" text="Questionable">
      <formula>NOT(ISERROR(SEARCH(("Questionable"),(C103))))</formula>
    </cfRule>
    <cfRule type="containsText" dxfId="0" priority="6" operator="containsText" text="Include">
      <formula>NOT(ISERROR(SEARCH(("Include"),(C103))))</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2024-05-28T22:01:37Z</dcterms:modified>
</cp:coreProperties>
</file>